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microsoft.com/office/2020/02/relationships/classificationlabels" Target="docMetadata/LabelInfo.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11"/>
  <workbookPr hidePivotFieldList="1" defaultThemeVersion="124226"/>
  <mc:AlternateContent xmlns:mc="http://schemas.openxmlformats.org/markup-compatibility/2006">
    <mc:Choice Requires="x15">
      <x15ac:absPath xmlns:x15ac="http://schemas.microsoft.com/office/spreadsheetml/2010/11/ac" url="https://everisgroup-my.sharepoint.com/personal/fduartee_emeal_nttdata_com/Documents/Escritorio/2022/Comunidad/Entendimiento Negocio/"/>
    </mc:Choice>
  </mc:AlternateContent>
  <xr:revisionPtr revIDLastSave="0" documentId="13_ncr:4000b_{011219DB-B653-4BC7-A1FD-0ACB99BB3269}" xr6:coauthVersionLast="47" xr6:coauthVersionMax="47" xr10:uidLastSave="{00000000-0000-0000-0000-000000000000}"/>
  <bookViews>
    <workbookView xWindow="-110" yWindow="-110" windowWidth="19420" windowHeight="10420" tabRatio="996" firstSheet="1" activeTab="1" xr2:uid="{00000000-000D-0000-FFFF-FFFF00000000}"/>
  </bookViews>
  <sheets>
    <sheet name="Din Total" sheetId="31" r:id="rId1"/>
    <sheet name="Total" sheetId="30" r:id="rId2"/>
    <sheet name="Presidencia" sheetId="20" r:id="rId3"/>
    <sheet name="Economía, Empresas y Empleo" sheetId="18" r:id="rId4"/>
    <sheet name="Hacienda y AA.PP." sheetId="5" r:id="rId5"/>
    <sheet name="Sanidad" sheetId="21" r:id="rId6"/>
    <sheet name="D. Sostenible" sheetId="26" r:id="rId7"/>
    <sheet name="Agencia del Agua CLM" sheetId="27" r:id="rId8"/>
    <sheet name="Agricultura,Agua y D. R." sheetId="3" r:id="rId9"/>
    <sheet name="IRIAF" sheetId="29" r:id="rId10"/>
    <sheet name="Educación, Cultura y Deportes" sheetId="4" r:id="rId11"/>
    <sheet name="Fomento" sheetId="6" r:id="rId12"/>
    <sheet name="Instituto de la Mujer" sheetId="11" r:id="rId13"/>
    <sheet name="IPEX" sheetId="19" r:id="rId14"/>
    <sheet name="SESCAM" sheetId="12" r:id="rId15"/>
    <sheet name="BIENESTAR SOCIAL" sheetId="16" r:id="rId16"/>
  </sheets>
  <definedNames>
    <definedName name="_xlnm._FilterDatabase" localSheetId="8" hidden="1">'Agricultura,Agua y D. R.'!$A$1:$L$262</definedName>
    <definedName name="_xlnm._FilterDatabase" localSheetId="15" hidden="1">'BIENESTAR SOCIAL'!$A$1:$L$76</definedName>
    <definedName name="_xlnm._FilterDatabase" localSheetId="6" hidden="1">'D. Sostenible'!$A$1:$L$354</definedName>
    <definedName name="_xlnm._FilterDatabase" localSheetId="3" hidden="1">'Economía, Empresas y Empleo'!$A$1:$L$244</definedName>
    <definedName name="_xlnm._FilterDatabase" localSheetId="10" hidden="1">'Educación, Cultura y Deportes'!$A$1:$L$198</definedName>
    <definedName name="_xlnm._FilterDatabase" localSheetId="11" hidden="1">Fomento!$A$1:$L$91</definedName>
    <definedName name="_xlnm._FilterDatabase" localSheetId="4" hidden="1">'Hacienda y AA.PP.'!$A$1:$L$274</definedName>
    <definedName name="_xlnm._FilterDatabase" localSheetId="9" hidden="1">IRIAF!$A$1:$L$5</definedName>
    <definedName name="_xlnm._FilterDatabase" localSheetId="5" hidden="1">Sanidad!$A$1:$L$116</definedName>
    <definedName name="_xlnm.Print_Titles" localSheetId="8">'Agricultura,Agua y D. R.'!$1:$1</definedName>
    <definedName name="_xlnm.Print_Titles" localSheetId="15">'BIENESTAR SOCIAL'!$1:$1</definedName>
    <definedName name="_xlnm.Print_Titles" localSheetId="6">'D. Sostenible'!$1:$1</definedName>
    <definedName name="_xlnm.Print_Titles" localSheetId="3">'Economía, Empresas y Empleo'!$1:$1</definedName>
    <definedName name="_xlnm.Print_Titles" localSheetId="10">'Educación, Cultura y Deportes'!$1:$1</definedName>
    <definedName name="_xlnm.Print_Titles" localSheetId="11">Fomento!$1:$1</definedName>
    <definedName name="_xlnm.Print_Titles" localSheetId="4">'Hacienda y AA.PP.'!$1:$1</definedName>
    <definedName name="_xlnm.Print_Titles" localSheetId="12">'Instituto de la Mujer'!$1:$1</definedName>
    <definedName name="_xlnm.Print_Titles" localSheetId="13">IPEX!$1:$1</definedName>
    <definedName name="_xlnm.Print_Titles" localSheetId="9">IRIAF!$1:$1</definedName>
    <definedName name="_xlnm.Print_Titles" localSheetId="2">Presidencia!$1:$1</definedName>
    <definedName name="_xlnm.Print_Titles" localSheetId="5">Sanidad!$1:$1</definedName>
    <definedName name="_xlnm.Print_Titles" localSheetId="14">SESCAM!$1:$1</definedName>
  </definedNames>
  <calcPr calcId="191028"/>
  <pivotCaches>
    <pivotCache cacheId="10427" r:id="rId17"/>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2140" i="30" l="1"/>
  <c r="I2139" i="30"/>
  <c r="I2138" i="30"/>
  <c r="I2137" i="30"/>
  <c r="I2136" i="30"/>
  <c r="I2135" i="30"/>
  <c r="I2134" i="30"/>
  <c r="I2133" i="30"/>
  <c r="I2132" i="30"/>
  <c r="I2131" i="30"/>
  <c r="I2130" i="30"/>
  <c r="I2129" i="30"/>
  <c r="I2128" i="30"/>
  <c r="I2127" i="30"/>
  <c r="I2126" i="30"/>
  <c r="I2125" i="30"/>
  <c r="I2124" i="30"/>
  <c r="I2123" i="30"/>
  <c r="I2122" i="30"/>
  <c r="I2121" i="30"/>
  <c r="I2120" i="30"/>
  <c r="I2119" i="30"/>
  <c r="I2118" i="30"/>
  <c r="I2117" i="30"/>
  <c r="I2116" i="30"/>
  <c r="I2115" i="30"/>
  <c r="I2114" i="30"/>
  <c r="I2113" i="30"/>
  <c r="I2112" i="30"/>
  <c r="I2111" i="30"/>
  <c r="I2110" i="30"/>
  <c r="I2109" i="30"/>
  <c r="I2108" i="30"/>
  <c r="I2107" i="30"/>
  <c r="I2106" i="30"/>
  <c r="I2105" i="30"/>
  <c r="I2104" i="30"/>
  <c r="I2103" i="30"/>
  <c r="I2102" i="30"/>
  <c r="I2101" i="30"/>
  <c r="I2100" i="30"/>
  <c r="I2099" i="30"/>
  <c r="I2098" i="30"/>
  <c r="I2097" i="30"/>
  <c r="I2096" i="30"/>
  <c r="I2095" i="30"/>
  <c r="I2094" i="30"/>
  <c r="I2093" i="30"/>
  <c r="I2092" i="30"/>
  <c r="I2091" i="30"/>
  <c r="I2090" i="30"/>
  <c r="I2089" i="30"/>
  <c r="I2088" i="30"/>
  <c r="I2087" i="30"/>
  <c r="I2086" i="30"/>
  <c r="I2085" i="30"/>
  <c r="I2084" i="30"/>
  <c r="I2083" i="30"/>
  <c r="I2082" i="30"/>
  <c r="I2081" i="30"/>
  <c r="I2080" i="30"/>
  <c r="I2079" i="30"/>
  <c r="I2078" i="30"/>
  <c r="I2077" i="30"/>
  <c r="I2076" i="30"/>
  <c r="I2075" i="30"/>
  <c r="I2074" i="30"/>
  <c r="I2073" i="30"/>
  <c r="I2072" i="30"/>
  <c r="I2071" i="30"/>
  <c r="I2070" i="30"/>
  <c r="I2069" i="30"/>
  <c r="I2068" i="30"/>
  <c r="I2067" i="30"/>
  <c r="I2066" i="30"/>
  <c r="I2065" i="30"/>
  <c r="I2064" i="30"/>
  <c r="I2063" i="30"/>
  <c r="I2062" i="30"/>
  <c r="I2061" i="30"/>
  <c r="I2060" i="30"/>
  <c r="I2059" i="30"/>
  <c r="I2058" i="30"/>
  <c r="I2057" i="30"/>
  <c r="I2056" i="30"/>
  <c r="I2055" i="30"/>
  <c r="I2054" i="30"/>
  <c r="I2053" i="30"/>
  <c r="I2052" i="30"/>
  <c r="I2051" i="30"/>
  <c r="I2050" i="30"/>
  <c r="I2049" i="30"/>
  <c r="I2048" i="30"/>
  <c r="I2047" i="30"/>
  <c r="I2046" i="30"/>
  <c r="I2045" i="30"/>
  <c r="I2044" i="30"/>
  <c r="I2043" i="30"/>
  <c r="I2042" i="30"/>
  <c r="I2041" i="30"/>
  <c r="I2040" i="30"/>
  <c r="I2039" i="30"/>
  <c r="I2038" i="30"/>
  <c r="I2037" i="30"/>
  <c r="I2036" i="30"/>
  <c r="I2035" i="30"/>
  <c r="I2034" i="30"/>
  <c r="I2033" i="30"/>
  <c r="I2032" i="30"/>
  <c r="I2031" i="30"/>
  <c r="I2030" i="30"/>
  <c r="I2029" i="30"/>
  <c r="I2028" i="30"/>
  <c r="I2027" i="30"/>
  <c r="I2026" i="30"/>
  <c r="I2025" i="30"/>
  <c r="I2024" i="30"/>
  <c r="I2023" i="30"/>
  <c r="I2022" i="30"/>
  <c r="I2021" i="30"/>
  <c r="I2020" i="30"/>
  <c r="I2019" i="30"/>
  <c r="I2018" i="30"/>
  <c r="I2017" i="30"/>
  <c r="I2016" i="30"/>
  <c r="I2015" i="30"/>
  <c r="I2014" i="30"/>
  <c r="I2013" i="30"/>
  <c r="I2012" i="30"/>
  <c r="I2011" i="30"/>
  <c r="I2010" i="30"/>
  <c r="I2009" i="30"/>
  <c r="I2008" i="30"/>
  <c r="I2007" i="30"/>
  <c r="I2006" i="30"/>
  <c r="I2005" i="30"/>
  <c r="I2004" i="30"/>
  <c r="I2003" i="30"/>
  <c r="I2002" i="30"/>
  <c r="I2001" i="30"/>
  <c r="I2000" i="30"/>
  <c r="I1999" i="30"/>
  <c r="I1998" i="30"/>
  <c r="I1997" i="30"/>
  <c r="I1996" i="30"/>
  <c r="I1995" i="30"/>
  <c r="I1994" i="30"/>
  <c r="I1993" i="30"/>
  <c r="I1992" i="30"/>
  <c r="I1991" i="30"/>
  <c r="I1990" i="30"/>
  <c r="I1989" i="30"/>
  <c r="I1988" i="30"/>
  <c r="I1987" i="30"/>
  <c r="I1986" i="30"/>
  <c r="I1985" i="30"/>
  <c r="I1984" i="30"/>
  <c r="I1983" i="30"/>
  <c r="I1982" i="30"/>
  <c r="I1981" i="30"/>
  <c r="I1980" i="30"/>
  <c r="I1979" i="30"/>
  <c r="I1978" i="30"/>
  <c r="I1977" i="30"/>
  <c r="I1976" i="30"/>
  <c r="I1975" i="30"/>
  <c r="I1974" i="30"/>
  <c r="I1973" i="30"/>
  <c r="I1972" i="30"/>
  <c r="I1971" i="30"/>
  <c r="I1970" i="30"/>
  <c r="I1969" i="30"/>
  <c r="I1968" i="30"/>
  <c r="I1967" i="30"/>
  <c r="I1966" i="30"/>
  <c r="I1965" i="30"/>
  <c r="I1964" i="30"/>
  <c r="I1963" i="30"/>
  <c r="I1962" i="30"/>
  <c r="I1961" i="30"/>
  <c r="I1960" i="30"/>
  <c r="I1959" i="30"/>
  <c r="I1958" i="30"/>
  <c r="I1957" i="30"/>
  <c r="I1956" i="30"/>
  <c r="I1955" i="30"/>
  <c r="I1954" i="30"/>
  <c r="I1953" i="30"/>
  <c r="I1952" i="30"/>
  <c r="I1951" i="30"/>
  <c r="I1950" i="30"/>
  <c r="I1949" i="30"/>
  <c r="I1948" i="30"/>
  <c r="I1947" i="30"/>
  <c r="I1946" i="30"/>
  <c r="I1945" i="30"/>
  <c r="I1944" i="30"/>
  <c r="I1943" i="30"/>
  <c r="I1942" i="30"/>
  <c r="I1941" i="30"/>
  <c r="I1940" i="30"/>
  <c r="I1939" i="30"/>
  <c r="I1938" i="30"/>
  <c r="I1937" i="30"/>
  <c r="I1936" i="30"/>
  <c r="I1935" i="30"/>
  <c r="I1934" i="30"/>
  <c r="I1933" i="30"/>
  <c r="I1932" i="30"/>
  <c r="I1931" i="30"/>
  <c r="I1930" i="30"/>
  <c r="I1929" i="30"/>
  <c r="I1928" i="30"/>
  <c r="I1927" i="30"/>
  <c r="I1926" i="30"/>
  <c r="I1925" i="30"/>
  <c r="I1924" i="30"/>
  <c r="I1923" i="30"/>
  <c r="I1922" i="30"/>
  <c r="I1921" i="30"/>
  <c r="I1920" i="30"/>
  <c r="I1919" i="30"/>
  <c r="I1918" i="30"/>
  <c r="I1917" i="30"/>
  <c r="I1916" i="30"/>
  <c r="I1915" i="30"/>
  <c r="I1914" i="30"/>
  <c r="I1913" i="30"/>
  <c r="I1912" i="30"/>
  <c r="I1911" i="30"/>
  <c r="I1910" i="30"/>
  <c r="I1909" i="30"/>
  <c r="I1908" i="30"/>
  <c r="I1907" i="30"/>
  <c r="I1906" i="30"/>
  <c r="I1905" i="30"/>
  <c r="I1904" i="30"/>
  <c r="I1903" i="30"/>
  <c r="I1902" i="30"/>
  <c r="I1901" i="30"/>
  <c r="I1900" i="30"/>
  <c r="I1899" i="30"/>
  <c r="I1898" i="30"/>
  <c r="I1897" i="30"/>
  <c r="I1896" i="30"/>
  <c r="I1895" i="30"/>
  <c r="I1894" i="30"/>
  <c r="I1893" i="30"/>
  <c r="I1892" i="30"/>
  <c r="I1891" i="30"/>
  <c r="I1890" i="30"/>
  <c r="I1889" i="30"/>
  <c r="I1888" i="30"/>
  <c r="I1887" i="30"/>
  <c r="I1886" i="30"/>
  <c r="I1885" i="30"/>
  <c r="I1884" i="30"/>
  <c r="I1883" i="30"/>
  <c r="I1882" i="30"/>
  <c r="I1881" i="30"/>
  <c r="I1880" i="30"/>
  <c r="I1879" i="30"/>
  <c r="I1878" i="30"/>
  <c r="I1877" i="30"/>
  <c r="I1876" i="30"/>
  <c r="I1875" i="30"/>
  <c r="I1874" i="30"/>
  <c r="I1873" i="30"/>
  <c r="I1872" i="30"/>
  <c r="I1871" i="30"/>
  <c r="I1870" i="30"/>
  <c r="I1869" i="30"/>
  <c r="I1868" i="30"/>
  <c r="I1867" i="30"/>
  <c r="I1866" i="30"/>
  <c r="I1865" i="30"/>
  <c r="I1864" i="30"/>
  <c r="I1863" i="30"/>
  <c r="I1862" i="30"/>
  <c r="I1861" i="30"/>
  <c r="I1860" i="30"/>
  <c r="I1859" i="30"/>
  <c r="I1858" i="30"/>
  <c r="I1857" i="30"/>
  <c r="I1856" i="30"/>
  <c r="I1855" i="30"/>
  <c r="I1854" i="30"/>
  <c r="I1853" i="30"/>
  <c r="I1852" i="30"/>
  <c r="I1851" i="30"/>
  <c r="I1850" i="30"/>
  <c r="I1849" i="30"/>
  <c r="I1848" i="30"/>
  <c r="I1847" i="30"/>
  <c r="I1846" i="30"/>
  <c r="I1845" i="30"/>
  <c r="I1844" i="30"/>
  <c r="I1843" i="30"/>
  <c r="I1842" i="30"/>
  <c r="I1841" i="30"/>
  <c r="I1840" i="30"/>
  <c r="I1839" i="30"/>
  <c r="I1838" i="30"/>
  <c r="I1837" i="30"/>
  <c r="I1836" i="30"/>
  <c r="I1835" i="30"/>
  <c r="I1834" i="30"/>
  <c r="I1833" i="30"/>
  <c r="I1832" i="30"/>
  <c r="I1831" i="30"/>
  <c r="I1830" i="30"/>
  <c r="I1829" i="30"/>
  <c r="I1828" i="30"/>
  <c r="I1827" i="30"/>
  <c r="I1826" i="30"/>
  <c r="I1825" i="30"/>
  <c r="I1824" i="30"/>
  <c r="I1823" i="30"/>
  <c r="I1822" i="30"/>
  <c r="I1821" i="30"/>
  <c r="I1820" i="30"/>
  <c r="I1819" i="30"/>
  <c r="I1818" i="30"/>
  <c r="I1817" i="30"/>
  <c r="I1816" i="30"/>
  <c r="I1815" i="30"/>
  <c r="I1814" i="30"/>
  <c r="I1813" i="30"/>
  <c r="I1812" i="30"/>
  <c r="I1811" i="30"/>
  <c r="I1810" i="30"/>
  <c r="I1809" i="30"/>
  <c r="I1808" i="30"/>
  <c r="I1807" i="30"/>
  <c r="I1806" i="30"/>
  <c r="I1805" i="30"/>
  <c r="I1804" i="30"/>
  <c r="I1803" i="30"/>
  <c r="I1802" i="30"/>
  <c r="I1801" i="30"/>
  <c r="I1800" i="30"/>
  <c r="I1799" i="30"/>
  <c r="I1798" i="30"/>
  <c r="I1797" i="30"/>
  <c r="I1796" i="30"/>
  <c r="I1795" i="30"/>
  <c r="I1794" i="30"/>
  <c r="I1793" i="30"/>
  <c r="I1792" i="30"/>
  <c r="I1791" i="30"/>
  <c r="I1790" i="30"/>
  <c r="I1789" i="30"/>
  <c r="I1788" i="30"/>
  <c r="I1787" i="30"/>
  <c r="I1786" i="30"/>
  <c r="I1785" i="30"/>
  <c r="I1784" i="30"/>
  <c r="I1783" i="30"/>
  <c r="I1782" i="30"/>
  <c r="I1781" i="30"/>
  <c r="I1780" i="30"/>
  <c r="I1779" i="30"/>
  <c r="I1778" i="30"/>
  <c r="I1777" i="30"/>
  <c r="I1776" i="30"/>
  <c r="I1775" i="30"/>
  <c r="I1774" i="30"/>
  <c r="I1773" i="30"/>
  <c r="I1772" i="30"/>
  <c r="I1771" i="30"/>
  <c r="I1770" i="30"/>
  <c r="I1769" i="30"/>
  <c r="I1768" i="30"/>
  <c r="I1767" i="30"/>
  <c r="I1766" i="30"/>
  <c r="I1765" i="30"/>
  <c r="I1764" i="30"/>
  <c r="I1763" i="30"/>
  <c r="I1762" i="30"/>
  <c r="I1761" i="30"/>
  <c r="I1760" i="30"/>
  <c r="I1759" i="30"/>
  <c r="I1758" i="30"/>
  <c r="I1757" i="30"/>
  <c r="I1756" i="30"/>
  <c r="I1755" i="30"/>
  <c r="I1754" i="30"/>
  <c r="I1753" i="30"/>
  <c r="I1752" i="30"/>
  <c r="I1751" i="30"/>
  <c r="I1750" i="30"/>
  <c r="I1749" i="30"/>
  <c r="I1748" i="30"/>
  <c r="I1747" i="30"/>
  <c r="I1746" i="30"/>
  <c r="I1745" i="30"/>
  <c r="I1744" i="30"/>
  <c r="I1743" i="30"/>
  <c r="I1742" i="30"/>
  <c r="I1741" i="30"/>
  <c r="I1740" i="30"/>
  <c r="I1739" i="30"/>
  <c r="I1738" i="30"/>
  <c r="I1737" i="30"/>
  <c r="I1736" i="30"/>
  <c r="I1735" i="30"/>
  <c r="I1734" i="30"/>
  <c r="I1733" i="30"/>
  <c r="I1732" i="30"/>
  <c r="I1731" i="30"/>
  <c r="I1730" i="30"/>
  <c r="I1729" i="30"/>
  <c r="I1728" i="30"/>
  <c r="I1727" i="30"/>
  <c r="I1726" i="30"/>
  <c r="I1725" i="30"/>
  <c r="I1724" i="30"/>
  <c r="I1723" i="30"/>
  <c r="I1722" i="30"/>
  <c r="I1721" i="30"/>
  <c r="I1720" i="30"/>
  <c r="I1719" i="30"/>
  <c r="I1718" i="30"/>
  <c r="I1717" i="30"/>
  <c r="I1716" i="30"/>
  <c r="I1715" i="30"/>
  <c r="I1714" i="30"/>
  <c r="I1713" i="30"/>
  <c r="I1712" i="30"/>
  <c r="I1711" i="30"/>
  <c r="I1710" i="30"/>
  <c r="I1709" i="30"/>
  <c r="I1708" i="30"/>
  <c r="I1707" i="30"/>
  <c r="I1706" i="30"/>
  <c r="I1705" i="30"/>
  <c r="I1704" i="30"/>
  <c r="I1703" i="30"/>
  <c r="I1702" i="30"/>
  <c r="I1701" i="30"/>
  <c r="I1700" i="30"/>
  <c r="I1699" i="30"/>
  <c r="I1698" i="30"/>
  <c r="I1697" i="30"/>
  <c r="I1696" i="30"/>
  <c r="I1695" i="30"/>
  <c r="I1694" i="30"/>
  <c r="I1693" i="30"/>
  <c r="I1692" i="30"/>
  <c r="I1691" i="30"/>
  <c r="I1690" i="30"/>
  <c r="I1689" i="30"/>
  <c r="I1688" i="30"/>
  <c r="I1687" i="30"/>
  <c r="I1686" i="30"/>
  <c r="I1685" i="30"/>
  <c r="I1684" i="30"/>
  <c r="I1683" i="30"/>
  <c r="I1682" i="30"/>
  <c r="I1681" i="30"/>
  <c r="I1680" i="30"/>
  <c r="I1679" i="30"/>
  <c r="I1678" i="30"/>
  <c r="I1677" i="30"/>
  <c r="I1676" i="30"/>
  <c r="I1675" i="30"/>
  <c r="I1674" i="30"/>
  <c r="I1673" i="30"/>
  <c r="I1672" i="30"/>
  <c r="I1671" i="30"/>
  <c r="I1670" i="30"/>
  <c r="I1669" i="30"/>
  <c r="I1668" i="30"/>
  <c r="I1667" i="30"/>
  <c r="I1666" i="30"/>
  <c r="I1665" i="30"/>
  <c r="I1664" i="30"/>
  <c r="I1663" i="30"/>
  <c r="I1662" i="30"/>
  <c r="I1661" i="30"/>
  <c r="I1660" i="30"/>
  <c r="I1659" i="30"/>
  <c r="I1658" i="30"/>
  <c r="I1657" i="30"/>
  <c r="I1656" i="30"/>
  <c r="I1655" i="30"/>
  <c r="I1654" i="30"/>
  <c r="I1653" i="30"/>
  <c r="I1652" i="30"/>
  <c r="I1651" i="30"/>
  <c r="I1650" i="30"/>
  <c r="I1649" i="30"/>
  <c r="I1648" i="30"/>
  <c r="I1647" i="30"/>
  <c r="I1646" i="30"/>
  <c r="I1645" i="30"/>
  <c r="I1644" i="30"/>
  <c r="I1643" i="30"/>
  <c r="I1642" i="30"/>
  <c r="I1641" i="30"/>
  <c r="I1640" i="30"/>
  <c r="I1639" i="30"/>
  <c r="I1638" i="30"/>
  <c r="I1637" i="30"/>
  <c r="I1636" i="30"/>
  <c r="I1635" i="30"/>
  <c r="I1634" i="30"/>
  <c r="I1633" i="30"/>
  <c r="I1632" i="30"/>
  <c r="I1631" i="30"/>
  <c r="I1630" i="30"/>
  <c r="I1629" i="30"/>
  <c r="I1628" i="30"/>
  <c r="I1627" i="30"/>
  <c r="I1626" i="30"/>
  <c r="I1625" i="30"/>
  <c r="I1624" i="30"/>
  <c r="I1623" i="30"/>
  <c r="I1622" i="30"/>
  <c r="I1621" i="30"/>
  <c r="I1620" i="30"/>
  <c r="I1619" i="30"/>
  <c r="I1618" i="30"/>
  <c r="I1617" i="30"/>
  <c r="I1616" i="30"/>
  <c r="I1615" i="30"/>
  <c r="I1614" i="30"/>
  <c r="I1613" i="30"/>
  <c r="I1612" i="30"/>
  <c r="I1611" i="30"/>
  <c r="I1610" i="30"/>
  <c r="I1609" i="30"/>
  <c r="I1608" i="30"/>
  <c r="I1607" i="30"/>
  <c r="I1606" i="30"/>
  <c r="I1605" i="30"/>
  <c r="I1604" i="30"/>
  <c r="I1603" i="30"/>
  <c r="I1602" i="30"/>
  <c r="I1601" i="30"/>
  <c r="I1600" i="30"/>
  <c r="I1599" i="30"/>
  <c r="I1598" i="30"/>
  <c r="I1597" i="30"/>
  <c r="I1596" i="30"/>
  <c r="I1595" i="30"/>
  <c r="I1594" i="30"/>
  <c r="I1593" i="30"/>
  <c r="I1592" i="30"/>
  <c r="I1591" i="30"/>
  <c r="I1590" i="30"/>
  <c r="I1589" i="30"/>
  <c r="I1588" i="30"/>
  <c r="I1587" i="30"/>
  <c r="I1586" i="30"/>
  <c r="I1585" i="30"/>
  <c r="I1584" i="30"/>
  <c r="I1583" i="30"/>
  <c r="I1582" i="30"/>
  <c r="I1581" i="30"/>
  <c r="I1580" i="30"/>
  <c r="I1579" i="30"/>
  <c r="I1578" i="30"/>
  <c r="I1577" i="30"/>
  <c r="I1576" i="30"/>
  <c r="I1575" i="30"/>
  <c r="I1574" i="30"/>
  <c r="I1573" i="30"/>
  <c r="I1572" i="30"/>
  <c r="I1571" i="30"/>
  <c r="I1570" i="30"/>
  <c r="I1569" i="30"/>
  <c r="I1568" i="30"/>
  <c r="I1567" i="30"/>
  <c r="I1566" i="30"/>
  <c r="I1565" i="30"/>
  <c r="I1564" i="30"/>
  <c r="I1563" i="30"/>
  <c r="I1562" i="30"/>
  <c r="I1561" i="30"/>
  <c r="I1560" i="30"/>
  <c r="I1559" i="30"/>
  <c r="I1558" i="30"/>
  <c r="I1557" i="30"/>
  <c r="I1556" i="30"/>
  <c r="I1555" i="30"/>
  <c r="I1554" i="30"/>
  <c r="I1553" i="30"/>
  <c r="I1552" i="30"/>
  <c r="I1551" i="30"/>
  <c r="I1550" i="30"/>
  <c r="I1549" i="30"/>
  <c r="I1548" i="30"/>
  <c r="I1547" i="30"/>
  <c r="I1546" i="30"/>
  <c r="I1545" i="30"/>
  <c r="I1544" i="30"/>
  <c r="I1543" i="30"/>
  <c r="I1542" i="30"/>
  <c r="I1541" i="30"/>
  <c r="I1540" i="30"/>
  <c r="I1539" i="30"/>
  <c r="I1538" i="30"/>
  <c r="I1537" i="30"/>
  <c r="I1536" i="30"/>
  <c r="I1535" i="30"/>
  <c r="I1534" i="30"/>
  <c r="I1533" i="30"/>
  <c r="I1532" i="30"/>
  <c r="I1531" i="30"/>
  <c r="I1530" i="30"/>
  <c r="I1529" i="30"/>
  <c r="I1528" i="30"/>
  <c r="I1527" i="30"/>
  <c r="I1526" i="30"/>
  <c r="I1525" i="30"/>
  <c r="I1524" i="30"/>
  <c r="I1523" i="30"/>
  <c r="I1522" i="30"/>
  <c r="I1521" i="30"/>
  <c r="I1520" i="30"/>
  <c r="I1519" i="30"/>
  <c r="I1518" i="30"/>
  <c r="I1517" i="30"/>
  <c r="I1516" i="30"/>
  <c r="I1515" i="30"/>
  <c r="I1514" i="30"/>
  <c r="I1513" i="30"/>
  <c r="I1512" i="30"/>
  <c r="I1511" i="30"/>
  <c r="I1510" i="30"/>
  <c r="I1509" i="30"/>
  <c r="I1508" i="30"/>
  <c r="I1507" i="30"/>
  <c r="I1506" i="30"/>
  <c r="I1505" i="30"/>
  <c r="I1504" i="30"/>
  <c r="I1503" i="30"/>
  <c r="I1502" i="30"/>
  <c r="I1501" i="30"/>
  <c r="I1500" i="30"/>
  <c r="I1499" i="30"/>
  <c r="I1498" i="30"/>
  <c r="I1497" i="30"/>
  <c r="I1496" i="30"/>
  <c r="I1495" i="30"/>
  <c r="I1494" i="30"/>
  <c r="I1493" i="30"/>
  <c r="I1492" i="30"/>
  <c r="I1491" i="30"/>
  <c r="I1490" i="30"/>
  <c r="I1489" i="30"/>
  <c r="I1488" i="30"/>
  <c r="I1487" i="30"/>
  <c r="I1486" i="30"/>
  <c r="I1485" i="30"/>
  <c r="I1484" i="30"/>
  <c r="I1483" i="30"/>
  <c r="I1482" i="30"/>
  <c r="I1481" i="30"/>
  <c r="I1480" i="30"/>
  <c r="I1479" i="30"/>
  <c r="I1478" i="30"/>
  <c r="I1477" i="30"/>
  <c r="I1476" i="30"/>
  <c r="I1475" i="30"/>
  <c r="I1474" i="30"/>
  <c r="I1473" i="30"/>
  <c r="I1472" i="30"/>
  <c r="I1471" i="30"/>
  <c r="I1470" i="30"/>
  <c r="I1469" i="30"/>
  <c r="I1468" i="30"/>
  <c r="I1467" i="30"/>
  <c r="I1466" i="30"/>
  <c r="I1465" i="30"/>
  <c r="I1464" i="30"/>
  <c r="I1463" i="30"/>
  <c r="I1462" i="30"/>
  <c r="I1461" i="30"/>
  <c r="I1460" i="30"/>
  <c r="I1459" i="30"/>
  <c r="I1458" i="30"/>
  <c r="I1457" i="30"/>
  <c r="I1456" i="30"/>
  <c r="I1455" i="30"/>
  <c r="I1454" i="30"/>
  <c r="I1453" i="30"/>
  <c r="I1452" i="30"/>
  <c r="I1451" i="30"/>
  <c r="I1450" i="30"/>
  <c r="I1449" i="30"/>
  <c r="I1448" i="30"/>
  <c r="I1447" i="30"/>
  <c r="I1446" i="30"/>
  <c r="I1445" i="30"/>
  <c r="I1444" i="30"/>
  <c r="I1443" i="30"/>
  <c r="I1442" i="30"/>
  <c r="I1441" i="30"/>
  <c r="I1440" i="30"/>
  <c r="I1439" i="30"/>
  <c r="I1438" i="30"/>
  <c r="I1437" i="30"/>
  <c r="I1436" i="30"/>
  <c r="I1435" i="30"/>
  <c r="I1434" i="30"/>
  <c r="I1433" i="30"/>
  <c r="I1432" i="30"/>
  <c r="I1431" i="30"/>
  <c r="I1430" i="30"/>
  <c r="I1429" i="30"/>
  <c r="I1428" i="30"/>
  <c r="I1427" i="30"/>
  <c r="I1426" i="30"/>
  <c r="I1425" i="30"/>
  <c r="I1424" i="30"/>
  <c r="I1423" i="30"/>
  <c r="I1422" i="30"/>
  <c r="I1421" i="30"/>
  <c r="I1420" i="30"/>
  <c r="I1419" i="30"/>
  <c r="I1418" i="30"/>
  <c r="I1417" i="30"/>
  <c r="I1416" i="30"/>
  <c r="I1415" i="30"/>
  <c r="I1414" i="30"/>
  <c r="I1413" i="30"/>
  <c r="I1412" i="30"/>
  <c r="I1411" i="30"/>
  <c r="I1410" i="30"/>
  <c r="I1409" i="30"/>
  <c r="I1408" i="30"/>
  <c r="I1407" i="30"/>
  <c r="I1406" i="30"/>
  <c r="I1405" i="30"/>
  <c r="I1404" i="30"/>
  <c r="I1403" i="30"/>
  <c r="I1402" i="30"/>
  <c r="I1401" i="30"/>
  <c r="I1400" i="30"/>
  <c r="I1399" i="30"/>
  <c r="I1398" i="30"/>
  <c r="I1397" i="30"/>
  <c r="I1396" i="30"/>
  <c r="I1395" i="30"/>
  <c r="I1394" i="30"/>
  <c r="I1393" i="30"/>
  <c r="I1392" i="30"/>
  <c r="I1391" i="30"/>
  <c r="I1390" i="30"/>
  <c r="I1389" i="30"/>
  <c r="I1388" i="30"/>
  <c r="I1387" i="30"/>
  <c r="I1386" i="30"/>
  <c r="I1385" i="30"/>
  <c r="I1384" i="30"/>
  <c r="I1383" i="30"/>
  <c r="I1382" i="30"/>
  <c r="I1381" i="30"/>
  <c r="I1380" i="30"/>
  <c r="I1379" i="30"/>
  <c r="I1378" i="30"/>
  <c r="I1377" i="30"/>
  <c r="I1376" i="30"/>
  <c r="I1375" i="30"/>
  <c r="I1374" i="30"/>
  <c r="I1373" i="30"/>
  <c r="I1372" i="30"/>
  <c r="I1371" i="30"/>
  <c r="I1370" i="30"/>
  <c r="I1369" i="30"/>
  <c r="I1368" i="30"/>
  <c r="I1367" i="30"/>
  <c r="I1366" i="30"/>
  <c r="I1365" i="30"/>
  <c r="I1364" i="30"/>
  <c r="I1363" i="30"/>
  <c r="I1362" i="30"/>
  <c r="I1361" i="30"/>
  <c r="I1360" i="30"/>
  <c r="I1359" i="30"/>
  <c r="I1358" i="30"/>
  <c r="I1357" i="30"/>
  <c r="I1356" i="30"/>
  <c r="I1355" i="30"/>
  <c r="I1354" i="30"/>
  <c r="I1353" i="30"/>
  <c r="I1352" i="30"/>
  <c r="I1351" i="30"/>
  <c r="I1350" i="30"/>
  <c r="I1349" i="30"/>
  <c r="I1348" i="30"/>
  <c r="I1347" i="30"/>
  <c r="I1346" i="30"/>
  <c r="I1345" i="30"/>
  <c r="I1344" i="30"/>
  <c r="I1343" i="30"/>
  <c r="I1342" i="30"/>
  <c r="I1341" i="30"/>
  <c r="I1340" i="30"/>
  <c r="I1339" i="30"/>
  <c r="I1338" i="30"/>
  <c r="I1337" i="30"/>
  <c r="I1336" i="30"/>
  <c r="I1335" i="30"/>
  <c r="I1334" i="30"/>
  <c r="I1333" i="30"/>
  <c r="I1332" i="30"/>
  <c r="I1331" i="30"/>
  <c r="I1330" i="30"/>
  <c r="I1329" i="30"/>
  <c r="I1328" i="30"/>
  <c r="I1327" i="30"/>
  <c r="I1326" i="30"/>
  <c r="I1325" i="30"/>
  <c r="I1324" i="30"/>
  <c r="I1323" i="30"/>
  <c r="I1322" i="30"/>
  <c r="I1321" i="30"/>
  <c r="I1320" i="30"/>
  <c r="I1319" i="30"/>
  <c r="I1318" i="30"/>
  <c r="I1317" i="30"/>
  <c r="I1316" i="30"/>
  <c r="I1315" i="30"/>
  <c r="I1314" i="30"/>
  <c r="I1313" i="30"/>
  <c r="I1312" i="30"/>
  <c r="I1311" i="30"/>
  <c r="I1310" i="30"/>
  <c r="I1309" i="30"/>
  <c r="I1308" i="30"/>
  <c r="I1307" i="30"/>
  <c r="I1306" i="30"/>
  <c r="I1305" i="30"/>
  <c r="I1304" i="30"/>
  <c r="I1303" i="30"/>
  <c r="I1302" i="30"/>
  <c r="I1301" i="30"/>
  <c r="I1300" i="30"/>
  <c r="I1299" i="30"/>
  <c r="I1298" i="30"/>
  <c r="I1297" i="30"/>
  <c r="I1296" i="30"/>
  <c r="I1295" i="30"/>
  <c r="I1294" i="30"/>
  <c r="I1293" i="30"/>
  <c r="I1292" i="30"/>
  <c r="I1291" i="30"/>
  <c r="I1290" i="30"/>
  <c r="I1289" i="30"/>
  <c r="I1288" i="30"/>
  <c r="I1287" i="30"/>
  <c r="I1286" i="30"/>
  <c r="I1285" i="30"/>
  <c r="I1284" i="30"/>
  <c r="I1283" i="30"/>
  <c r="I1282" i="30"/>
  <c r="I1281" i="30"/>
  <c r="I1280" i="30"/>
  <c r="I1279" i="30"/>
  <c r="I1278" i="30"/>
  <c r="I1277" i="30"/>
  <c r="I1276" i="30"/>
  <c r="I1275" i="30"/>
  <c r="I1274" i="30"/>
  <c r="I1273" i="30"/>
  <c r="I1272" i="30"/>
  <c r="I1271" i="30"/>
  <c r="I1270" i="30"/>
  <c r="I1269" i="30"/>
  <c r="I1268" i="30"/>
  <c r="I1267" i="30"/>
  <c r="I1266" i="30"/>
  <c r="I1265" i="30"/>
  <c r="I1264" i="30"/>
  <c r="I1263" i="30"/>
  <c r="I1262" i="30"/>
  <c r="I1261" i="30"/>
  <c r="I1260" i="30"/>
  <c r="I1259" i="30"/>
  <c r="I1258" i="30"/>
  <c r="I1257" i="30"/>
  <c r="I1256" i="30"/>
  <c r="I1255" i="30"/>
  <c r="I1254" i="30"/>
  <c r="I1253" i="30"/>
  <c r="I1252" i="30"/>
  <c r="I1251" i="30"/>
  <c r="I1250" i="30"/>
  <c r="I1249" i="30"/>
  <c r="I1248" i="30"/>
  <c r="I1247" i="30"/>
  <c r="I1246" i="30"/>
  <c r="I1245" i="30"/>
  <c r="I1244" i="30"/>
  <c r="I1243" i="30"/>
  <c r="I1242" i="30"/>
  <c r="I1241" i="30"/>
  <c r="I1240" i="30"/>
  <c r="I1239" i="30"/>
  <c r="I1238" i="30"/>
  <c r="I1237" i="30"/>
  <c r="I1236" i="30"/>
  <c r="I1235" i="30"/>
  <c r="I1234" i="30"/>
  <c r="I1233" i="30"/>
  <c r="I1232" i="30"/>
  <c r="I1231" i="30"/>
  <c r="I1230" i="30"/>
  <c r="I1229" i="30"/>
  <c r="I1228" i="30"/>
  <c r="I1227" i="30"/>
  <c r="I1226" i="30"/>
  <c r="I1225" i="30"/>
  <c r="I1224" i="30"/>
  <c r="I1223" i="30"/>
  <c r="I1222" i="30"/>
  <c r="I1221" i="30"/>
  <c r="I1220" i="30"/>
  <c r="I1219" i="30"/>
  <c r="I1218" i="30"/>
  <c r="I1217" i="30"/>
  <c r="I1216" i="30"/>
  <c r="I1215" i="30"/>
  <c r="I1214" i="30"/>
  <c r="I1213" i="30"/>
  <c r="I1212" i="30"/>
  <c r="I1211" i="30"/>
  <c r="I1210" i="30"/>
  <c r="I1209" i="30"/>
  <c r="I1208" i="30"/>
  <c r="I1207" i="30"/>
  <c r="I1206" i="30"/>
  <c r="I1205" i="30"/>
  <c r="I1204" i="30"/>
  <c r="I1203" i="30"/>
  <c r="I1202" i="30"/>
  <c r="I1201" i="30"/>
  <c r="I1200" i="30"/>
  <c r="I1199" i="30"/>
  <c r="I1198" i="30"/>
  <c r="I1197" i="30"/>
  <c r="I1196" i="30"/>
  <c r="I1195" i="30"/>
  <c r="I1194" i="30"/>
  <c r="I1193" i="30"/>
  <c r="I1192" i="30"/>
  <c r="I1191" i="30"/>
  <c r="I1190" i="30"/>
  <c r="I1189" i="30"/>
  <c r="I1188" i="30"/>
  <c r="I1187" i="30"/>
  <c r="I1186" i="30"/>
  <c r="I1185" i="30"/>
  <c r="I1184" i="30"/>
  <c r="I1183" i="30"/>
  <c r="I1182" i="30"/>
  <c r="I1181" i="30"/>
  <c r="I1180" i="30"/>
  <c r="I1179" i="30"/>
  <c r="I1178" i="30"/>
  <c r="I1177" i="30"/>
  <c r="I1176" i="30"/>
  <c r="I1175" i="30"/>
  <c r="I1174" i="30"/>
  <c r="I1173" i="30"/>
  <c r="I1172" i="30"/>
  <c r="I1171" i="30"/>
  <c r="I1170" i="30"/>
  <c r="I1169" i="30"/>
  <c r="I1168" i="30"/>
  <c r="I1167" i="30"/>
  <c r="I1166" i="30"/>
  <c r="I1165" i="30"/>
  <c r="I1164" i="30"/>
  <c r="I1163" i="30"/>
  <c r="I1162" i="30"/>
  <c r="I1161" i="30"/>
  <c r="I1160" i="30"/>
  <c r="I1159" i="30"/>
  <c r="I1158" i="30"/>
  <c r="I1157" i="30"/>
  <c r="I1156" i="30"/>
  <c r="I1155" i="30"/>
  <c r="I1154" i="30"/>
  <c r="I1153" i="30"/>
  <c r="I1152" i="30"/>
  <c r="I1151" i="30"/>
  <c r="I1150" i="30"/>
  <c r="I1149" i="30"/>
  <c r="I1148" i="30"/>
  <c r="I1147" i="30"/>
  <c r="I1146" i="30"/>
  <c r="I1145" i="30"/>
  <c r="I1144" i="30"/>
  <c r="I1143" i="30"/>
  <c r="I1142" i="30"/>
  <c r="I1141" i="30"/>
  <c r="I1140" i="30"/>
  <c r="I1139" i="30"/>
  <c r="I1138" i="30"/>
  <c r="I1137" i="30"/>
  <c r="I1136" i="30"/>
  <c r="I1135" i="30"/>
  <c r="I1134" i="30"/>
  <c r="I1133" i="30"/>
  <c r="I1132" i="30"/>
  <c r="I1131" i="30"/>
  <c r="I1130" i="30"/>
  <c r="I1129" i="30"/>
  <c r="I1128" i="30"/>
  <c r="I1127" i="30"/>
  <c r="I1126" i="30"/>
  <c r="I1125" i="30"/>
  <c r="I1124" i="30"/>
  <c r="I1123" i="30"/>
  <c r="I1122" i="30"/>
  <c r="I1121" i="30"/>
  <c r="I1120" i="30"/>
  <c r="I1119" i="30"/>
  <c r="I1118" i="30"/>
  <c r="I1117" i="30"/>
  <c r="I1116" i="30"/>
  <c r="I1115" i="30"/>
  <c r="I1113" i="30"/>
  <c r="I1112" i="30"/>
  <c r="I1111" i="30"/>
  <c r="I1110" i="30"/>
  <c r="I1109" i="30"/>
  <c r="I1108" i="30"/>
  <c r="I1107" i="30"/>
  <c r="I1106" i="30"/>
  <c r="I1105" i="30"/>
  <c r="I1104" i="30"/>
  <c r="I1103" i="30"/>
  <c r="I1102" i="30"/>
  <c r="I1101" i="30"/>
  <c r="I1100" i="30"/>
  <c r="I1099" i="30"/>
  <c r="I1098" i="30"/>
  <c r="I1097" i="30"/>
  <c r="I1096" i="30"/>
  <c r="I1095" i="30"/>
  <c r="I1094" i="30"/>
  <c r="I1093" i="30"/>
  <c r="I1092" i="30"/>
  <c r="I1091" i="30"/>
  <c r="I1090" i="30"/>
  <c r="I1089" i="30"/>
  <c r="I1088" i="30"/>
  <c r="I1087" i="30"/>
  <c r="I1086" i="30"/>
  <c r="I1085" i="30"/>
  <c r="I1084" i="30"/>
  <c r="I1083" i="30"/>
  <c r="I1082" i="30"/>
  <c r="I1081" i="30"/>
  <c r="I1080" i="30"/>
  <c r="I1079" i="30"/>
  <c r="I1078" i="30"/>
  <c r="I1077" i="30"/>
  <c r="I1076" i="30"/>
  <c r="I1075" i="30"/>
  <c r="I1074" i="30"/>
  <c r="I1073" i="30"/>
  <c r="I1072" i="30"/>
  <c r="I1071" i="30"/>
  <c r="I1070" i="30"/>
  <c r="I1069" i="30"/>
  <c r="I1068" i="30"/>
  <c r="I1067" i="30"/>
  <c r="I1066" i="30"/>
  <c r="I1065" i="30"/>
  <c r="I1064" i="30"/>
  <c r="I1063" i="30"/>
  <c r="I1062" i="30"/>
  <c r="I1061" i="30"/>
  <c r="I1060" i="30"/>
  <c r="I1059" i="30"/>
  <c r="I1058" i="30"/>
  <c r="I1057" i="30"/>
  <c r="I1056" i="30"/>
  <c r="I1055" i="30"/>
  <c r="I1054" i="30"/>
  <c r="I1053" i="30"/>
  <c r="I1052" i="30"/>
  <c r="I1051" i="30"/>
  <c r="I1050" i="30"/>
  <c r="I1049" i="30"/>
  <c r="I1048" i="30"/>
  <c r="I1047" i="30"/>
  <c r="I1046" i="30"/>
  <c r="I1045" i="30"/>
  <c r="I1044" i="30"/>
  <c r="I1043" i="30"/>
  <c r="I1042" i="30"/>
  <c r="I1041" i="30"/>
  <c r="I1040" i="30"/>
  <c r="I1039" i="30"/>
  <c r="I1038" i="30"/>
  <c r="I1037" i="30"/>
  <c r="I1036" i="30"/>
  <c r="I1035" i="30"/>
  <c r="I1034" i="30"/>
  <c r="I1033" i="30"/>
  <c r="I1032" i="30"/>
  <c r="I1031" i="30"/>
  <c r="I1030" i="30"/>
  <c r="I1029" i="30"/>
  <c r="I1028" i="30"/>
  <c r="I1027" i="30"/>
  <c r="I1026" i="30"/>
  <c r="I1025" i="30"/>
  <c r="I1024" i="30"/>
  <c r="I1023" i="30"/>
  <c r="I1022" i="30"/>
  <c r="I1021" i="30"/>
  <c r="I1020" i="30"/>
  <c r="I1019" i="30"/>
  <c r="I1018" i="30"/>
  <c r="I1017" i="30"/>
  <c r="I1016" i="30"/>
  <c r="I1015" i="30"/>
  <c r="I1014" i="30"/>
  <c r="I1013" i="30"/>
  <c r="I1012" i="30"/>
  <c r="I1011" i="30"/>
  <c r="I1010" i="30"/>
  <c r="I1009" i="30"/>
  <c r="I1008" i="30"/>
  <c r="I1007" i="30"/>
  <c r="I1006" i="30"/>
  <c r="I1005" i="30"/>
  <c r="I1004" i="30"/>
  <c r="I1003" i="30"/>
  <c r="I1002" i="30"/>
  <c r="I1001" i="30"/>
  <c r="I1000" i="30"/>
  <c r="I999" i="30"/>
  <c r="I998" i="30"/>
  <c r="I997" i="30"/>
  <c r="I996" i="30"/>
  <c r="I995" i="30"/>
  <c r="I994" i="30"/>
  <c r="I993" i="30"/>
  <c r="I992" i="30"/>
  <c r="I991" i="30"/>
  <c r="I990" i="30"/>
  <c r="I989" i="30"/>
  <c r="I988" i="30"/>
  <c r="I987" i="30"/>
  <c r="I986" i="30"/>
  <c r="I985" i="30"/>
  <c r="I984" i="30"/>
  <c r="I983" i="30"/>
  <c r="I982" i="30"/>
  <c r="I981" i="30"/>
  <c r="I980" i="30"/>
  <c r="I979" i="30"/>
  <c r="I978" i="30"/>
  <c r="I977" i="30"/>
  <c r="I976" i="30"/>
  <c r="I975" i="30"/>
  <c r="I974" i="30"/>
  <c r="I973" i="30"/>
  <c r="I972" i="30"/>
  <c r="I971" i="30"/>
  <c r="I970" i="30"/>
  <c r="I969" i="30"/>
  <c r="I968" i="30"/>
  <c r="I967" i="30"/>
  <c r="I966" i="30"/>
  <c r="I965" i="30"/>
  <c r="I964" i="30"/>
  <c r="I963" i="30"/>
  <c r="I962" i="30"/>
  <c r="I961" i="30"/>
  <c r="I960" i="30"/>
  <c r="I959" i="30"/>
  <c r="I958" i="30"/>
  <c r="I957" i="30"/>
  <c r="I956" i="30"/>
  <c r="I955" i="30"/>
  <c r="I954" i="30"/>
  <c r="I953" i="30"/>
  <c r="I952" i="30"/>
  <c r="I951" i="30"/>
  <c r="I950" i="30"/>
  <c r="I949" i="30"/>
  <c r="I948" i="30"/>
  <c r="I947" i="30"/>
  <c r="I946" i="30"/>
  <c r="I945" i="30"/>
  <c r="I944" i="30"/>
  <c r="I943" i="30"/>
  <c r="I942" i="30"/>
  <c r="I941" i="30"/>
  <c r="I940" i="30"/>
  <c r="I939" i="30"/>
  <c r="I938" i="30"/>
  <c r="I937" i="30"/>
  <c r="I936" i="30"/>
  <c r="I935" i="30"/>
  <c r="I934" i="30"/>
  <c r="I933" i="30"/>
  <c r="I932" i="30"/>
  <c r="I931" i="30"/>
  <c r="I930" i="30"/>
  <c r="I929" i="30"/>
  <c r="I928" i="30"/>
  <c r="I927" i="30"/>
  <c r="I926" i="30"/>
  <c r="I925" i="30"/>
  <c r="I924" i="30"/>
  <c r="I923" i="30"/>
  <c r="I922" i="30"/>
  <c r="I921" i="30"/>
  <c r="I920" i="30"/>
  <c r="I919" i="30"/>
  <c r="I918" i="30"/>
  <c r="I917" i="30"/>
  <c r="I916" i="30"/>
  <c r="I915" i="30"/>
  <c r="I914" i="30"/>
  <c r="I913" i="30"/>
  <c r="I912" i="30"/>
  <c r="I911" i="30"/>
  <c r="I910" i="30"/>
  <c r="I909" i="30"/>
  <c r="I908" i="30"/>
  <c r="I907" i="30"/>
  <c r="I906" i="30"/>
  <c r="I905" i="30"/>
  <c r="I904" i="30"/>
  <c r="I903" i="30"/>
  <c r="I902" i="30"/>
  <c r="I901" i="30"/>
  <c r="I900" i="30"/>
  <c r="I899" i="30"/>
  <c r="I898" i="30"/>
  <c r="I897" i="30"/>
  <c r="I896" i="30"/>
  <c r="I895" i="30"/>
  <c r="I894" i="30"/>
  <c r="I893" i="30"/>
  <c r="I892" i="30"/>
  <c r="I891" i="30"/>
  <c r="I890" i="30"/>
  <c r="I889" i="30"/>
  <c r="I888" i="30"/>
  <c r="I887" i="30"/>
  <c r="I886" i="30"/>
  <c r="I885" i="30"/>
  <c r="I884" i="30"/>
  <c r="I883" i="30"/>
  <c r="I882" i="30"/>
  <c r="I881" i="30"/>
  <c r="I880" i="30"/>
  <c r="I879" i="30"/>
  <c r="I878" i="30"/>
  <c r="I877" i="30"/>
  <c r="I876" i="30"/>
  <c r="I875" i="30"/>
  <c r="I874" i="30"/>
  <c r="I873" i="30"/>
  <c r="I872" i="30"/>
  <c r="I871" i="30"/>
  <c r="I870" i="30"/>
  <c r="I869" i="30"/>
  <c r="I868" i="30"/>
  <c r="I867" i="30"/>
  <c r="I866" i="30"/>
  <c r="I865" i="30"/>
  <c r="I864" i="30"/>
  <c r="I863" i="30"/>
  <c r="I862" i="30"/>
  <c r="I861" i="30"/>
  <c r="I860" i="30"/>
  <c r="I859" i="30"/>
  <c r="I858" i="30"/>
  <c r="I857" i="30"/>
  <c r="I856" i="30"/>
  <c r="I855" i="30"/>
  <c r="I854" i="30"/>
  <c r="I853" i="30"/>
  <c r="I852" i="30"/>
  <c r="I851" i="30"/>
  <c r="I850" i="30"/>
  <c r="I849" i="30"/>
  <c r="I848" i="30"/>
  <c r="I847" i="30"/>
  <c r="I846" i="30"/>
  <c r="I845" i="30"/>
  <c r="I844" i="30"/>
  <c r="I843" i="30"/>
  <c r="I842" i="30"/>
  <c r="I841" i="30"/>
  <c r="I840" i="30"/>
  <c r="I839" i="30"/>
  <c r="I838" i="30"/>
  <c r="I837" i="30"/>
  <c r="I836" i="30"/>
  <c r="I835" i="30"/>
  <c r="I834" i="30"/>
  <c r="I833" i="30"/>
  <c r="I832" i="30"/>
  <c r="I831" i="30"/>
  <c r="I830" i="30"/>
  <c r="I829" i="30"/>
  <c r="I828" i="30"/>
  <c r="I827" i="30"/>
  <c r="I826" i="30"/>
  <c r="I825" i="30"/>
  <c r="I824" i="30"/>
  <c r="I823" i="30"/>
  <c r="I822" i="30"/>
  <c r="I821" i="30"/>
  <c r="I820" i="30"/>
  <c r="I819" i="30"/>
  <c r="I818" i="30"/>
  <c r="I817" i="30"/>
  <c r="I816" i="30"/>
  <c r="I815" i="30"/>
  <c r="I814" i="30"/>
  <c r="I813" i="30"/>
  <c r="I812" i="30"/>
  <c r="I811" i="30"/>
  <c r="I810" i="30"/>
  <c r="I809" i="30"/>
  <c r="I808" i="30"/>
  <c r="I807" i="30"/>
  <c r="I806" i="30"/>
  <c r="I805" i="30"/>
  <c r="I804" i="30"/>
  <c r="I803" i="30"/>
  <c r="I802" i="30"/>
  <c r="I801" i="30"/>
  <c r="I800" i="30"/>
  <c r="I799" i="30"/>
  <c r="I798" i="30"/>
  <c r="I797" i="30"/>
  <c r="I796" i="30"/>
  <c r="I795" i="30"/>
  <c r="I794" i="30"/>
  <c r="I793" i="30"/>
  <c r="I792" i="30"/>
  <c r="I791" i="30"/>
  <c r="I790" i="30"/>
  <c r="I789" i="30"/>
  <c r="I788" i="30"/>
  <c r="I787" i="30"/>
  <c r="I786" i="30"/>
  <c r="I785" i="30"/>
  <c r="I784" i="30"/>
  <c r="I783" i="30"/>
  <c r="I782" i="30"/>
  <c r="I781" i="30"/>
  <c r="I780" i="30"/>
  <c r="I779" i="30"/>
  <c r="I778" i="30"/>
  <c r="I777" i="30"/>
  <c r="I776" i="30"/>
  <c r="I775" i="30"/>
  <c r="I774" i="30"/>
  <c r="I773" i="30"/>
  <c r="I772" i="30"/>
  <c r="I771" i="30"/>
  <c r="I770" i="30"/>
  <c r="I769" i="30"/>
  <c r="I768" i="30"/>
  <c r="I767" i="30"/>
  <c r="I766" i="30"/>
  <c r="I765" i="30"/>
  <c r="I764" i="30"/>
  <c r="I763" i="30"/>
  <c r="I762" i="30"/>
  <c r="I761" i="30"/>
  <c r="I760" i="30"/>
  <c r="I759" i="30"/>
  <c r="I758" i="30"/>
  <c r="I757" i="30"/>
  <c r="I756" i="30"/>
  <c r="I755" i="30"/>
  <c r="I754" i="30"/>
  <c r="I753" i="30"/>
  <c r="I752" i="30"/>
  <c r="I751" i="30"/>
  <c r="I750" i="30"/>
  <c r="I749" i="30"/>
  <c r="I748" i="30"/>
  <c r="I747" i="30"/>
  <c r="I746" i="30"/>
  <c r="I745" i="30"/>
  <c r="I744" i="30"/>
  <c r="I743" i="30"/>
  <c r="I742" i="30"/>
  <c r="I741" i="30"/>
  <c r="I740" i="30"/>
  <c r="I739" i="30"/>
  <c r="I738" i="30"/>
  <c r="I737" i="30"/>
  <c r="I736" i="30"/>
  <c r="I735" i="30"/>
  <c r="I734" i="30"/>
  <c r="I733" i="30"/>
  <c r="I732" i="30"/>
  <c r="I731" i="30"/>
  <c r="I730" i="30"/>
  <c r="I729" i="30"/>
  <c r="I728" i="30"/>
  <c r="I727" i="30"/>
  <c r="I726" i="30"/>
  <c r="I725" i="30"/>
  <c r="I724" i="30"/>
  <c r="I723" i="30"/>
  <c r="I722" i="30"/>
  <c r="I721" i="30"/>
  <c r="I720" i="30"/>
  <c r="I719" i="30"/>
  <c r="I718" i="30"/>
  <c r="I717" i="30"/>
  <c r="I716" i="30"/>
  <c r="I715" i="30"/>
  <c r="I714" i="30"/>
  <c r="I713" i="30"/>
  <c r="I712" i="30"/>
  <c r="I711" i="30"/>
  <c r="I710" i="30"/>
  <c r="I709" i="30"/>
  <c r="I708" i="30"/>
  <c r="I707" i="30"/>
  <c r="I706" i="30"/>
  <c r="I705" i="30"/>
  <c r="I704" i="30"/>
  <c r="I703" i="30"/>
  <c r="I702" i="30"/>
  <c r="I701" i="30"/>
  <c r="I700" i="30"/>
  <c r="I699" i="30"/>
  <c r="I698" i="30"/>
  <c r="I697" i="30"/>
  <c r="I696" i="30"/>
  <c r="I695" i="30"/>
  <c r="I694" i="30"/>
  <c r="I693" i="30"/>
  <c r="I692" i="30"/>
  <c r="I691" i="30"/>
  <c r="I690" i="30"/>
  <c r="I689" i="30"/>
  <c r="I688" i="30"/>
  <c r="I687" i="30"/>
  <c r="I686" i="30"/>
  <c r="I685" i="30"/>
  <c r="I684" i="30"/>
  <c r="I683" i="30"/>
  <c r="I682" i="30"/>
  <c r="I681" i="30"/>
  <c r="I680" i="30"/>
  <c r="I679" i="30"/>
  <c r="I678" i="30"/>
  <c r="I677" i="30"/>
  <c r="I676" i="30"/>
  <c r="I675" i="30"/>
  <c r="I674" i="30"/>
  <c r="I673" i="30"/>
  <c r="I672" i="30"/>
  <c r="I671" i="30"/>
  <c r="I670" i="30"/>
  <c r="I669" i="30"/>
  <c r="I668" i="30"/>
  <c r="I667" i="30"/>
  <c r="I666" i="30"/>
  <c r="I665" i="30"/>
  <c r="I664" i="30"/>
  <c r="I663" i="30"/>
  <c r="I662" i="30"/>
  <c r="I661" i="30"/>
  <c r="I660" i="30"/>
  <c r="I659" i="30"/>
  <c r="I658" i="30"/>
  <c r="I657" i="30"/>
  <c r="I656" i="30"/>
  <c r="I655" i="30"/>
  <c r="I654" i="30"/>
  <c r="I653" i="30"/>
  <c r="I652" i="30"/>
  <c r="I651" i="30"/>
  <c r="I650" i="30"/>
  <c r="I649" i="30"/>
  <c r="I648" i="30"/>
  <c r="I647" i="30"/>
  <c r="I646" i="30"/>
  <c r="I645" i="30"/>
  <c r="I644" i="30"/>
  <c r="I643" i="30"/>
  <c r="I642" i="30"/>
  <c r="I641" i="30"/>
  <c r="I640" i="30"/>
  <c r="I639" i="30"/>
  <c r="I638" i="30"/>
  <c r="I637" i="30"/>
  <c r="I636" i="30"/>
  <c r="I635" i="30"/>
  <c r="I634" i="30"/>
  <c r="I633" i="30"/>
  <c r="I632" i="30"/>
  <c r="I631" i="30"/>
  <c r="I630" i="30"/>
  <c r="I629" i="30"/>
  <c r="I628" i="30"/>
  <c r="I627" i="30"/>
  <c r="I626" i="30"/>
  <c r="I625" i="30"/>
  <c r="I624" i="30"/>
  <c r="I623" i="30"/>
  <c r="I622" i="30"/>
  <c r="I621" i="30"/>
  <c r="I620" i="30"/>
  <c r="I619" i="30"/>
  <c r="I618" i="30"/>
  <c r="I617" i="30"/>
  <c r="I616" i="30"/>
  <c r="I615" i="30"/>
  <c r="I614" i="30"/>
  <c r="I613" i="30"/>
  <c r="I612" i="30"/>
  <c r="I611" i="30"/>
  <c r="I610" i="30"/>
  <c r="I609" i="30"/>
  <c r="I608" i="30"/>
  <c r="I607" i="30"/>
  <c r="I606" i="30"/>
  <c r="I605" i="30"/>
  <c r="I604" i="30"/>
  <c r="I603" i="30"/>
  <c r="I602" i="30"/>
  <c r="I601" i="30"/>
  <c r="I600" i="30"/>
  <c r="I599" i="30"/>
  <c r="I598" i="30"/>
  <c r="I597" i="30"/>
  <c r="I596" i="30"/>
  <c r="I595" i="30"/>
  <c r="I594" i="30"/>
  <c r="I593" i="30"/>
  <c r="I592" i="30"/>
  <c r="I591" i="30"/>
  <c r="I590" i="30"/>
  <c r="I589" i="30"/>
  <c r="I588" i="30"/>
  <c r="I587" i="30"/>
  <c r="I586" i="30"/>
  <c r="I585" i="30"/>
  <c r="I584" i="30"/>
  <c r="I583" i="30"/>
  <c r="I582" i="30"/>
  <c r="I581" i="30"/>
  <c r="I580" i="30"/>
  <c r="I579" i="30"/>
  <c r="I578" i="30"/>
  <c r="I577" i="30"/>
  <c r="I576" i="30"/>
  <c r="I575" i="30"/>
  <c r="I574" i="30"/>
  <c r="I573" i="30"/>
  <c r="I572" i="30"/>
  <c r="I571" i="30"/>
  <c r="I570" i="30"/>
  <c r="I569" i="30"/>
  <c r="I568" i="30"/>
  <c r="I567" i="30"/>
  <c r="I566" i="30"/>
  <c r="I565" i="30"/>
  <c r="I564" i="30"/>
  <c r="I563" i="30"/>
  <c r="I562" i="30"/>
  <c r="I561" i="30"/>
  <c r="I560" i="30"/>
  <c r="I559" i="30"/>
  <c r="I558" i="30"/>
  <c r="I557" i="30"/>
  <c r="I556" i="30"/>
  <c r="I555" i="30"/>
  <c r="I554" i="30"/>
  <c r="I553" i="30"/>
  <c r="I552" i="30"/>
  <c r="I551" i="30"/>
  <c r="I550" i="30"/>
  <c r="I549" i="30"/>
  <c r="I548" i="30"/>
  <c r="I547" i="30"/>
  <c r="I546" i="30"/>
  <c r="I545" i="30"/>
  <c r="I544" i="30"/>
  <c r="I543" i="30"/>
  <c r="I542" i="30"/>
  <c r="I541" i="30"/>
  <c r="I540" i="30"/>
  <c r="I539" i="30"/>
  <c r="I538" i="30"/>
  <c r="I537" i="30"/>
  <c r="I536" i="30"/>
  <c r="I535" i="30"/>
  <c r="I534" i="30"/>
  <c r="I533" i="30"/>
  <c r="I532" i="30"/>
  <c r="I531" i="30"/>
  <c r="I530" i="30"/>
  <c r="I529" i="30"/>
  <c r="I528" i="30"/>
  <c r="I527" i="30"/>
  <c r="I526" i="30"/>
  <c r="I525" i="30"/>
  <c r="I524" i="30"/>
  <c r="I523" i="30"/>
  <c r="I522" i="30"/>
  <c r="I521" i="30"/>
  <c r="I520" i="30"/>
  <c r="I519" i="30"/>
  <c r="I518" i="30"/>
  <c r="I517" i="30"/>
  <c r="I516" i="30"/>
  <c r="I515" i="30"/>
  <c r="I514" i="30"/>
  <c r="I513" i="30"/>
  <c r="I512" i="30"/>
  <c r="I511" i="30"/>
  <c r="I510" i="30"/>
  <c r="I509" i="30"/>
  <c r="I508" i="30"/>
  <c r="I507" i="30"/>
  <c r="I506" i="30"/>
  <c r="I505" i="30"/>
  <c r="I504" i="30"/>
  <c r="I503" i="30"/>
  <c r="I502" i="30"/>
  <c r="I501" i="30"/>
  <c r="I500" i="30"/>
  <c r="I499" i="30"/>
  <c r="I498" i="30"/>
  <c r="I497" i="30"/>
  <c r="I496" i="30"/>
  <c r="I495" i="30"/>
  <c r="I494" i="30"/>
  <c r="I493" i="30"/>
  <c r="I492" i="30"/>
  <c r="I491" i="30"/>
  <c r="I490" i="30"/>
  <c r="I489" i="30"/>
  <c r="I488" i="30"/>
  <c r="I487" i="30"/>
  <c r="I486" i="30"/>
  <c r="I485" i="30"/>
  <c r="I484" i="30"/>
  <c r="I483" i="30"/>
  <c r="I482" i="30"/>
  <c r="I481" i="30"/>
  <c r="I480" i="30"/>
  <c r="I479" i="30"/>
  <c r="I478" i="30"/>
  <c r="I477" i="30"/>
  <c r="I476" i="30"/>
  <c r="I475" i="30"/>
  <c r="I474" i="30"/>
  <c r="I473" i="30"/>
  <c r="I472" i="30"/>
  <c r="I471" i="30"/>
  <c r="I470" i="30"/>
  <c r="I469" i="30"/>
  <c r="I468" i="30"/>
  <c r="I467" i="30"/>
  <c r="I466" i="30"/>
  <c r="I465" i="30"/>
  <c r="I464" i="30"/>
  <c r="I463" i="30"/>
  <c r="I462" i="30"/>
  <c r="I461" i="30"/>
  <c r="I460" i="30"/>
  <c r="I459" i="30"/>
  <c r="I458" i="30"/>
  <c r="I457" i="30"/>
  <c r="I456" i="30"/>
  <c r="I455" i="30"/>
  <c r="I454" i="30"/>
  <c r="I453" i="30"/>
  <c r="I452" i="30"/>
  <c r="I451" i="30"/>
  <c r="I450" i="30"/>
  <c r="I449" i="30"/>
  <c r="I448" i="30"/>
  <c r="I447" i="30"/>
  <c r="I446" i="30"/>
  <c r="I445" i="30"/>
  <c r="I444" i="30"/>
  <c r="I443" i="30"/>
  <c r="I442" i="30"/>
  <c r="I441" i="30"/>
  <c r="I440" i="30"/>
  <c r="I439" i="30"/>
  <c r="I438" i="30"/>
  <c r="I437" i="30"/>
  <c r="I436" i="30"/>
  <c r="I435" i="30"/>
  <c r="I434" i="30"/>
  <c r="I433" i="30"/>
  <c r="I432" i="30"/>
  <c r="I431" i="30"/>
  <c r="I430" i="30"/>
  <c r="I429" i="30"/>
  <c r="I428" i="30"/>
  <c r="I427" i="30"/>
  <c r="I426" i="30"/>
  <c r="I425" i="30"/>
  <c r="I424" i="30"/>
  <c r="I423" i="30"/>
  <c r="I422" i="30"/>
  <c r="I421" i="30"/>
  <c r="I420" i="30"/>
  <c r="I419" i="30"/>
  <c r="I418" i="30"/>
  <c r="I417" i="30"/>
  <c r="I416" i="30"/>
  <c r="I415" i="30"/>
  <c r="I414" i="30"/>
  <c r="I413" i="30"/>
  <c r="I412" i="30"/>
  <c r="I411" i="30"/>
  <c r="I410" i="30"/>
  <c r="I409" i="30"/>
  <c r="I408" i="30"/>
  <c r="I407" i="30"/>
  <c r="I406" i="30"/>
  <c r="I405" i="30"/>
  <c r="I404" i="30"/>
  <c r="I403" i="30"/>
  <c r="I402" i="30"/>
  <c r="I401" i="30"/>
  <c r="I400" i="30"/>
  <c r="I399" i="30"/>
  <c r="I398" i="30"/>
  <c r="I397" i="30"/>
  <c r="I396" i="30"/>
  <c r="I395" i="30"/>
  <c r="I394" i="30"/>
  <c r="I393" i="30"/>
  <c r="I392" i="30"/>
  <c r="I391" i="30"/>
  <c r="I390" i="30"/>
  <c r="I389" i="30"/>
  <c r="I388" i="30"/>
  <c r="I387" i="30"/>
  <c r="I386" i="30"/>
  <c r="I385" i="30"/>
  <c r="I384" i="30"/>
  <c r="I383" i="30"/>
  <c r="I382" i="30"/>
  <c r="I381" i="30"/>
  <c r="I380" i="30"/>
  <c r="I379" i="30"/>
  <c r="I378" i="30"/>
  <c r="I377" i="30"/>
  <c r="I376" i="30"/>
  <c r="I375" i="30"/>
  <c r="I374" i="30"/>
  <c r="I373" i="30"/>
  <c r="I372" i="30"/>
  <c r="I371" i="30"/>
  <c r="I370" i="30"/>
  <c r="I369" i="30"/>
  <c r="I368" i="30"/>
  <c r="I367" i="30"/>
  <c r="I366" i="30"/>
  <c r="I365" i="30"/>
  <c r="I364" i="30"/>
  <c r="I363" i="30"/>
  <c r="I362" i="30"/>
  <c r="I361" i="30"/>
  <c r="I360" i="30"/>
  <c r="I359" i="30"/>
  <c r="I358" i="30"/>
  <c r="I357" i="30"/>
  <c r="I356" i="30"/>
  <c r="I355" i="30"/>
  <c r="I354" i="30"/>
  <c r="I353" i="30"/>
  <c r="I352" i="30"/>
  <c r="I351" i="30"/>
  <c r="I350" i="30"/>
  <c r="I349" i="30"/>
  <c r="I348" i="30"/>
  <c r="I347" i="30"/>
  <c r="I346" i="30"/>
  <c r="I345" i="30"/>
  <c r="I344" i="30"/>
  <c r="I343" i="30"/>
  <c r="I342" i="30"/>
  <c r="I341" i="30"/>
  <c r="I340" i="30"/>
  <c r="I339" i="30"/>
  <c r="I338" i="30"/>
  <c r="I337" i="30"/>
  <c r="I336" i="30"/>
  <c r="I335" i="30"/>
  <c r="I334" i="30"/>
  <c r="I333" i="30"/>
  <c r="I332" i="30"/>
  <c r="I331" i="30"/>
  <c r="I330" i="30"/>
  <c r="I329" i="30"/>
  <c r="I328" i="30"/>
  <c r="I327" i="30"/>
  <c r="I326" i="30"/>
  <c r="I325" i="30"/>
  <c r="I324" i="30"/>
  <c r="I323" i="30"/>
  <c r="I322" i="30"/>
  <c r="I321" i="30"/>
  <c r="I320" i="30"/>
  <c r="I319" i="30"/>
  <c r="I318" i="30"/>
  <c r="I317" i="30"/>
  <c r="I316" i="30"/>
  <c r="I315" i="30"/>
  <c r="I314" i="30"/>
  <c r="I313" i="30"/>
  <c r="I312" i="30"/>
  <c r="I311" i="30"/>
  <c r="I310" i="30"/>
  <c r="I309" i="30"/>
  <c r="I308" i="30"/>
  <c r="I307" i="30"/>
  <c r="I306" i="30"/>
  <c r="I305" i="30"/>
  <c r="I304" i="30"/>
  <c r="I303" i="30"/>
  <c r="I302" i="30"/>
  <c r="I301" i="30"/>
  <c r="I300" i="30"/>
  <c r="I299" i="30"/>
  <c r="I298" i="30"/>
  <c r="I297" i="30"/>
  <c r="I296" i="30"/>
  <c r="I295" i="30"/>
  <c r="I294" i="30"/>
  <c r="I293" i="30"/>
  <c r="I292" i="30"/>
  <c r="I291" i="30"/>
  <c r="I290" i="30"/>
  <c r="I289" i="30"/>
  <c r="I288" i="30"/>
  <c r="I287" i="30"/>
  <c r="I286" i="30"/>
  <c r="I285" i="30"/>
  <c r="I284" i="30"/>
  <c r="I283" i="30"/>
  <c r="I282" i="30"/>
  <c r="I281" i="30"/>
  <c r="I280" i="30"/>
  <c r="I279" i="30"/>
  <c r="I278" i="30"/>
  <c r="I277" i="30"/>
  <c r="I276" i="30"/>
  <c r="I275" i="30"/>
  <c r="I274" i="30"/>
  <c r="I273" i="30"/>
  <c r="I272" i="30"/>
  <c r="I271" i="30"/>
  <c r="I270" i="30"/>
  <c r="I269" i="30"/>
  <c r="I268" i="30"/>
  <c r="I267" i="30"/>
  <c r="I266" i="30"/>
  <c r="I265" i="30"/>
  <c r="I264" i="30"/>
  <c r="I263" i="30"/>
  <c r="I262" i="30"/>
  <c r="I261" i="30"/>
  <c r="I260" i="30"/>
  <c r="I259" i="30"/>
  <c r="I258" i="30"/>
  <c r="I257" i="30"/>
  <c r="I256" i="30"/>
  <c r="I255" i="30"/>
  <c r="I254" i="30"/>
  <c r="I253" i="30"/>
  <c r="I252" i="30"/>
  <c r="I251" i="30"/>
  <c r="I250" i="30"/>
  <c r="I249" i="30"/>
  <c r="I248" i="30"/>
  <c r="I247" i="30"/>
  <c r="I246" i="30"/>
  <c r="I245" i="30"/>
  <c r="I244" i="30"/>
  <c r="I243" i="30"/>
  <c r="I242" i="30"/>
  <c r="I241" i="30"/>
  <c r="I240" i="30"/>
  <c r="I239" i="30"/>
  <c r="I238" i="30"/>
  <c r="I237" i="30"/>
  <c r="I236" i="30"/>
  <c r="I235" i="30"/>
  <c r="I234" i="30"/>
  <c r="I233" i="30"/>
  <c r="I232" i="30"/>
  <c r="I231" i="30"/>
  <c r="I230" i="30"/>
  <c r="I229" i="30"/>
  <c r="I228" i="30"/>
  <c r="I227" i="30"/>
  <c r="I226" i="30"/>
  <c r="I225" i="30"/>
  <c r="I224" i="30"/>
  <c r="I223" i="30"/>
  <c r="I222" i="30"/>
  <c r="I221" i="30"/>
  <c r="I220" i="30"/>
  <c r="I219" i="30"/>
  <c r="I218" i="30"/>
  <c r="I217" i="30"/>
  <c r="I216" i="30"/>
  <c r="I215" i="30"/>
  <c r="I214" i="30"/>
  <c r="I213" i="30"/>
  <c r="I212" i="30"/>
  <c r="I211" i="30"/>
  <c r="I210" i="30"/>
  <c r="I209" i="30"/>
  <c r="I208" i="30"/>
  <c r="I207" i="30"/>
  <c r="I206" i="30"/>
  <c r="I205" i="30"/>
  <c r="I204" i="30"/>
  <c r="I203" i="30"/>
  <c r="I202" i="30"/>
  <c r="I201" i="30"/>
  <c r="I200" i="30"/>
  <c r="I199" i="30"/>
  <c r="I198" i="30"/>
  <c r="I197" i="30"/>
  <c r="I196" i="30"/>
  <c r="I195" i="30"/>
  <c r="I194" i="30"/>
  <c r="I193" i="30"/>
  <c r="I192" i="30"/>
  <c r="I191" i="30"/>
  <c r="I190" i="30"/>
  <c r="I189" i="30"/>
  <c r="I188" i="30"/>
  <c r="I187" i="30"/>
  <c r="I186" i="30"/>
  <c r="I185" i="30"/>
  <c r="I184" i="30"/>
  <c r="I183" i="30"/>
  <c r="I182" i="30"/>
  <c r="I181" i="30"/>
  <c r="I180" i="30"/>
  <c r="I179" i="30"/>
  <c r="I178" i="30"/>
  <c r="I177" i="30"/>
  <c r="I176" i="30"/>
  <c r="I175" i="30"/>
  <c r="I174" i="30"/>
  <c r="I173" i="30"/>
  <c r="I172" i="30"/>
  <c r="I171" i="30"/>
  <c r="I170" i="30"/>
  <c r="I169" i="30"/>
  <c r="I168" i="30"/>
  <c r="I167" i="30"/>
  <c r="I166" i="30"/>
  <c r="I165" i="30"/>
  <c r="I164" i="30"/>
  <c r="I163" i="30"/>
  <c r="I162" i="30"/>
  <c r="I161" i="30"/>
  <c r="I160" i="30"/>
  <c r="I159" i="30"/>
  <c r="I158" i="30"/>
  <c r="I157" i="30"/>
  <c r="I156" i="30"/>
  <c r="I155" i="30"/>
  <c r="I154" i="30"/>
  <c r="I153" i="30"/>
  <c r="I152" i="30"/>
  <c r="I151" i="30"/>
  <c r="I150" i="30"/>
  <c r="I149" i="30"/>
  <c r="I148" i="30"/>
  <c r="I147" i="30"/>
  <c r="I146" i="30"/>
  <c r="I145" i="30"/>
  <c r="I144" i="30"/>
  <c r="I143" i="30"/>
  <c r="I142" i="30"/>
  <c r="I141" i="30"/>
  <c r="I140" i="30"/>
  <c r="I139" i="30"/>
  <c r="I138" i="30"/>
  <c r="I137" i="30"/>
  <c r="I136" i="30"/>
  <c r="I135" i="30"/>
  <c r="I134" i="30"/>
  <c r="I133" i="30"/>
  <c r="I132" i="30"/>
  <c r="I131" i="30"/>
  <c r="I130" i="30"/>
  <c r="I129" i="30"/>
  <c r="I128" i="30"/>
  <c r="I127" i="30"/>
  <c r="I126" i="30"/>
  <c r="I125" i="30"/>
  <c r="I124" i="30"/>
  <c r="I123" i="30"/>
  <c r="I122" i="30"/>
  <c r="I121" i="30"/>
  <c r="I120" i="30"/>
  <c r="I119" i="30"/>
  <c r="I118" i="30"/>
  <c r="I117" i="30"/>
  <c r="I116" i="30"/>
  <c r="I115" i="30"/>
  <c r="I114" i="30"/>
  <c r="I113" i="30"/>
  <c r="I112" i="30"/>
  <c r="I111" i="30"/>
  <c r="I110" i="30"/>
  <c r="I109" i="30"/>
  <c r="I108" i="30"/>
  <c r="I107" i="30"/>
  <c r="I106" i="30"/>
  <c r="I105" i="30"/>
  <c r="I104" i="30"/>
  <c r="I103" i="30"/>
  <c r="I102" i="30"/>
  <c r="I101" i="30"/>
  <c r="I100" i="30"/>
  <c r="I99" i="30"/>
  <c r="I98" i="30"/>
  <c r="I97" i="30"/>
  <c r="I96" i="30"/>
  <c r="I95" i="30"/>
  <c r="I94" i="30"/>
  <c r="I93" i="30"/>
  <c r="I92" i="30"/>
  <c r="I91" i="30"/>
  <c r="I90" i="30"/>
  <c r="I89" i="30"/>
  <c r="I88" i="30"/>
  <c r="I87" i="30"/>
  <c r="I86" i="30"/>
  <c r="I85" i="30"/>
  <c r="I84" i="30"/>
  <c r="I83" i="30"/>
  <c r="I82" i="30"/>
  <c r="I81" i="30"/>
  <c r="I80" i="30"/>
  <c r="I79" i="30"/>
  <c r="I78" i="30"/>
  <c r="I77" i="30"/>
  <c r="I76" i="30"/>
  <c r="I75" i="30"/>
  <c r="I74" i="30"/>
  <c r="I73" i="30"/>
  <c r="I72" i="30"/>
  <c r="I71" i="30"/>
  <c r="I70" i="30"/>
  <c r="I69" i="30"/>
  <c r="I68" i="30"/>
  <c r="I67" i="30"/>
  <c r="I66" i="30"/>
  <c r="I65" i="30"/>
  <c r="I64" i="30"/>
  <c r="I63" i="30"/>
  <c r="I62" i="30"/>
  <c r="I61" i="30"/>
  <c r="I60" i="30"/>
  <c r="I59" i="30"/>
  <c r="I58" i="30"/>
  <c r="I57" i="30"/>
  <c r="I56" i="30"/>
  <c r="I55" i="30"/>
  <c r="I54" i="30"/>
  <c r="I53" i="30"/>
  <c r="I52" i="30"/>
  <c r="I51" i="30"/>
  <c r="I50" i="30"/>
  <c r="I49" i="30"/>
  <c r="I48" i="30"/>
  <c r="I47" i="30"/>
  <c r="I46" i="30"/>
  <c r="I45" i="30"/>
  <c r="I44" i="30"/>
  <c r="I43" i="30"/>
  <c r="I42" i="30"/>
  <c r="I41" i="30"/>
  <c r="I40" i="30"/>
  <c r="I39" i="30"/>
  <c r="I38" i="30"/>
  <c r="I37" i="30"/>
  <c r="I36" i="30"/>
  <c r="I35" i="30"/>
  <c r="I34" i="30"/>
  <c r="I33" i="30"/>
  <c r="I32" i="30"/>
  <c r="I31" i="30"/>
  <c r="I30" i="30"/>
  <c r="I29" i="30"/>
  <c r="I28" i="30"/>
  <c r="I27" i="30"/>
  <c r="I26" i="30"/>
  <c r="I25" i="30"/>
  <c r="I24" i="30"/>
  <c r="I23" i="30"/>
  <c r="I22" i="30"/>
  <c r="I21" i="30"/>
  <c r="I20" i="30"/>
  <c r="I19" i="30"/>
  <c r="I18" i="30"/>
  <c r="I17" i="30"/>
  <c r="I16" i="30"/>
  <c r="I2" i="30"/>
  <c r="I3" i="30"/>
  <c r="I4" i="30"/>
  <c r="I5" i="30"/>
  <c r="I6" i="30"/>
  <c r="I7" i="30"/>
  <c r="I8" i="30"/>
  <c r="I9" i="30"/>
  <c r="I10" i="30"/>
  <c r="I11" i="30"/>
  <c r="I12" i="30"/>
  <c r="I13" i="30"/>
  <c r="I14" i="30"/>
  <c r="I15" i="30"/>
  <c r="I1114" i="30"/>
  <c r="H124" i="21"/>
  <c r="H123" i="21"/>
  <c r="H122" i="21"/>
  <c r="H121" i="21"/>
  <c r="H120" i="21"/>
  <c r="H119" i="21"/>
  <c r="H118" i="21"/>
  <c r="H117" i="21"/>
  <c r="H116" i="21"/>
  <c r="H115" i="21"/>
  <c r="H114" i="21"/>
  <c r="H113" i="21"/>
  <c r="H112" i="21"/>
  <c r="H111" i="21"/>
  <c r="H110" i="21"/>
  <c r="H109" i="21"/>
  <c r="H108" i="21"/>
  <c r="H107" i="21"/>
  <c r="H106" i="21"/>
  <c r="H105" i="21"/>
  <c r="H104" i="21"/>
  <c r="H103" i="21"/>
  <c r="H102" i="21"/>
  <c r="H101" i="21"/>
  <c r="H100" i="21"/>
  <c r="H99" i="21"/>
  <c r="H98" i="21"/>
  <c r="H97" i="21"/>
  <c r="H96" i="21"/>
  <c r="H95" i="21"/>
  <c r="H94" i="21"/>
  <c r="H93" i="21"/>
  <c r="H92" i="21"/>
  <c r="H91" i="21"/>
  <c r="H90" i="21"/>
  <c r="H89" i="21"/>
  <c r="H88" i="21"/>
  <c r="H87" i="21"/>
  <c r="H86" i="21"/>
  <c r="H85" i="21"/>
  <c r="H84" i="21"/>
  <c r="H83" i="21"/>
  <c r="H82" i="21"/>
  <c r="H81" i="21"/>
  <c r="H80" i="21"/>
  <c r="H79" i="21"/>
  <c r="H78" i="21"/>
  <c r="H77" i="21"/>
  <c r="H76" i="21"/>
  <c r="H75" i="21"/>
  <c r="H74" i="21"/>
  <c r="H73" i="21"/>
  <c r="H72" i="21"/>
  <c r="H71" i="21"/>
  <c r="H70" i="21"/>
  <c r="H69" i="21"/>
  <c r="H68" i="21"/>
  <c r="H67" i="21"/>
  <c r="H66" i="21"/>
  <c r="H65" i="21"/>
  <c r="H64" i="21"/>
  <c r="H63" i="21"/>
  <c r="H62" i="21"/>
  <c r="H61" i="21"/>
  <c r="H60" i="21"/>
  <c r="H59" i="21"/>
  <c r="H58" i="21"/>
  <c r="H57" i="21"/>
  <c r="H56" i="21"/>
  <c r="H55" i="21"/>
  <c r="H54" i="21"/>
  <c r="H53" i="21"/>
  <c r="H52" i="21"/>
  <c r="H51" i="21"/>
  <c r="H50" i="21"/>
  <c r="H49" i="21"/>
  <c r="H48" i="21"/>
  <c r="H47" i="21"/>
  <c r="H46" i="21"/>
  <c r="H45" i="21"/>
  <c r="H44" i="21"/>
  <c r="H43" i="21"/>
  <c r="H42" i="21"/>
  <c r="H41" i="21"/>
  <c r="H40" i="21"/>
  <c r="H39" i="21"/>
  <c r="H38" i="21"/>
  <c r="H37" i="21"/>
  <c r="H36" i="21"/>
  <c r="H35" i="21"/>
  <c r="H34" i="21"/>
  <c r="H33" i="21"/>
  <c r="H32" i="21"/>
  <c r="H31" i="21"/>
  <c r="H30" i="21"/>
  <c r="H29" i="21"/>
  <c r="H28" i="21"/>
  <c r="H27" i="21"/>
  <c r="H26" i="21"/>
  <c r="H25" i="21"/>
  <c r="H24" i="21"/>
  <c r="H23" i="21"/>
  <c r="H22" i="21"/>
  <c r="H21" i="21"/>
  <c r="H20" i="21"/>
  <c r="H19" i="21"/>
  <c r="H18" i="21"/>
  <c r="H17" i="21"/>
  <c r="H16" i="21"/>
  <c r="H15" i="21"/>
  <c r="H14" i="21"/>
  <c r="H13" i="21"/>
  <c r="H12" i="21"/>
  <c r="H11" i="21"/>
  <c r="H10" i="21"/>
  <c r="H9" i="21"/>
  <c r="H8" i="21"/>
  <c r="H7" i="21"/>
  <c r="H6" i="21"/>
  <c r="H5" i="21"/>
  <c r="H4" i="21"/>
  <c r="H3" i="21"/>
  <c r="H2" i="21"/>
  <c r="H103" i="16"/>
  <c r="H102" i="16"/>
  <c r="H101" i="16"/>
  <c r="H100" i="16"/>
  <c r="H99" i="16"/>
  <c r="H98" i="16"/>
  <c r="H97" i="16"/>
  <c r="H96" i="16"/>
  <c r="H95" i="16"/>
  <c r="H94" i="16"/>
  <c r="H93" i="16"/>
  <c r="H92" i="16"/>
  <c r="H91" i="16"/>
  <c r="H90" i="16"/>
  <c r="H89" i="16"/>
  <c r="H88" i="16"/>
  <c r="H87" i="16"/>
  <c r="H86" i="16"/>
  <c r="H85" i="16"/>
  <c r="H84" i="16"/>
  <c r="H83" i="16"/>
  <c r="H82" i="16"/>
  <c r="H81" i="16"/>
  <c r="H80" i="16"/>
  <c r="H79" i="16"/>
  <c r="H78" i="16"/>
  <c r="H77" i="16"/>
  <c r="H76" i="16"/>
  <c r="H75" i="16"/>
  <c r="H74" i="16"/>
  <c r="H73" i="16"/>
  <c r="H72" i="16"/>
  <c r="H71" i="16"/>
  <c r="H70" i="16"/>
  <c r="H69" i="16"/>
  <c r="H68" i="16"/>
  <c r="H67" i="16"/>
  <c r="H66" i="16"/>
  <c r="H65" i="16"/>
  <c r="H64" i="16"/>
  <c r="H63" i="16"/>
  <c r="H62" i="16"/>
  <c r="H61" i="16"/>
  <c r="H60" i="16"/>
  <c r="H59" i="16"/>
  <c r="H58" i="16"/>
  <c r="H57" i="16"/>
  <c r="H56" i="16"/>
  <c r="H55" i="16"/>
  <c r="H54" i="16"/>
  <c r="H53" i="16"/>
  <c r="H52" i="16"/>
  <c r="H51" i="16"/>
  <c r="H50" i="16"/>
  <c r="H49" i="16"/>
  <c r="H48" i="16"/>
  <c r="H47" i="16"/>
  <c r="H46" i="16"/>
  <c r="H45" i="16"/>
  <c r="H44" i="16"/>
  <c r="H43" i="16"/>
  <c r="H42" i="16"/>
  <c r="H41" i="16"/>
  <c r="H40" i="16"/>
  <c r="H39" i="16"/>
  <c r="H38" i="16"/>
  <c r="H37" i="16"/>
  <c r="H36" i="16"/>
  <c r="H35" i="16"/>
  <c r="H34" i="16"/>
  <c r="H33" i="16"/>
  <c r="H32" i="16"/>
  <c r="H31" i="16"/>
  <c r="H30" i="16"/>
  <c r="H29" i="16"/>
  <c r="H28" i="16"/>
  <c r="H27" i="16"/>
  <c r="H26" i="16"/>
  <c r="H25" i="16"/>
  <c r="H24" i="16"/>
  <c r="H23" i="16"/>
  <c r="H22" i="16"/>
  <c r="H21" i="16"/>
  <c r="H20" i="16"/>
  <c r="H19" i="16"/>
  <c r="H18" i="16"/>
  <c r="H17" i="16"/>
  <c r="H16" i="16"/>
  <c r="H15" i="16"/>
  <c r="H14" i="16"/>
  <c r="H13" i="16"/>
  <c r="H12" i="16"/>
  <c r="H11" i="16"/>
  <c r="H10" i="16"/>
  <c r="H9" i="16"/>
  <c r="H8" i="16"/>
  <c r="H7" i="16"/>
  <c r="H6" i="16"/>
  <c r="H5" i="16"/>
  <c r="H4" i="16"/>
  <c r="H3" i="16"/>
  <c r="H2" i="16"/>
  <c r="H104" i="12"/>
  <c r="H103" i="12"/>
  <c r="H102" i="12"/>
  <c r="H101" i="12"/>
  <c r="H100" i="12"/>
  <c r="H99" i="12"/>
  <c r="H98" i="12"/>
  <c r="H97" i="12"/>
  <c r="H96" i="12"/>
  <c r="H95" i="12"/>
  <c r="H94" i="12"/>
  <c r="H93" i="12"/>
  <c r="H92" i="12"/>
  <c r="H91" i="12"/>
  <c r="H90" i="12"/>
  <c r="H89" i="12"/>
  <c r="H88" i="12"/>
  <c r="H87" i="12"/>
  <c r="H86" i="12"/>
  <c r="H85" i="12"/>
  <c r="H84" i="12"/>
  <c r="H83" i="12"/>
  <c r="H82" i="12"/>
  <c r="H81" i="12"/>
  <c r="H80" i="12"/>
  <c r="H79" i="12"/>
  <c r="H78" i="12"/>
  <c r="H77" i="12"/>
  <c r="H76" i="12"/>
  <c r="H75" i="12"/>
  <c r="H74" i="12"/>
  <c r="H73" i="12"/>
  <c r="H72" i="12"/>
  <c r="H71" i="12"/>
  <c r="H70" i="12"/>
  <c r="H69" i="12"/>
  <c r="H68" i="12"/>
  <c r="H67" i="12"/>
  <c r="H66" i="12"/>
  <c r="H65" i="12"/>
  <c r="H64" i="12"/>
  <c r="H63" i="12"/>
  <c r="H62" i="12"/>
  <c r="H61" i="12"/>
  <c r="H60" i="12"/>
  <c r="H59" i="12"/>
  <c r="H58" i="12"/>
  <c r="H57" i="12"/>
  <c r="H56" i="12"/>
  <c r="H55" i="12"/>
  <c r="H54" i="12"/>
  <c r="H53" i="12"/>
  <c r="H52" i="12"/>
  <c r="H51" i="12"/>
  <c r="H50" i="12"/>
  <c r="H49" i="12"/>
  <c r="H48" i="12"/>
  <c r="H47" i="12"/>
  <c r="H46" i="12"/>
  <c r="H45" i="12"/>
  <c r="H44" i="12"/>
  <c r="H43" i="12"/>
  <c r="H42" i="12"/>
  <c r="H41" i="12"/>
  <c r="H40" i="12"/>
  <c r="H39" i="12"/>
  <c r="H38" i="12"/>
  <c r="H37" i="12"/>
  <c r="H36" i="12"/>
  <c r="H35" i="12"/>
  <c r="H34" i="12"/>
  <c r="H33" i="12"/>
  <c r="H32" i="12"/>
  <c r="H31" i="12"/>
  <c r="H30" i="12"/>
  <c r="H29" i="12"/>
  <c r="H28" i="12"/>
  <c r="H27" i="12"/>
  <c r="H26" i="12"/>
  <c r="H25" i="12"/>
  <c r="H24" i="12"/>
  <c r="H23" i="12"/>
  <c r="H22" i="12"/>
  <c r="H21" i="12"/>
  <c r="H20" i="12"/>
  <c r="H19" i="12"/>
  <c r="H18" i="12"/>
  <c r="H17" i="12"/>
  <c r="H16" i="12"/>
  <c r="H15" i="12"/>
  <c r="H14" i="12"/>
  <c r="H13" i="12"/>
  <c r="H12" i="12"/>
  <c r="H11" i="12"/>
  <c r="H10" i="12"/>
  <c r="H9" i="12"/>
  <c r="H8" i="12"/>
  <c r="H7" i="12"/>
  <c r="H6" i="12"/>
  <c r="H5" i="12"/>
  <c r="H4" i="12"/>
  <c r="H3" i="12"/>
  <c r="H2" i="12"/>
  <c r="H99" i="19"/>
  <c r="H98" i="19"/>
  <c r="H97" i="19"/>
  <c r="H96" i="19"/>
  <c r="H95" i="19"/>
  <c r="H94" i="19"/>
  <c r="H93" i="19"/>
  <c r="H92" i="19"/>
  <c r="H91" i="19"/>
  <c r="H90" i="19"/>
  <c r="H89" i="19"/>
  <c r="H88" i="19"/>
  <c r="H87" i="19"/>
  <c r="H86" i="19"/>
  <c r="H85" i="19"/>
  <c r="H84" i="19"/>
  <c r="H83" i="19"/>
  <c r="H82" i="19"/>
  <c r="H81" i="19"/>
  <c r="H80" i="19"/>
  <c r="H79" i="19"/>
  <c r="H78" i="19"/>
  <c r="H77" i="19"/>
  <c r="H76" i="19"/>
  <c r="H75" i="19"/>
  <c r="H74" i="19"/>
  <c r="H73" i="19"/>
  <c r="H72" i="19"/>
  <c r="H71" i="19"/>
  <c r="H70" i="19"/>
  <c r="H69" i="19"/>
  <c r="H68" i="19"/>
  <c r="H67" i="19"/>
  <c r="H66" i="19"/>
  <c r="H65" i="19"/>
  <c r="H64" i="19"/>
  <c r="H63" i="19"/>
  <c r="H62" i="19"/>
  <c r="H61" i="19"/>
  <c r="H60" i="19"/>
  <c r="H59" i="19"/>
  <c r="H58" i="19"/>
  <c r="H57" i="19"/>
  <c r="H56" i="19"/>
  <c r="H55" i="19"/>
  <c r="H54" i="19"/>
  <c r="H53" i="19"/>
  <c r="H52" i="19"/>
  <c r="H51" i="19"/>
  <c r="H50" i="19"/>
  <c r="H49" i="19"/>
  <c r="H48" i="19"/>
  <c r="H47" i="19"/>
  <c r="H46" i="19"/>
  <c r="H45" i="19"/>
  <c r="H44" i="19"/>
  <c r="H43" i="19"/>
  <c r="H42" i="19"/>
  <c r="H41" i="19"/>
  <c r="H40" i="19"/>
  <c r="H39" i="19"/>
  <c r="H38" i="19"/>
  <c r="H37" i="19"/>
  <c r="H36" i="19"/>
  <c r="H35" i="19"/>
  <c r="H34" i="19"/>
  <c r="H33" i="19"/>
  <c r="H32" i="19"/>
  <c r="H31" i="19"/>
  <c r="H30" i="19"/>
  <c r="H29" i="19"/>
  <c r="H28" i="19"/>
  <c r="H27" i="19"/>
  <c r="H26" i="19"/>
  <c r="H25" i="19"/>
  <c r="H24" i="19"/>
  <c r="H23" i="19"/>
  <c r="H22" i="19"/>
  <c r="H21" i="19"/>
  <c r="H20" i="19"/>
  <c r="H19" i="19"/>
  <c r="H18" i="19"/>
  <c r="H17" i="19"/>
  <c r="H16" i="19"/>
  <c r="H15" i="19"/>
  <c r="H14" i="19"/>
  <c r="H13" i="19"/>
  <c r="H12" i="19"/>
  <c r="H11" i="19"/>
  <c r="H10" i="19"/>
  <c r="H9" i="19"/>
  <c r="H8" i="19"/>
  <c r="H7" i="19"/>
  <c r="H6" i="19"/>
  <c r="H5" i="19"/>
  <c r="H4" i="19"/>
  <c r="H3" i="19"/>
  <c r="H2" i="19"/>
  <c r="H37" i="11"/>
  <c r="H36" i="11"/>
  <c r="H35" i="11"/>
  <c r="H34" i="11"/>
  <c r="H33" i="11"/>
  <c r="H32" i="11"/>
  <c r="H31" i="11"/>
  <c r="H30" i="11"/>
  <c r="H29" i="11"/>
  <c r="H28" i="11"/>
  <c r="H27" i="11"/>
  <c r="H26" i="11"/>
  <c r="H25" i="11"/>
  <c r="H24" i="11"/>
  <c r="H23" i="11"/>
  <c r="H22" i="11"/>
  <c r="H21" i="11"/>
  <c r="H20" i="11"/>
  <c r="H19" i="11"/>
  <c r="H18" i="11"/>
  <c r="H17" i="11"/>
  <c r="H16" i="11"/>
  <c r="H15" i="11"/>
  <c r="H14" i="11"/>
  <c r="H13" i="11"/>
  <c r="H12" i="11"/>
  <c r="H11" i="11"/>
  <c r="H10" i="11"/>
  <c r="H9" i="11"/>
  <c r="H8" i="11"/>
  <c r="H7" i="11"/>
  <c r="H6" i="11"/>
  <c r="H5" i="11"/>
  <c r="H4" i="11"/>
  <c r="H3" i="11"/>
  <c r="H2" i="11"/>
  <c r="H116" i="6"/>
  <c r="H115" i="6"/>
  <c r="H114" i="6"/>
  <c r="H113" i="6"/>
  <c r="H112" i="6"/>
  <c r="H111" i="6"/>
  <c r="H110" i="6"/>
  <c r="H109" i="6"/>
  <c r="H108" i="6"/>
  <c r="H107" i="6"/>
  <c r="H106" i="6"/>
  <c r="H105" i="6"/>
  <c r="H104" i="6"/>
  <c r="H103" i="6"/>
  <c r="H102" i="6"/>
  <c r="H101" i="6"/>
  <c r="H100" i="6"/>
  <c r="H99" i="6"/>
  <c r="H98" i="6"/>
  <c r="H97" i="6"/>
  <c r="H96" i="6"/>
  <c r="H95" i="6"/>
  <c r="H94" i="6"/>
  <c r="H93" i="6"/>
  <c r="H92" i="6"/>
  <c r="H91" i="6"/>
  <c r="H90" i="6"/>
  <c r="H89" i="6"/>
  <c r="H88" i="6"/>
  <c r="H87" i="6"/>
  <c r="H86" i="6"/>
  <c r="H85" i="6"/>
  <c r="H84" i="6"/>
  <c r="H83" i="6"/>
  <c r="H82" i="6"/>
  <c r="H81" i="6"/>
  <c r="H80" i="6"/>
  <c r="H79" i="6"/>
  <c r="H78" i="6"/>
  <c r="H77" i="6"/>
  <c r="H76" i="6"/>
  <c r="H75" i="6"/>
  <c r="H74" i="6"/>
  <c r="H73" i="6"/>
  <c r="H72" i="6"/>
  <c r="H71" i="6"/>
  <c r="H70" i="6"/>
  <c r="H69" i="6"/>
  <c r="H68" i="6"/>
  <c r="H67" i="6"/>
  <c r="H66" i="6"/>
  <c r="H65" i="6"/>
  <c r="H64" i="6"/>
  <c r="H63" i="6"/>
  <c r="H62" i="6"/>
  <c r="H61" i="6"/>
  <c r="H60" i="6"/>
  <c r="H59" i="6"/>
  <c r="H58" i="6"/>
  <c r="H57" i="6"/>
  <c r="H56" i="6"/>
  <c r="H55" i="6"/>
  <c r="H54" i="6"/>
  <c r="H53" i="6"/>
  <c r="H52" i="6"/>
  <c r="H51" i="6"/>
  <c r="H50" i="6"/>
  <c r="H49" i="6"/>
  <c r="H48" i="6"/>
  <c r="H47" i="6"/>
  <c r="H46" i="6"/>
  <c r="H45" i="6"/>
  <c r="H44" i="6"/>
  <c r="H43" i="6"/>
  <c r="H42" i="6"/>
  <c r="H41" i="6"/>
  <c r="H40" i="6"/>
  <c r="H39" i="6"/>
  <c r="H38" i="6"/>
  <c r="H37" i="6"/>
  <c r="H36" i="6"/>
  <c r="H35" i="6"/>
  <c r="H34" i="6"/>
  <c r="H33" i="6"/>
  <c r="H32" i="6"/>
  <c r="H31" i="6"/>
  <c r="H30" i="6"/>
  <c r="H29" i="6"/>
  <c r="H28" i="6"/>
  <c r="H27" i="6"/>
  <c r="H26" i="6"/>
  <c r="H25" i="6"/>
  <c r="H24" i="6"/>
  <c r="H23" i="6"/>
  <c r="H22" i="6"/>
  <c r="H21" i="6"/>
  <c r="H20" i="6"/>
  <c r="H19" i="6"/>
  <c r="H18" i="6"/>
  <c r="H17" i="6"/>
  <c r="H16" i="6"/>
  <c r="H15" i="6"/>
  <c r="H14" i="6"/>
  <c r="H13" i="6"/>
  <c r="H12" i="6"/>
  <c r="H11" i="6"/>
  <c r="H10" i="6"/>
  <c r="H9" i="6"/>
  <c r="H8" i="6"/>
  <c r="H7" i="6"/>
  <c r="H6" i="6"/>
  <c r="H5" i="6"/>
  <c r="H4" i="6"/>
  <c r="H3" i="6"/>
  <c r="H2" i="6"/>
  <c r="H225" i="4"/>
  <c r="H224" i="4"/>
  <c r="H223" i="4"/>
  <c r="H222" i="4"/>
  <c r="H221" i="4"/>
  <c r="H220" i="4"/>
  <c r="H219" i="4"/>
  <c r="H218" i="4"/>
  <c r="H217" i="4"/>
  <c r="H216" i="4"/>
  <c r="H215" i="4"/>
  <c r="H214" i="4"/>
  <c r="H213" i="4"/>
  <c r="H212" i="4"/>
  <c r="H211" i="4"/>
  <c r="H210" i="4"/>
  <c r="H209" i="4"/>
  <c r="H208" i="4"/>
  <c r="H207" i="4"/>
  <c r="H206" i="4"/>
  <c r="H205" i="4"/>
  <c r="H204" i="4"/>
  <c r="H203" i="4"/>
  <c r="H202" i="4"/>
  <c r="H201" i="4"/>
  <c r="H200" i="4"/>
  <c r="H199" i="4"/>
  <c r="H198" i="4"/>
  <c r="H197" i="4"/>
  <c r="H196" i="4"/>
  <c r="H195" i="4"/>
  <c r="H194" i="4"/>
  <c r="H193" i="4"/>
  <c r="H192" i="4"/>
  <c r="H191" i="4"/>
  <c r="H190" i="4"/>
  <c r="H189" i="4"/>
  <c r="H188" i="4"/>
  <c r="H187" i="4"/>
  <c r="H186" i="4"/>
  <c r="H185" i="4"/>
  <c r="H184" i="4"/>
  <c r="H183" i="4"/>
  <c r="H182" i="4"/>
  <c r="H181" i="4"/>
  <c r="H180" i="4"/>
  <c r="H179" i="4"/>
  <c r="H178" i="4"/>
  <c r="H177" i="4"/>
  <c r="H176" i="4"/>
  <c r="H175" i="4"/>
  <c r="H174" i="4"/>
  <c r="H173" i="4"/>
  <c r="H172" i="4"/>
  <c r="H171" i="4"/>
  <c r="H170" i="4"/>
  <c r="H169" i="4"/>
  <c r="H168" i="4"/>
  <c r="H167" i="4"/>
  <c r="H166" i="4"/>
  <c r="H165" i="4"/>
  <c r="H164" i="4"/>
  <c r="H163" i="4"/>
  <c r="H162" i="4"/>
  <c r="H161" i="4"/>
  <c r="H160" i="4"/>
  <c r="H159" i="4"/>
  <c r="H158" i="4"/>
  <c r="H157" i="4"/>
  <c r="H156" i="4"/>
  <c r="H155" i="4"/>
  <c r="H154" i="4"/>
  <c r="H153" i="4"/>
  <c r="H152" i="4"/>
  <c r="H151" i="4"/>
  <c r="H150" i="4"/>
  <c r="H149" i="4"/>
  <c r="H148" i="4"/>
  <c r="H147" i="4"/>
  <c r="H146" i="4"/>
  <c r="H145" i="4"/>
  <c r="H144" i="4"/>
  <c r="H143" i="4"/>
  <c r="H142" i="4"/>
  <c r="H141" i="4"/>
  <c r="H140" i="4"/>
  <c r="H139" i="4"/>
  <c r="H138" i="4"/>
  <c r="H137" i="4"/>
  <c r="H136" i="4"/>
  <c r="H135" i="4"/>
  <c r="H134" i="4"/>
  <c r="H133" i="4"/>
  <c r="H132" i="4"/>
  <c r="H131" i="4"/>
  <c r="H130" i="4"/>
  <c r="H129" i="4"/>
  <c r="H128" i="4"/>
  <c r="H127" i="4"/>
  <c r="H126" i="4"/>
  <c r="H125" i="4"/>
  <c r="H124" i="4"/>
  <c r="H123" i="4"/>
  <c r="H122" i="4"/>
  <c r="H121" i="4"/>
  <c r="H120" i="4"/>
  <c r="H119" i="4"/>
  <c r="H118" i="4"/>
  <c r="H117" i="4"/>
  <c r="H116" i="4"/>
  <c r="H115" i="4"/>
  <c r="H114" i="4"/>
  <c r="H113" i="4"/>
  <c r="H112" i="4"/>
  <c r="H111" i="4"/>
  <c r="H110" i="4"/>
  <c r="H109" i="4"/>
  <c r="H108" i="4"/>
  <c r="H107" i="4"/>
  <c r="H106" i="4"/>
  <c r="H105" i="4"/>
  <c r="H104" i="4"/>
  <c r="H103" i="4"/>
  <c r="H102" i="4"/>
  <c r="H101" i="4"/>
  <c r="H100" i="4"/>
  <c r="H99" i="4"/>
  <c r="H98" i="4"/>
  <c r="H97" i="4"/>
  <c r="H96" i="4"/>
  <c r="H95" i="4"/>
  <c r="H94" i="4"/>
  <c r="H93" i="4"/>
  <c r="H92" i="4"/>
  <c r="H91" i="4"/>
  <c r="H90" i="4"/>
  <c r="H89" i="4"/>
  <c r="H88" i="4"/>
  <c r="H87" i="4"/>
  <c r="H86" i="4"/>
  <c r="H85" i="4"/>
  <c r="H84" i="4"/>
  <c r="H83" i="4"/>
  <c r="H82" i="4"/>
  <c r="H81" i="4"/>
  <c r="H80" i="4"/>
  <c r="H79" i="4"/>
  <c r="H78" i="4"/>
  <c r="H77" i="4"/>
  <c r="H76" i="4"/>
  <c r="H75" i="4"/>
  <c r="H74" i="4"/>
  <c r="H73" i="4"/>
  <c r="H72" i="4"/>
  <c r="H71" i="4"/>
  <c r="H70" i="4"/>
  <c r="H69" i="4"/>
  <c r="H68" i="4"/>
  <c r="H67" i="4"/>
  <c r="H66" i="4"/>
  <c r="H65" i="4"/>
  <c r="H64" i="4"/>
  <c r="H63" i="4"/>
  <c r="H62" i="4"/>
  <c r="H61" i="4"/>
  <c r="H60" i="4"/>
  <c r="H59" i="4"/>
  <c r="H58" i="4"/>
  <c r="H57" i="4"/>
  <c r="H56" i="4"/>
  <c r="H55" i="4"/>
  <c r="H54" i="4"/>
  <c r="H53" i="4"/>
  <c r="H52" i="4"/>
  <c r="H51" i="4"/>
  <c r="H50" i="4"/>
  <c r="H49" i="4"/>
  <c r="H48" i="4"/>
  <c r="H47" i="4"/>
  <c r="H46" i="4"/>
  <c r="H45" i="4"/>
  <c r="H44" i="4"/>
  <c r="H43" i="4"/>
  <c r="H42" i="4"/>
  <c r="H41" i="4"/>
  <c r="H40" i="4"/>
  <c r="H39" i="4"/>
  <c r="H38" i="4"/>
  <c r="H37" i="4"/>
  <c r="H36" i="4"/>
  <c r="H35" i="4"/>
  <c r="H34" i="4"/>
  <c r="H33" i="4"/>
  <c r="H32" i="4"/>
  <c r="H31" i="4"/>
  <c r="H30" i="4"/>
  <c r="H29" i="4"/>
  <c r="H28" i="4"/>
  <c r="H27" i="4"/>
  <c r="H26" i="4"/>
  <c r="H25" i="4"/>
  <c r="H24" i="4"/>
  <c r="H23" i="4"/>
  <c r="H22" i="4"/>
  <c r="H21" i="4"/>
  <c r="H20" i="4"/>
  <c r="H19" i="4"/>
  <c r="H18" i="4"/>
  <c r="H17" i="4"/>
  <c r="H16" i="4"/>
  <c r="H15" i="4"/>
  <c r="H14" i="4"/>
  <c r="H13" i="4"/>
  <c r="H12" i="4"/>
  <c r="H11" i="4"/>
  <c r="H10" i="4"/>
  <c r="H9" i="4"/>
  <c r="H8" i="4"/>
  <c r="H7" i="4"/>
  <c r="H6" i="4"/>
  <c r="H5" i="4"/>
  <c r="H4" i="4"/>
  <c r="H3" i="4"/>
  <c r="H2" i="4"/>
  <c r="H5" i="29"/>
  <c r="H4" i="29"/>
  <c r="H3" i="29"/>
  <c r="H2" i="29"/>
  <c r="H330" i="3"/>
  <c r="H329" i="3"/>
  <c r="H328" i="3"/>
  <c r="H327" i="3"/>
  <c r="H326" i="3"/>
  <c r="H325" i="3"/>
  <c r="H324" i="3"/>
  <c r="H323" i="3"/>
  <c r="H322" i="3"/>
  <c r="H321" i="3"/>
  <c r="H320" i="3"/>
  <c r="H319" i="3"/>
  <c r="H318" i="3"/>
  <c r="H317" i="3"/>
  <c r="H316" i="3"/>
  <c r="H315" i="3"/>
  <c r="H314" i="3"/>
  <c r="H313" i="3"/>
  <c r="H312" i="3"/>
  <c r="H311" i="3"/>
  <c r="H310" i="3"/>
  <c r="H309" i="3"/>
  <c r="H308" i="3"/>
  <c r="H307" i="3"/>
  <c r="H306" i="3"/>
  <c r="H305" i="3"/>
  <c r="H304" i="3"/>
  <c r="H303" i="3"/>
  <c r="H302" i="3"/>
  <c r="H301" i="3"/>
  <c r="H300" i="3"/>
  <c r="H299" i="3"/>
  <c r="H298" i="3"/>
  <c r="H297" i="3"/>
  <c r="H296" i="3"/>
  <c r="H295" i="3"/>
  <c r="H294" i="3"/>
  <c r="H293" i="3"/>
  <c r="H292" i="3"/>
  <c r="H291" i="3"/>
  <c r="H290" i="3"/>
  <c r="H289" i="3"/>
  <c r="H288" i="3"/>
  <c r="H287" i="3"/>
  <c r="H286" i="3"/>
  <c r="H285" i="3"/>
  <c r="H284" i="3"/>
  <c r="H283" i="3"/>
  <c r="H282" i="3"/>
  <c r="H281" i="3"/>
  <c r="H280" i="3"/>
  <c r="H279" i="3"/>
  <c r="H278" i="3"/>
  <c r="H277" i="3"/>
  <c r="H276" i="3"/>
  <c r="H275" i="3"/>
  <c r="H274" i="3"/>
  <c r="H273" i="3"/>
  <c r="H272" i="3"/>
  <c r="H271" i="3"/>
  <c r="H270" i="3"/>
  <c r="H269" i="3"/>
  <c r="H268" i="3"/>
  <c r="H267" i="3"/>
  <c r="H266" i="3"/>
  <c r="H265" i="3"/>
  <c r="H264" i="3"/>
  <c r="H263" i="3"/>
  <c r="H262" i="3"/>
  <c r="H261" i="3"/>
  <c r="H260" i="3"/>
  <c r="H259" i="3"/>
  <c r="H258" i="3"/>
  <c r="H257" i="3"/>
  <c r="H256" i="3"/>
  <c r="H255" i="3"/>
  <c r="H254" i="3"/>
  <c r="H253" i="3"/>
  <c r="H252" i="3"/>
  <c r="H251" i="3"/>
  <c r="H250" i="3"/>
  <c r="H249" i="3"/>
  <c r="H248" i="3"/>
  <c r="H247" i="3"/>
  <c r="H246" i="3"/>
  <c r="H245" i="3"/>
  <c r="H244" i="3"/>
  <c r="H243" i="3"/>
  <c r="H242" i="3"/>
  <c r="H241" i="3"/>
  <c r="H240" i="3"/>
  <c r="H239" i="3"/>
  <c r="H238" i="3"/>
  <c r="H237" i="3"/>
  <c r="H236" i="3"/>
  <c r="H235" i="3"/>
  <c r="H234" i="3"/>
  <c r="H233" i="3"/>
  <c r="H232" i="3"/>
  <c r="H231" i="3"/>
  <c r="H230" i="3"/>
  <c r="H229" i="3"/>
  <c r="H228" i="3"/>
  <c r="H227" i="3"/>
  <c r="H226" i="3"/>
  <c r="H225" i="3"/>
  <c r="H224" i="3"/>
  <c r="H223" i="3"/>
  <c r="H222" i="3"/>
  <c r="H221" i="3"/>
  <c r="H220" i="3"/>
  <c r="H219" i="3"/>
  <c r="H218" i="3"/>
  <c r="H217" i="3"/>
  <c r="H216" i="3"/>
  <c r="H215" i="3"/>
  <c r="H214" i="3"/>
  <c r="H213" i="3"/>
  <c r="H212" i="3"/>
  <c r="H211" i="3"/>
  <c r="H210" i="3"/>
  <c r="H209" i="3"/>
  <c r="H208" i="3"/>
  <c r="H207" i="3"/>
  <c r="H206" i="3"/>
  <c r="H205" i="3"/>
  <c r="H204" i="3"/>
  <c r="H203" i="3"/>
  <c r="H202" i="3"/>
  <c r="H201" i="3"/>
  <c r="H200" i="3"/>
  <c r="H199" i="3"/>
  <c r="H198" i="3"/>
  <c r="H197" i="3"/>
  <c r="H196" i="3"/>
  <c r="H195" i="3"/>
  <c r="H194" i="3"/>
  <c r="H193" i="3"/>
  <c r="H192" i="3"/>
  <c r="H191" i="3"/>
  <c r="H190" i="3"/>
  <c r="H189" i="3"/>
  <c r="H188" i="3"/>
  <c r="H187" i="3"/>
  <c r="H186" i="3"/>
  <c r="H185" i="3"/>
  <c r="H184" i="3"/>
  <c r="H183" i="3"/>
  <c r="H182" i="3"/>
  <c r="H181" i="3"/>
  <c r="H180" i="3"/>
  <c r="H179" i="3"/>
  <c r="H178" i="3"/>
  <c r="H177" i="3"/>
  <c r="H176" i="3"/>
  <c r="H175" i="3"/>
  <c r="H174" i="3"/>
  <c r="H173" i="3"/>
  <c r="H172" i="3"/>
  <c r="H171" i="3"/>
  <c r="H170" i="3"/>
  <c r="H169" i="3"/>
  <c r="H168" i="3"/>
  <c r="H167" i="3"/>
  <c r="H166" i="3"/>
  <c r="H165" i="3"/>
  <c r="H164" i="3"/>
  <c r="H163" i="3"/>
  <c r="H162" i="3"/>
  <c r="H161" i="3"/>
  <c r="H160" i="3"/>
  <c r="H159" i="3"/>
  <c r="H158" i="3"/>
  <c r="H157" i="3"/>
  <c r="H156" i="3"/>
  <c r="H155" i="3"/>
  <c r="H154" i="3"/>
  <c r="H153" i="3"/>
  <c r="H152" i="3"/>
  <c r="H151" i="3"/>
  <c r="H150" i="3"/>
  <c r="H149" i="3"/>
  <c r="H148" i="3"/>
  <c r="H147" i="3"/>
  <c r="H146" i="3"/>
  <c r="H145" i="3"/>
  <c r="H144" i="3"/>
  <c r="H143" i="3"/>
  <c r="H142" i="3"/>
  <c r="H141" i="3"/>
  <c r="H140" i="3"/>
  <c r="H139" i="3"/>
  <c r="H138" i="3"/>
  <c r="H137" i="3"/>
  <c r="H136" i="3"/>
  <c r="H135" i="3"/>
  <c r="H134" i="3"/>
  <c r="H133" i="3"/>
  <c r="H132" i="3"/>
  <c r="H131" i="3"/>
  <c r="H130" i="3"/>
  <c r="H129" i="3"/>
  <c r="H128" i="3"/>
  <c r="H127" i="3"/>
  <c r="H126" i="3"/>
  <c r="H125" i="3"/>
  <c r="H124" i="3"/>
  <c r="H123" i="3"/>
  <c r="H122" i="3"/>
  <c r="H121" i="3"/>
  <c r="H120" i="3"/>
  <c r="H119" i="3"/>
  <c r="H118" i="3"/>
  <c r="H117" i="3"/>
  <c r="H116" i="3"/>
  <c r="H115" i="3"/>
  <c r="H114" i="3"/>
  <c r="H113" i="3"/>
  <c r="H112" i="3"/>
  <c r="H111" i="3"/>
  <c r="H110" i="3"/>
  <c r="H109" i="3"/>
  <c r="H108" i="3"/>
  <c r="H107" i="3"/>
  <c r="H106" i="3"/>
  <c r="H105" i="3"/>
  <c r="H104" i="3"/>
  <c r="H103" i="3"/>
  <c r="H102" i="3"/>
  <c r="H101" i="3"/>
  <c r="H100" i="3"/>
  <c r="H99" i="3"/>
  <c r="H98" i="3"/>
  <c r="H97" i="3"/>
  <c r="H96" i="3"/>
  <c r="H95" i="3"/>
  <c r="H94" i="3"/>
  <c r="H93" i="3"/>
  <c r="H92" i="3"/>
  <c r="H91" i="3"/>
  <c r="H90" i="3"/>
  <c r="H89" i="3"/>
  <c r="H88" i="3"/>
  <c r="H87" i="3"/>
  <c r="H86" i="3"/>
  <c r="H85" i="3"/>
  <c r="H84" i="3"/>
  <c r="H83" i="3"/>
  <c r="H82" i="3"/>
  <c r="H81" i="3"/>
  <c r="H80" i="3"/>
  <c r="H79" i="3"/>
  <c r="H78" i="3"/>
  <c r="H77" i="3"/>
  <c r="H76" i="3"/>
  <c r="H75" i="3"/>
  <c r="H74" i="3"/>
  <c r="H73" i="3"/>
  <c r="H72" i="3"/>
  <c r="H71" i="3"/>
  <c r="H70" i="3"/>
  <c r="H69" i="3"/>
  <c r="H68" i="3"/>
  <c r="H67" i="3"/>
  <c r="H66" i="3"/>
  <c r="H65" i="3"/>
  <c r="H64" i="3"/>
  <c r="H63" i="3"/>
  <c r="H62" i="3"/>
  <c r="H61" i="3"/>
  <c r="H60" i="3"/>
  <c r="H59" i="3"/>
  <c r="H58" i="3"/>
  <c r="H57" i="3"/>
  <c r="H56" i="3"/>
  <c r="H55" i="3"/>
  <c r="H54" i="3"/>
  <c r="H53" i="3"/>
  <c r="H52" i="3"/>
  <c r="H51" i="3"/>
  <c r="H50" i="3"/>
  <c r="H49" i="3"/>
  <c r="H48" i="3"/>
  <c r="H47" i="3"/>
  <c r="H46" i="3"/>
  <c r="H45" i="3"/>
  <c r="H44" i="3"/>
  <c r="H43" i="3"/>
  <c r="H42" i="3"/>
  <c r="H41" i="3"/>
  <c r="H40" i="3"/>
  <c r="H39" i="3"/>
  <c r="H38" i="3"/>
  <c r="H37" i="3"/>
  <c r="H36" i="3"/>
  <c r="H35" i="3"/>
  <c r="H34" i="3"/>
  <c r="H33" i="3"/>
  <c r="H32" i="3"/>
  <c r="H31" i="3"/>
  <c r="H30" i="3"/>
  <c r="H29" i="3"/>
  <c r="H28" i="3"/>
  <c r="H27" i="3"/>
  <c r="H26" i="3"/>
  <c r="H25" i="3"/>
  <c r="H24" i="3"/>
  <c r="H23" i="3"/>
  <c r="H22" i="3"/>
  <c r="H21" i="3"/>
  <c r="H20" i="3"/>
  <c r="H19" i="3"/>
  <c r="H18" i="3"/>
  <c r="H17" i="3"/>
  <c r="H16" i="3"/>
  <c r="H15" i="3"/>
  <c r="H14" i="3"/>
  <c r="H13" i="3"/>
  <c r="H12" i="3"/>
  <c r="H11" i="3"/>
  <c r="H10" i="3"/>
  <c r="H9" i="3"/>
  <c r="H8" i="3"/>
  <c r="H7" i="3"/>
  <c r="H6" i="3"/>
  <c r="H5" i="3"/>
  <c r="H4" i="3"/>
  <c r="H3" i="3"/>
  <c r="H2" i="3"/>
  <c r="H5" i="27"/>
  <c r="H4" i="27"/>
  <c r="H3" i="27"/>
  <c r="H2" i="27"/>
  <c r="H361" i="26"/>
  <c r="H360" i="26"/>
  <c r="H359" i="26"/>
  <c r="H358" i="26"/>
  <c r="H357" i="26"/>
  <c r="H356" i="26"/>
  <c r="H355" i="26"/>
  <c r="H354" i="26"/>
  <c r="H353" i="26"/>
  <c r="H352" i="26"/>
  <c r="H351" i="26"/>
  <c r="H350" i="26"/>
  <c r="H349" i="26"/>
  <c r="H348" i="26"/>
  <c r="H347" i="26"/>
  <c r="H346" i="26"/>
  <c r="H345" i="26"/>
  <c r="H344" i="26"/>
  <c r="H343" i="26"/>
  <c r="H342" i="26"/>
  <c r="H341" i="26"/>
  <c r="H340" i="26"/>
  <c r="H339" i="26"/>
  <c r="H338" i="26"/>
  <c r="H337" i="26"/>
  <c r="H336" i="26"/>
  <c r="H335" i="26"/>
  <c r="H334" i="26"/>
  <c r="H333" i="26"/>
  <c r="H332" i="26"/>
  <c r="H331" i="26"/>
  <c r="H330" i="26"/>
  <c r="H329" i="26"/>
  <c r="H328" i="26"/>
  <c r="H327" i="26"/>
  <c r="H326" i="26"/>
  <c r="H325" i="26"/>
  <c r="H324" i="26"/>
  <c r="H323" i="26"/>
  <c r="H322" i="26"/>
  <c r="H321" i="26"/>
  <c r="H320" i="26"/>
  <c r="H319" i="26"/>
  <c r="H318" i="26"/>
  <c r="H317" i="26"/>
  <c r="H316" i="26"/>
  <c r="H315" i="26"/>
  <c r="H314" i="26"/>
  <c r="H313" i="26"/>
  <c r="H312" i="26"/>
  <c r="H311" i="26"/>
  <c r="H310" i="26"/>
  <c r="H309" i="26"/>
  <c r="H308" i="26"/>
  <c r="H307" i="26"/>
  <c r="H306" i="26"/>
  <c r="H305" i="26"/>
  <c r="H304" i="26"/>
  <c r="H303" i="26"/>
  <c r="H302" i="26"/>
  <c r="H301" i="26"/>
  <c r="H300" i="26"/>
  <c r="H299" i="26"/>
  <c r="H298" i="26"/>
  <c r="H297" i="26"/>
  <c r="H296" i="26"/>
  <c r="H295" i="26"/>
  <c r="H294" i="26"/>
  <c r="H293" i="26"/>
  <c r="H292" i="26"/>
  <c r="H291" i="26"/>
  <c r="H290" i="26"/>
  <c r="H289" i="26"/>
  <c r="H288" i="26"/>
  <c r="H287" i="26"/>
  <c r="H286" i="26"/>
  <c r="H285" i="26"/>
  <c r="H284" i="26"/>
  <c r="H283" i="26"/>
  <c r="H282" i="26"/>
  <c r="H281" i="26"/>
  <c r="H280" i="26"/>
  <c r="H279" i="26"/>
  <c r="H278" i="26"/>
  <c r="H277" i="26"/>
  <c r="H276" i="26"/>
  <c r="H275" i="26"/>
  <c r="H274" i="26"/>
  <c r="H273" i="26"/>
  <c r="H272" i="26"/>
  <c r="H271" i="26"/>
  <c r="H270" i="26"/>
  <c r="H269" i="26"/>
  <c r="H268" i="26"/>
  <c r="H267" i="26"/>
  <c r="H266" i="26"/>
  <c r="H265" i="26"/>
  <c r="H264" i="26"/>
  <c r="H263" i="26"/>
  <c r="H262" i="26"/>
  <c r="H261" i="26"/>
  <c r="H260" i="26"/>
  <c r="H259" i="26"/>
  <c r="H258" i="26"/>
  <c r="H257" i="26"/>
  <c r="H256" i="26"/>
  <c r="H255" i="26"/>
  <c r="H254" i="26"/>
  <c r="H253" i="26"/>
  <c r="H252" i="26"/>
  <c r="H251" i="26"/>
  <c r="H250" i="26"/>
  <c r="H249" i="26"/>
  <c r="H248" i="26"/>
  <c r="H247" i="26"/>
  <c r="H246" i="26"/>
  <c r="H245" i="26"/>
  <c r="H244" i="26"/>
  <c r="H243" i="26"/>
  <c r="H242" i="26"/>
  <c r="H241" i="26"/>
  <c r="H240" i="26"/>
  <c r="H239" i="26"/>
  <c r="H238" i="26"/>
  <c r="H237" i="26"/>
  <c r="H236" i="26"/>
  <c r="H235" i="26"/>
  <c r="H234" i="26"/>
  <c r="H233" i="26"/>
  <c r="H232" i="26"/>
  <c r="H231" i="26"/>
  <c r="H230" i="26"/>
  <c r="H229" i="26"/>
  <c r="H228" i="26"/>
  <c r="H227" i="26"/>
  <c r="H226" i="26"/>
  <c r="H225" i="26"/>
  <c r="H224" i="26"/>
  <c r="H223" i="26"/>
  <c r="H222" i="26"/>
  <c r="H221" i="26"/>
  <c r="H220" i="26"/>
  <c r="H219" i="26"/>
  <c r="H218" i="26"/>
  <c r="H217" i="26"/>
  <c r="H216" i="26"/>
  <c r="H215" i="26"/>
  <c r="H214" i="26"/>
  <c r="H213" i="26"/>
  <c r="H212" i="26"/>
  <c r="H211" i="26"/>
  <c r="H210" i="26"/>
  <c r="H209" i="26"/>
  <c r="H208" i="26"/>
  <c r="H207" i="26"/>
  <c r="H206" i="26"/>
  <c r="H205" i="26"/>
  <c r="H204" i="26"/>
  <c r="H203" i="26"/>
  <c r="H202" i="26"/>
  <c r="H201" i="26"/>
  <c r="H200" i="26"/>
  <c r="H199" i="26"/>
  <c r="H198" i="26"/>
  <c r="H197" i="26"/>
  <c r="H196" i="26"/>
  <c r="H195" i="26"/>
  <c r="H194" i="26"/>
  <c r="H193" i="26"/>
  <c r="H192" i="26"/>
  <c r="H191" i="26"/>
  <c r="H190" i="26"/>
  <c r="H189" i="26"/>
  <c r="H188" i="26"/>
  <c r="H187" i="26"/>
  <c r="H186" i="26"/>
  <c r="H185" i="26"/>
  <c r="H184" i="26"/>
  <c r="H183" i="26"/>
  <c r="H182" i="26"/>
  <c r="H181" i="26"/>
  <c r="H180" i="26"/>
  <c r="H179" i="26"/>
  <c r="H178" i="26"/>
  <c r="H177" i="26"/>
  <c r="H176" i="26"/>
  <c r="H175" i="26"/>
  <c r="H174" i="26"/>
  <c r="H173" i="26"/>
  <c r="H172" i="26"/>
  <c r="H171" i="26"/>
  <c r="H170" i="26"/>
  <c r="H169" i="26"/>
  <c r="H168" i="26"/>
  <c r="H167" i="26"/>
  <c r="H166" i="26"/>
  <c r="H165" i="26"/>
  <c r="H164" i="26"/>
  <c r="H163" i="26"/>
  <c r="H162" i="26"/>
  <c r="H161" i="26"/>
  <c r="H160" i="26"/>
  <c r="H159" i="26"/>
  <c r="H158" i="26"/>
  <c r="H157" i="26"/>
  <c r="H156" i="26"/>
  <c r="H155" i="26"/>
  <c r="H154" i="26"/>
  <c r="H153" i="26"/>
  <c r="H152" i="26"/>
  <c r="H151" i="26"/>
  <c r="H150" i="26"/>
  <c r="H149" i="26"/>
  <c r="H148" i="26"/>
  <c r="H147" i="26"/>
  <c r="H146" i="26"/>
  <c r="H145" i="26"/>
  <c r="H144" i="26"/>
  <c r="H143" i="26"/>
  <c r="H142" i="26"/>
  <c r="H141" i="26"/>
  <c r="H140" i="26"/>
  <c r="H139" i="26"/>
  <c r="H138" i="26"/>
  <c r="H137" i="26"/>
  <c r="H136" i="26"/>
  <c r="H135" i="26"/>
  <c r="H134" i="26"/>
  <c r="H133" i="26"/>
  <c r="H132" i="26"/>
  <c r="H131" i="26"/>
  <c r="H130" i="26"/>
  <c r="H129" i="26"/>
  <c r="H128" i="26"/>
  <c r="H127" i="26"/>
  <c r="H126" i="26"/>
  <c r="H125" i="26"/>
  <c r="H124" i="26"/>
  <c r="H123" i="26"/>
  <c r="H122" i="26"/>
  <c r="H121" i="26"/>
  <c r="H120" i="26"/>
  <c r="H119" i="26"/>
  <c r="H118" i="26"/>
  <c r="H117" i="26"/>
  <c r="H116" i="26"/>
  <c r="H115" i="26"/>
  <c r="H114" i="26"/>
  <c r="H113" i="26"/>
  <c r="H112" i="26"/>
  <c r="H111" i="26"/>
  <c r="H110" i="26"/>
  <c r="H109" i="26"/>
  <c r="H108" i="26"/>
  <c r="H107" i="26"/>
  <c r="H106" i="26"/>
  <c r="H105" i="26"/>
  <c r="H104" i="26"/>
  <c r="H103" i="26"/>
  <c r="H102" i="26"/>
  <c r="H101" i="26"/>
  <c r="H100" i="26"/>
  <c r="H99" i="26"/>
  <c r="H98" i="26"/>
  <c r="H97" i="26"/>
  <c r="H96" i="26"/>
  <c r="H95" i="26"/>
  <c r="H94" i="26"/>
  <c r="H93" i="26"/>
  <c r="H92" i="26"/>
  <c r="H91" i="26"/>
  <c r="H90" i="26"/>
  <c r="H89" i="26"/>
  <c r="H88" i="26"/>
  <c r="H87" i="26"/>
  <c r="H86" i="26"/>
  <c r="H85" i="26"/>
  <c r="H84" i="26"/>
  <c r="H83" i="26"/>
  <c r="H82" i="26"/>
  <c r="H81" i="26"/>
  <c r="H80" i="26"/>
  <c r="H79" i="26"/>
  <c r="H78" i="26"/>
  <c r="H77" i="26"/>
  <c r="H76" i="26"/>
  <c r="H75" i="26"/>
  <c r="H74" i="26"/>
  <c r="H73" i="26"/>
  <c r="H72" i="26"/>
  <c r="H71" i="26"/>
  <c r="H70" i="26"/>
  <c r="H69" i="26"/>
  <c r="H68" i="26"/>
  <c r="H67" i="26"/>
  <c r="H66" i="26"/>
  <c r="H65" i="26"/>
  <c r="H64" i="26"/>
  <c r="H63" i="26"/>
  <c r="H62" i="26"/>
  <c r="H61" i="26"/>
  <c r="H60" i="26"/>
  <c r="H59" i="26"/>
  <c r="H58" i="26"/>
  <c r="H57" i="26"/>
  <c r="H56" i="26"/>
  <c r="H55" i="26"/>
  <c r="H54" i="26"/>
  <c r="H53" i="26"/>
  <c r="H52" i="26"/>
  <c r="H51" i="26"/>
  <c r="H50" i="26"/>
  <c r="H49" i="26"/>
  <c r="H48" i="26"/>
  <c r="H47" i="26"/>
  <c r="H46" i="26"/>
  <c r="H45" i="26"/>
  <c r="H44" i="26"/>
  <c r="H43" i="26"/>
  <c r="H42" i="26"/>
  <c r="H41" i="26"/>
  <c r="H40" i="26"/>
  <c r="H39" i="26"/>
  <c r="H38" i="26"/>
  <c r="H37" i="26"/>
  <c r="H36" i="26"/>
  <c r="H35" i="26"/>
  <c r="H34" i="26"/>
  <c r="H33" i="26"/>
  <c r="H32" i="26"/>
  <c r="H31" i="26"/>
  <c r="H30" i="26"/>
  <c r="H29" i="26"/>
  <c r="H28" i="26"/>
  <c r="H27" i="26"/>
  <c r="H26" i="26"/>
  <c r="H25" i="26"/>
  <c r="H24" i="26"/>
  <c r="H23" i="26"/>
  <c r="H22" i="26"/>
  <c r="H21" i="26"/>
  <c r="H20" i="26"/>
  <c r="H19" i="26"/>
  <c r="H18" i="26"/>
  <c r="H17" i="26"/>
  <c r="H16" i="26"/>
  <c r="H15" i="26"/>
  <c r="H14" i="26"/>
  <c r="H13" i="26"/>
  <c r="H12" i="26"/>
  <c r="H11" i="26"/>
  <c r="H10" i="26"/>
  <c r="H9" i="26"/>
  <c r="H8" i="26"/>
  <c r="H7" i="26"/>
  <c r="H6" i="26"/>
  <c r="H5" i="26"/>
  <c r="H4" i="26"/>
  <c r="H3" i="26"/>
  <c r="H2" i="26"/>
  <c r="H285" i="5"/>
  <c r="H284" i="5"/>
  <c r="H283" i="5"/>
  <c r="H282" i="5"/>
  <c r="H281" i="5"/>
  <c r="H280" i="5"/>
  <c r="H279" i="5"/>
  <c r="H278" i="5"/>
  <c r="H277" i="5"/>
  <c r="H276" i="5"/>
  <c r="H275" i="5"/>
  <c r="H274" i="5"/>
  <c r="H273" i="5"/>
  <c r="H272" i="5"/>
  <c r="H271" i="5"/>
  <c r="H270" i="5"/>
  <c r="H269" i="5"/>
  <c r="H268" i="5"/>
  <c r="H267" i="5"/>
  <c r="H266" i="5"/>
  <c r="H265" i="5"/>
  <c r="H264" i="5"/>
  <c r="H263" i="5"/>
  <c r="H262" i="5"/>
  <c r="H261" i="5"/>
  <c r="H260" i="5"/>
  <c r="H259" i="5"/>
  <c r="H258" i="5"/>
  <c r="H257" i="5"/>
  <c r="H256" i="5"/>
  <c r="H255" i="5"/>
  <c r="H254" i="5"/>
  <c r="H253" i="5"/>
  <c r="H252" i="5"/>
  <c r="H251" i="5"/>
  <c r="H250" i="5"/>
  <c r="H249" i="5"/>
  <c r="H248" i="5"/>
  <c r="H247" i="5"/>
  <c r="H246" i="5"/>
  <c r="H245" i="5"/>
  <c r="H244" i="5"/>
  <c r="H243" i="5"/>
  <c r="H242" i="5"/>
  <c r="H241" i="5"/>
  <c r="H240" i="5"/>
  <c r="H239" i="5"/>
  <c r="H238" i="5"/>
  <c r="H237" i="5"/>
  <c r="H236" i="5"/>
  <c r="H235" i="5"/>
  <c r="H234" i="5"/>
  <c r="H233" i="5"/>
  <c r="H232" i="5"/>
  <c r="H231" i="5"/>
  <c r="H230" i="5"/>
  <c r="H229" i="5"/>
  <c r="H228" i="5"/>
  <c r="H227" i="5"/>
  <c r="H226" i="5"/>
  <c r="H225" i="5"/>
  <c r="H224" i="5"/>
  <c r="H223" i="5"/>
  <c r="H222" i="5"/>
  <c r="H221" i="5"/>
  <c r="H220" i="5"/>
  <c r="H219" i="5"/>
  <c r="H218" i="5"/>
  <c r="H217" i="5"/>
  <c r="H216" i="5"/>
  <c r="H215" i="5"/>
  <c r="H214" i="5"/>
  <c r="H213" i="5"/>
  <c r="H212" i="5"/>
  <c r="H211" i="5"/>
  <c r="H210" i="5"/>
  <c r="H209" i="5"/>
  <c r="H208" i="5"/>
  <c r="H207" i="5"/>
  <c r="H206" i="5"/>
  <c r="H205" i="5"/>
  <c r="H204" i="5"/>
  <c r="H203" i="5"/>
  <c r="H202" i="5"/>
  <c r="H201" i="5"/>
  <c r="H200" i="5"/>
  <c r="H199" i="5"/>
  <c r="H198" i="5"/>
  <c r="H197" i="5"/>
  <c r="H196" i="5"/>
  <c r="H195" i="5"/>
  <c r="H194" i="5"/>
  <c r="H193" i="5"/>
  <c r="H192" i="5"/>
  <c r="H191" i="5"/>
  <c r="H190" i="5"/>
  <c r="H189" i="5"/>
  <c r="H188" i="5"/>
  <c r="H187" i="5"/>
  <c r="H186" i="5"/>
  <c r="H185" i="5"/>
  <c r="H184" i="5"/>
  <c r="H183" i="5"/>
  <c r="H182" i="5"/>
  <c r="H181" i="5"/>
  <c r="H180" i="5"/>
  <c r="H179" i="5"/>
  <c r="H178" i="5"/>
  <c r="H177" i="5"/>
  <c r="H176" i="5"/>
  <c r="H175" i="5"/>
  <c r="H174" i="5"/>
  <c r="H173" i="5"/>
  <c r="H172" i="5"/>
  <c r="H171" i="5"/>
  <c r="H170" i="5"/>
  <c r="H169" i="5"/>
  <c r="H168" i="5"/>
  <c r="H167" i="5"/>
  <c r="H166" i="5"/>
  <c r="H165" i="5"/>
  <c r="H164" i="5"/>
  <c r="H163" i="5"/>
  <c r="H162" i="5"/>
  <c r="H161" i="5"/>
  <c r="H160" i="5"/>
  <c r="H159" i="5"/>
  <c r="H158" i="5"/>
  <c r="H157" i="5"/>
  <c r="H156" i="5"/>
  <c r="H155" i="5"/>
  <c r="H154" i="5"/>
  <c r="H153" i="5"/>
  <c r="H152" i="5"/>
  <c r="H151" i="5"/>
  <c r="H150" i="5"/>
  <c r="H149" i="5"/>
  <c r="H148" i="5"/>
  <c r="H147" i="5"/>
  <c r="H146" i="5"/>
  <c r="H145" i="5"/>
  <c r="H144" i="5"/>
  <c r="H143" i="5"/>
  <c r="H142" i="5"/>
  <c r="H141" i="5"/>
  <c r="H140" i="5"/>
  <c r="H139" i="5"/>
  <c r="H138" i="5"/>
  <c r="H137" i="5"/>
  <c r="H136" i="5"/>
  <c r="H135" i="5"/>
  <c r="H134" i="5"/>
  <c r="H133" i="5"/>
  <c r="H132" i="5"/>
  <c r="H131" i="5"/>
  <c r="H130" i="5"/>
  <c r="H129" i="5"/>
  <c r="H128" i="5"/>
  <c r="H127" i="5"/>
  <c r="H126" i="5"/>
  <c r="H125" i="5"/>
  <c r="H124" i="5"/>
  <c r="H123" i="5"/>
  <c r="H122" i="5"/>
  <c r="H121" i="5"/>
  <c r="H120" i="5"/>
  <c r="H119" i="5"/>
  <c r="H118" i="5"/>
  <c r="H117" i="5"/>
  <c r="H116" i="5"/>
  <c r="H115" i="5"/>
  <c r="H114" i="5"/>
  <c r="H113" i="5"/>
  <c r="H112" i="5"/>
  <c r="H111" i="5"/>
  <c r="H110" i="5"/>
  <c r="H109" i="5"/>
  <c r="H108" i="5"/>
  <c r="H107" i="5"/>
  <c r="H106" i="5"/>
  <c r="H105" i="5"/>
  <c r="H104" i="5"/>
  <c r="H103" i="5"/>
  <c r="H102" i="5"/>
  <c r="H101" i="5"/>
  <c r="H100" i="5"/>
  <c r="H99" i="5"/>
  <c r="H98" i="5"/>
  <c r="H97" i="5"/>
  <c r="H96" i="5"/>
  <c r="H95" i="5"/>
  <c r="H94" i="5"/>
  <c r="H93" i="5"/>
  <c r="H92" i="5"/>
  <c r="H91" i="5"/>
  <c r="H90" i="5"/>
  <c r="H89" i="5"/>
  <c r="H88" i="5"/>
  <c r="H87" i="5"/>
  <c r="H86" i="5"/>
  <c r="H85" i="5"/>
  <c r="H84" i="5"/>
  <c r="H83" i="5"/>
  <c r="H82" i="5"/>
  <c r="H81" i="5"/>
  <c r="H80" i="5"/>
  <c r="H79" i="5"/>
  <c r="H78" i="5"/>
  <c r="H77" i="5"/>
  <c r="H76" i="5"/>
  <c r="H75" i="5"/>
  <c r="H74" i="5"/>
  <c r="H73" i="5"/>
  <c r="H72" i="5"/>
  <c r="H71" i="5"/>
  <c r="H70" i="5"/>
  <c r="H69" i="5"/>
  <c r="H68" i="5"/>
  <c r="H67" i="5"/>
  <c r="H66" i="5"/>
  <c r="H65" i="5"/>
  <c r="H64" i="5"/>
  <c r="H63" i="5"/>
  <c r="H62" i="5"/>
  <c r="H61" i="5"/>
  <c r="H60" i="5"/>
  <c r="H59" i="5"/>
  <c r="H58" i="5"/>
  <c r="H57" i="5"/>
  <c r="H56" i="5"/>
  <c r="H55" i="5"/>
  <c r="H54" i="5"/>
  <c r="H53" i="5"/>
  <c r="H52" i="5"/>
  <c r="H51" i="5"/>
  <c r="H50" i="5"/>
  <c r="H49" i="5"/>
  <c r="H48" i="5"/>
  <c r="H47" i="5"/>
  <c r="H46" i="5"/>
  <c r="H45" i="5"/>
  <c r="H44" i="5"/>
  <c r="H43" i="5"/>
  <c r="H42" i="5"/>
  <c r="H41" i="5"/>
  <c r="H40" i="5"/>
  <c r="H39" i="5"/>
  <c r="H38" i="5"/>
  <c r="H37" i="5"/>
  <c r="H36" i="5"/>
  <c r="H35" i="5"/>
  <c r="H34" i="5"/>
  <c r="H33" i="5"/>
  <c r="H32" i="5"/>
  <c r="H31" i="5"/>
  <c r="H30" i="5"/>
  <c r="H29" i="5"/>
  <c r="H28" i="5"/>
  <c r="H27" i="5"/>
  <c r="H26" i="5"/>
  <c r="H25" i="5"/>
  <c r="H24" i="5"/>
  <c r="H23" i="5"/>
  <c r="H22" i="5"/>
  <c r="H21" i="5"/>
  <c r="H20" i="5"/>
  <c r="H19" i="5"/>
  <c r="H18" i="5"/>
  <c r="H17" i="5"/>
  <c r="H16" i="5"/>
  <c r="H15" i="5"/>
  <c r="H14" i="5"/>
  <c r="H13" i="5"/>
  <c r="H12" i="5"/>
  <c r="H11" i="5"/>
  <c r="H10" i="5"/>
  <c r="H9" i="5"/>
  <c r="H8" i="5"/>
  <c r="H7" i="5"/>
  <c r="H6" i="5"/>
  <c r="H5" i="5"/>
  <c r="H4" i="5"/>
  <c r="H3" i="5"/>
  <c r="H2" i="5"/>
  <c r="H324" i="18"/>
  <c r="H323" i="18"/>
  <c r="H322" i="18"/>
  <c r="H321" i="18"/>
  <c r="H320" i="18"/>
  <c r="H319" i="18"/>
  <c r="H318" i="18"/>
  <c r="H317" i="18"/>
  <c r="H316" i="18"/>
  <c r="H315" i="18"/>
  <c r="H314" i="18"/>
  <c r="H313" i="18"/>
  <c r="H312" i="18"/>
  <c r="H311" i="18"/>
  <c r="H310" i="18"/>
  <c r="H309" i="18"/>
  <c r="H308" i="18"/>
  <c r="H307" i="18"/>
  <c r="H306" i="18"/>
  <c r="H305" i="18"/>
  <c r="H304" i="18"/>
  <c r="H303" i="18"/>
  <c r="H302" i="18"/>
  <c r="H301" i="18"/>
  <c r="H300" i="18"/>
  <c r="H299" i="18"/>
  <c r="H298" i="18"/>
  <c r="H297" i="18"/>
  <c r="H296" i="18"/>
  <c r="H295" i="18"/>
  <c r="H294" i="18"/>
  <c r="H293" i="18"/>
  <c r="H292" i="18"/>
  <c r="H291" i="18"/>
  <c r="H290" i="18"/>
  <c r="H289" i="18"/>
  <c r="H288" i="18"/>
  <c r="H287" i="18"/>
  <c r="H286" i="18"/>
  <c r="H285" i="18"/>
  <c r="H284" i="18"/>
  <c r="H283" i="18"/>
  <c r="H282" i="18"/>
  <c r="H281" i="18"/>
  <c r="H280" i="18"/>
  <c r="H279" i="18"/>
  <c r="H278" i="18"/>
  <c r="H277" i="18"/>
  <c r="H276" i="18"/>
  <c r="H275" i="18"/>
  <c r="H274" i="18"/>
  <c r="H273" i="18"/>
  <c r="H272" i="18"/>
  <c r="H271" i="18"/>
  <c r="H270" i="18"/>
  <c r="H269" i="18"/>
  <c r="H268" i="18"/>
  <c r="H267" i="18"/>
  <c r="H266" i="18"/>
  <c r="H265" i="18"/>
  <c r="H264" i="18"/>
  <c r="H263" i="18"/>
  <c r="H262" i="18"/>
  <c r="H261" i="18"/>
  <c r="H260" i="18"/>
  <c r="H259" i="18"/>
  <c r="H258" i="18"/>
  <c r="H257" i="18"/>
  <c r="H256" i="18"/>
  <c r="H255" i="18"/>
  <c r="H254" i="18"/>
  <c r="H253" i="18"/>
  <c r="H252" i="18"/>
  <c r="H251" i="18"/>
  <c r="H250" i="18"/>
  <c r="H249" i="18"/>
  <c r="H248" i="18"/>
  <c r="H247" i="18"/>
  <c r="H246" i="18"/>
  <c r="H245" i="18"/>
  <c r="H244" i="18"/>
  <c r="H243" i="18"/>
  <c r="H242" i="18"/>
  <c r="H241" i="18"/>
  <c r="H240" i="18"/>
  <c r="H239" i="18"/>
  <c r="H238" i="18"/>
  <c r="H237" i="18"/>
  <c r="H236" i="18"/>
  <c r="H235" i="18"/>
  <c r="H234" i="18"/>
  <c r="H233" i="18"/>
  <c r="H232" i="18"/>
  <c r="H231" i="18"/>
  <c r="H230" i="18"/>
  <c r="H229" i="18"/>
  <c r="H228" i="18"/>
  <c r="H227" i="18"/>
  <c r="H226" i="18"/>
  <c r="H225" i="18"/>
  <c r="H224" i="18"/>
  <c r="H223" i="18"/>
  <c r="H222" i="18"/>
  <c r="H221" i="18"/>
  <c r="H220" i="18"/>
  <c r="H219" i="18"/>
  <c r="H218" i="18"/>
  <c r="H217" i="18"/>
  <c r="H216" i="18"/>
  <c r="H215" i="18"/>
  <c r="H214" i="18"/>
  <c r="H213" i="18"/>
  <c r="H212" i="18"/>
  <c r="H211" i="18"/>
  <c r="H210" i="18"/>
  <c r="H209" i="18"/>
  <c r="H208" i="18"/>
  <c r="H207" i="18"/>
  <c r="H206" i="18"/>
  <c r="H205" i="18"/>
  <c r="H204" i="18"/>
  <c r="H203" i="18"/>
  <c r="H202" i="18"/>
  <c r="H201" i="18"/>
  <c r="H200" i="18"/>
  <c r="H199" i="18"/>
  <c r="H198" i="18"/>
  <c r="H197" i="18"/>
  <c r="H196" i="18"/>
  <c r="H195" i="18"/>
  <c r="H194" i="18"/>
  <c r="H193" i="18"/>
  <c r="H192" i="18"/>
  <c r="H191" i="18"/>
  <c r="H190" i="18"/>
  <c r="H189" i="18"/>
  <c r="H188" i="18"/>
  <c r="H187" i="18"/>
  <c r="H186" i="18"/>
  <c r="H185" i="18"/>
  <c r="H184" i="18"/>
  <c r="H183" i="18"/>
  <c r="H182" i="18"/>
  <c r="H181" i="18"/>
  <c r="H180" i="18"/>
  <c r="H179" i="18"/>
  <c r="H178" i="18"/>
  <c r="H177" i="18"/>
  <c r="H176" i="18"/>
  <c r="H175" i="18"/>
  <c r="H174" i="18"/>
  <c r="H173" i="18"/>
  <c r="H172" i="18"/>
  <c r="H171" i="18"/>
  <c r="H170" i="18"/>
  <c r="H169" i="18"/>
  <c r="H168" i="18"/>
  <c r="H167" i="18"/>
  <c r="H166" i="18"/>
  <c r="H165" i="18"/>
  <c r="H164" i="18"/>
  <c r="H163" i="18"/>
  <c r="H162" i="18"/>
  <c r="H161" i="18"/>
  <c r="H160" i="18"/>
  <c r="H159" i="18"/>
  <c r="H158" i="18"/>
  <c r="H157" i="18"/>
  <c r="H156" i="18"/>
  <c r="H155" i="18"/>
  <c r="H154" i="18"/>
  <c r="H153" i="18"/>
  <c r="H152" i="18"/>
  <c r="H151" i="18"/>
  <c r="H150" i="18"/>
  <c r="H149" i="18"/>
  <c r="H148" i="18"/>
  <c r="H147" i="18"/>
  <c r="H146" i="18"/>
  <c r="H145" i="18"/>
  <c r="H144" i="18"/>
  <c r="H143" i="18"/>
  <c r="H142" i="18"/>
  <c r="H141" i="18"/>
  <c r="H140" i="18"/>
  <c r="H139" i="18"/>
  <c r="H138" i="18"/>
  <c r="H137" i="18"/>
  <c r="H136" i="18"/>
  <c r="H135" i="18"/>
  <c r="H134" i="18"/>
  <c r="H133" i="18"/>
  <c r="H132" i="18"/>
  <c r="H131" i="18"/>
  <c r="H130" i="18"/>
  <c r="H129" i="18"/>
  <c r="H128" i="18"/>
  <c r="H127" i="18"/>
  <c r="H126" i="18"/>
  <c r="H125" i="18"/>
  <c r="H124" i="18"/>
  <c r="H123" i="18"/>
  <c r="H122" i="18"/>
  <c r="H121" i="18"/>
  <c r="H120" i="18"/>
  <c r="H119" i="18"/>
  <c r="H118" i="18"/>
  <c r="H117" i="18"/>
  <c r="H116" i="18"/>
  <c r="H115" i="18"/>
  <c r="H114" i="18"/>
  <c r="H113" i="18"/>
  <c r="H112" i="18"/>
  <c r="H111" i="18"/>
  <c r="H110" i="18"/>
  <c r="H109" i="18"/>
  <c r="H108" i="18"/>
  <c r="H107" i="18"/>
  <c r="H106" i="18"/>
  <c r="H105" i="18"/>
  <c r="H104" i="18"/>
  <c r="H103" i="18"/>
  <c r="H102" i="18"/>
  <c r="H101" i="18"/>
  <c r="H100" i="18"/>
  <c r="H99" i="18"/>
  <c r="H98" i="18"/>
  <c r="H97" i="18"/>
  <c r="H96" i="18"/>
  <c r="H95" i="18"/>
  <c r="H94" i="18"/>
  <c r="H93" i="18"/>
  <c r="H92" i="18"/>
  <c r="H91" i="18"/>
  <c r="H90" i="18"/>
  <c r="H89" i="18"/>
  <c r="H88" i="18"/>
  <c r="H87" i="18"/>
  <c r="H86" i="18"/>
  <c r="H85" i="18"/>
  <c r="H84" i="18"/>
  <c r="H83" i="18"/>
  <c r="H82" i="18"/>
  <c r="H81" i="18"/>
  <c r="H80" i="18"/>
  <c r="H79" i="18"/>
  <c r="H78" i="18"/>
  <c r="H77" i="18"/>
  <c r="H76" i="18"/>
  <c r="H75" i="18"/>
  <c r="H74" i="18"/>
  <c r="H73" i="18"/>
  <c r="H72" i="18"/>
  <c r="H71" i="18"/>
  <c r="H70" i="18"/>
  <c r="H69" i="18"/>
  <c r="H68" i="18"/>
  <c r="H67" i="18"/>
  <c r="H66" i="18"/>
  <c r="H65" i="18"/>
  <c r="H64" i="18"/>
  <c r="H63" i="18"/>
  <c r="H62" i="18"/>
  <c r="H61" i="18"/>
  <c r="H60" i="18"/>
  <c r="H59" i="18"/>
  <c r="H58" i="18"/>
  <c r="H57" i="18"/>
  <c r="H56" i="18"/>
  <c r="H55" i="18"/>
  <c r="H54" i="18"/>
  <c r="H53" i="18"/>
  <c r="H52" i="18"/>
  <c r="H51" i="18"/>
  <c r="H50" i="18"/>
  <c r="H49" i="18"/>
  <c r="H48" i="18"/>
  <c r="H47" i="18"/>
  <c r="H46" i="18"/>
  <c r="H45" i="18"/>
  <c r="H44" i="18"/>
  <c r="H43" i="18"/>
  <c r="H42" i="18"/>
  <c r="H41" i="18"/>
  <c r="H40" i="18"/>
  <c r="H39" i="18"/>
  <c r="H38" i="18"/>
  <c r="H37" i="18"/>
  <c r="H36" i="18"/>
  <c r="H35" i="18"/>
  <c r="H34" i="18"/>
  <c r="H33" i="18"/>
  <c r="H32" i="18"/>
  <c r="H31" i="18"/>
  <c r="H30" i="18"/>
  <c r="H29" i="18"/>
  <c r="H28" i="18"/>
  <c r="H27" i="18"/>
  <c r="H26" i="18"/>
  <c r="H25" i="18"/>
  <c r="H24" i="18"/>
  <c r="H23" i="18"/>
  <c r="H22" i="18"/>
  <c r="H21" i="18"/>
  <c r="H20" i="18"/>
  <c r="H19" i="18"/>
  <c r="H18" i="18"/>
  <c r="H17" i="18"/>
  <c r="H16" i="18"/>
  <c r="H15" i="18"/>
  <c r="H14" i="18"/>
  <c r="H13" i="18"/>
  <c r="H12" i="18"/>
  <c r="H11" i="18"/>
  <c r="H10" i="18"/>
  <c r="H9" i="18"/>
  <c r="H8" i="18"/>
  <c r="H7" i="18"/>
  <c r="H6" i="18"/>
  <c r="H5" i="18"/>
  <c r="H4" i="18"/>
  <c r="H3" i="18"/>
  <c r="H2" i="18"/>
  <c r="H15" i="20"/>
  <c r="H14" i="20"/>
  <c r="H13" i="20"/>
  <c r="H12" i="20"/>
  <c r="H11" i="20"/>
  <c r="H10" i="20"/>
  <c r="H9" i="20"/>
  <c r="H8" i="20"/>
  <c r="H7" i="20"/>
  <c r="H6" i="20"/>
  <c r="H5" i="20"/>
  <c r="H4" i="20"/>
  <c r="H3" i="20"/>
  <c r="H2" i="20"/>
  <c r="H240" i="4"/>
  <c r="H239" i="4"/>
  <c r="H238" i="4"/>
  <c r="H237" i="4"/>
  <c r="H236" i="4"/>
  <c r="H235" i="4"/>
  <c r="H234" i="4"/>
  <c r="H233" i="4"/>
  <c r="H232" i="4"/>
  <c r="H231" i="4"/>
  <c r="H230" i="4"/>
  <c r="H229" i="4"/>
  <c r="H228" i="4"/>
  <c r="H227" i="4"/>
  <c r="H226" i="4"/>
  <c r="H365" i="26"/>
  <c r="H364" i="26"/>
  <c r="H363" i="26"/>
  <c r="H362" i="2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Usuario JCCM</author>
  </authors>
  <commentList>
    <comment ref="M1" authorId="0" shapeId="0" xr:uid="{00000000-0006-0000-0100-000001000000}">
      <text>
        <r>
          <rPr>
            <b/>
            <sz val="9"/>
            <color indexed="81"/>
            <rFont val="Tahoma"/>
            <family val="2"/>
          </rPr>
          <t>Usuario JCCM:</t>
        </r>
        <r>
          <rPr>
            <sz val="9"/>
            <color indexed="81"/>
            <rFont val="Tahoma"/>
            <family val="2"/>
          </rPr>
          <t xml:space="preserve">
Ventanilla
Unica
Directiva
Servicios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Usuario JCCM</author>
  </authors>
  <commentList>
    <comment ref="L1" authorId="0" shapeId="0" xr:uid="{00000000-0006-0000-0200-000001000000}">
      <text>
        <r>
          <rPr>
            <b/>
            <sz val="9"/>
            <color indexed="81"/>
            <rFont val="Tahoma"/>
            <family val="2"/>
          </rPr>
          <t>Usuario JCCM:</t>
        </r>
        <r>
          <rPr>
            <sz val="9"/>
            <color indexed="81"/>
            <rFont val="Tahoma"/>
            <family val="2"/>
          </rPr>
          <t xml:space="preserve">
Ventanilla
Unica
Directiva
Servicios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Usuario JCCM</author>
  </authors>
  <commentList>
    <comment ref="L1" authorId="0" shapeId="0" xr:uid="{00000000-0006-0000-0300-000001000000}">
      <text>
        <r>
          <rPr>
            <b/>
            <sz val="9"/>
            <color indexed="81"/>
            <rFont val="Tahoma"/>
            <family val="2"/>
          </rPr>
          <t>Usuario JCCM:</t>
        </r>
        <r>
          <rPr>
            <sz val="9"/>
            <color indexed="81"/>
            <rFont val="Tahoma"/>
            <family val="2"/>
          </rPr>
          <t xml:space="preserve">
Ventanilla
Unica
Directiva
Servicios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Usuario JCCM</author>
  </authors>
  <commentList>
    <comment ref="L1" authorId="0" shapeId="0" xr:uid="{00000000-0006-0000-0400-000001000000}">
      <text>
        <r>
          <rPr>
            <b/>
            <sz val="9"/>
            <color indexed="81"/>
            <rFont val="Tahoma"/>
            <family val="2"/>
          </rPr>
          <t>Usuario JCCM:</t>
        </r>
        <r>
          <rPr>
            <sz val="9"/>
            <color indexed="81"/>
            <rFont val="Tahoma"/>
            <family val="2"/>
          </rPr>
          <t xml:space="preserve">
Ventanilla
Unica
Directiva
Servicios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Usuario JCCM</author>
  </authors>
  <commentList>
    <comment ref="L1" authorId="0" shapeId="0" xr:uid="{00000000-0006-0000-0500-000001000000}">
      <text>
        <r>
          <rPr>
            <b/>
            <sz val="9"/>
            <color indexed="81"/>
            <rFont val="Tahoma"/>
            <family val="2"/>
          </rPr>
          <t>Usuario JCCM:</t>
        </r>
        <r>
          <rPr>
            <sz val="9"/>
            <color indexed="81"/>
            <rFont val="Tahoma"/>
            <family val="2"/>
          </rPr>
          <t xml:space="preserve">
Ventanilla
Unica
Directiva
Servicios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Usuario JCCM</author>
  </authors>
  <commentList>
    <comment ref="L1" authorId="0" shapeId="0" xr:uid="{00000000-0006-0000-0600-000001000000}">
      <text>
        <r>
          <rPr>
            <b/>
            <sz val="9"/>
            <color indexed="81"/>
            <rFont val="Tahoma"/>
            <family val="2"/>
          </rPr>
          <t>Usuario JCCM:</t>
        </r>
        <r>
          <rPr>
            <sz val="9"/>
            <color indexed="81"/>
            <rFont val="Tahoma"/>
            <family val="2"/>
          </rPr>
          <t xml:space="preserve">
Ventanilla
Unica
Directiva
Servicios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Usuario JCCM</author>
  </authors>
  <commentList>
    <comment ref="L1" authorId="0" shapeId="0" xr:uid="{00000000-0006-0000-0800-000001000000}">
      <text>
        <r>
          <rPr>
            <b/>
            <sz val="9"/>
            <color indexed="81"/>
            <rFont val="Tahoma"/>
            <family val="2"/>
          </rPr>
          <t>Usuario JCCM:</t>
        </r>
        <r>
          <rPr>
            <sz val="9"/>
            <color indexed="81"/>
            <rFont val="Tahoma"/>
            <family val="2"/>
          </rPr>
          <t xml:space="preserve">
Ventanilla
Unica
Directiva
Servicios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Usuario JCCM</author>
  </authors>
  <commentList>
    <comment ref="L1" authorId="0" shapeId="0" xr:uid="{00000000-0006-0000-0900-000001000000}">
      <text>
        <r>
          <rPr>
            <b/>
            <sz val="9"/>
            <color indexed="81"/>
            <rFont val="Tahoma"/>
            <family val="2"/>
          </rPr>
          <t>Usuario JCCM:</t>
        </r>
        <r>
          <rPr>
            <sz val="9"/>
            <color indexed="81"/>
            <rFont val="Tahoma"/>
            <family val="2"/>
          </rPr>
          <t xml:space="preserve">
Ventanilla
Unica
Directiva
Servicios</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Usuario JCCM</author>
  </authors>
  <commentList>
    <comment ref="L1" authorId="0" shapeId="0" xr:uid="{00000000-0006-0000-0A00-000001000000}">
      <text>
        <r>
          <rPr>
            <b/>
            <sz val="9"/>
            <color indexed="81"/>
            <rFont val="Tahoma"/>
            <family val="2"/>
          </rPr>
          <t>Usuario JCCM:</t>
        </r>
        <r>
          <rPr>
            <sz val="9"/>
            <color indexed="81"/>
            <rFont val="Tahoma"/>
            <family val="2"/>
          </rPr>
          <t xml:space="preserve">
Ventanilla
Unica
Directiva
Servicios</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Usuario JCCM</author>
  </authors>
  <commentList>
    <comment ref="L1" authorId="0" shapeId="0" xr:uid="{00000000-0006-0000-0B00-000001000000}">
      <text>
        <r>
          <rPr>
            <b/>
            <sz val="9"/>
            <color indexed="81"/>
            <rFont val="Tahoma"/>
            <family val="2"/>
          </rPr>
          <t>Usuario JCCM:</t>
        </r>
        <r>
          <rPr>
            <sz val="9"/>
            <color indexed="81"/>
            <rFont val="Tahoma"/>
            <family val="2"/>
          </rPr>
          <t xml:space="preserve">
Ventanilla
Unica
Directiva
Servicios</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Usuario JCCM</author>
  </authors>
  <commentList>
    <comment ref="L1" authorId="0" shapeId="0" xr:uid="{00000000-0006-0000-0C00-000001000000}">
      <text>
        <r>
          <rPr>
            <b/>
            <sz val="9"/>
            <color indexed="81"/>
            <rFont val="Tahoma"/>
            <family val="2"/>
          </rPr>
          <t>Usuario JCCM:</t>
        </r>
        <r>
          <rPr>
            <sz val="9"/>
            <color indexed="81"/>
            <rFont val="Tahoma"/>
            <family val="2"/>
          </rPr>
          <t xml:space="preserve">
Ventanilla
Unica
Directiva
Servicios</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Usuario JCCM</author>
  </authors>
  <commentList>
    <comment ref="L1" authorId="0" shapeId="0" xr:uid="{00000000-0006-0000-0D00-000001000000}">
      <text>
        <r>
          <rPr>
            <b/>
            <sz val="9"/>
            <color indexed="81"/>
            <rFont val="Tahoma"/>
            <family val="2"/>
          </rPr>
          <t>Usuario JCCM:</t>
        </r>
        <r>
          <rPr>
            <sz val="9"/>
            <color indexed="81"/>
            <rFont val="Tahoma"/>
            <family val="2"/>
          </rPr>
          <t xml:space="preserve">
Ventanilla
Unica
Directiva
Servicios</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Usuario JCCM</author>
  </authors>
  <commentList>
    <comment ref="L1" authorId="0" shapeId="0" xr:uid="{00000000-0006-0000-0E00-000001000000}">
      <text>
        <r>
          <rPr>
            <b/>
            <sz val="9"/>
            <color indexed="81"/>
            <rFont val="Tahoma"/>
            <family val="2"/>
          </rPr>
          <t>Usuario JCCM:</t>
        </r>
        <r>
          <rPr>
            <sz val="9"/>
            <color indexed="81"/>
            <rFont val="Tahoma"/>
            <family val="2"/>
          </rPr>
          <t xml:space="preserve">
Ventanilla
Unica
Directiva
Servicios</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Usuario JCCM</author>
  </authors>
  <commentList>
    <comment ref="L1" authorId="0" shapeId="0" xr:uid="{00000000-0006-0000-0F00-000001000000}">
      <text>
        <r>
          <rPr>
            <b/>
            <sz val="9"/>
            <color indexed="81"/>
            <rFont val="Tahoma"/>
            <family val="2"/>
          </rPr>
          <t>Usuario JCCM:</t>
        </r>
        <r>
          <rPr>
            <sz val="9"/>
            <color indexed="81"/>
            <rFont val="Tahoma"/>
            <family val="2"/>
          </rPr>
          <t xml:space="preserve">
Ventanilla
Unica
Directiva
Servicios</t>
        </r>
      </text>
    </comment>
  </commentList>
</comments>
</file>

<file path=xl/sharedStrings.xml><?xml version="1.0" encoding="utf-8"?>
<sst xmlns="http://schemas.openxmlformats.org/spreadsheetml/2006/main" count="49394" uniqueCount="6754">
  <si>
    <t xml:space="preserve">CONSEJERIA  </t>
  </si>
  <si>
    <t>(Todas)</t>
  </si>
  <si>
    <t>SILENCIO</t>
  </si>
  <si>
    <t>ÓRGANO</t>
  </si>
  <si>
    <t>Datos</t>
  </si>
  <si>
    <t>DEPTO</t>
  </si>
  <si>
    <t>Cuenta de CÓDIGO2</t>
  </si>
  <si>
    <t>Cuenta de CÓDIGO</t>
  </si>
  <si>
    <t>Agencia del Agua CLM</t>
  </si>
  <si>
    <t>Agricultura,Agua y D. R.</t>
  </si>
  <si>
    <t>BIENESTAR SOCIAL</t>
  </si>
  <si>
    <t>D. Sostenible</t>
  </si>
  <si>
    <t>Economía, Empresas y Empleo</t>
  </si>
  <si>
    <t>Felipe</t>
  </si>
  <si>
    <t>Educación, Cultura y Deportes</t>
  </si>
  <si>
    <t>Alejandro</t>
  </si>
  <si>
    <t>Fomento</t>
  </si>
  <si>
    <t>Hacienda y AA.PP.</t>
  </si>
  <si>
    <t>Instituto de la Mujer</t>
  </si>
  <si>
    <t>IPEX</t>
  </si>
  <si>
    <t>IRIAF</t>
  </si>
  <si>
    <t>Presidencia</t>
  </si>
  <si>
    <t>Sanidad</t>
  </si>
  <si>
    <t>SESCAM</t>
  </si>
  <si>
    <t>Total general</t>
  </si>
  <si>
    <t>Nº PROCEDIMIENTO</t>
  </si>
  <si>
    <t>NOMBRE</t>
  </si>
  <si>
    <t xml:space="preserve">PLAZO  </t>
  </si>
  <si>
    <t>CÓDIGO</t>
  </si>
  <si>
    <t>TRAMITE</t>
  </si>
  <si>
    <t>PRESENCIAL</t>
  </si>
  <si>
    <t>O12</t>
  </si>
  <si>
    <t>ONLINE</t>
  </si>
  <si>
    <t>VUDS</t>
  </si>
  <si>
    <t>010032</t>
  </si>
  <si>
    <t>AUTORIZACION ADMINISTRATIVA DE CENTROS SOCIALES</t>
  </si>
  <si>
    <t>4 MESES</t>
  </si>
  <si>
    <t>Estimatorio</t>
  </si>
  <si>
    <t>CONSEJERIA DE BIENESTAR SOCIAL</t>
  </si>
  <si>
    <t>SECRETARIA GENERAL BIENESTAR SOCIAL - CONSEJERIA DE BIENESTAR SOCIAL</t>
  </si>
  <si>
    <t>SIA5</t>
  </si>
  <si>
    <t>N</t>
  </si>
  <si>
    <t>S</t>
  </si>
  <si>
    <t>010070</t>
  </si>
  <si>
    <t>TARJETA DE ESTACIONAMIENTO PARA PERSONAS CON DISCAPACIDAD CON MOVILIDAD REDUCIDA</t>
  </si>
  <si>
    <t>3 MESES</t>
  </si>
  <si>
    <t>Desestimatorio</t>
  </si>
  <si>
    <t>DIRECCION GENERAL DISCAPACIDAD - CONSEJERIA DE BIENESTAR SOCIAL</t>
  </si>
  <si>
    <t>SD22</t>
  </si>
  <si>
    <t>010652</t>
  </si>
  <si>
    <t>RECONOCIMIENTO OFICIAL DE LA ENTIDAD DE ADIESTRAMIENTO DE PERROS DE ASISTENCIA.</t>
  </si>
  <si>
    <t>2 MESES</t>
  </si>
  <si>
    <t>SLLL</t>
  </si>
  <si>
    <t>010668</t>
  </si>
  <si>
    <t>COMUNICACION DE CAMBIO DE ENTIDAD TITULAR O GESTORA, CESE DE ACTIVIDAD DE UN SERVICIO SOCIAL</t>
  </si>
  <si>
    <t>NO ESTÁ SUJETO A PLAZO.</t>
  </si>
  <si>
    <t>MLSS</t>
  </si>
  <si>
    <t>010679</t>
  </si>
  <si>
    <t>AUTORIZACION ADMINISTRATIVA DE SERVICIOS SOCIALES</t>
  </si>
  <si>
    <t>SLZB</t>
  </si>
  <si>
    <t>020186</t>
  </si>
  <si>
    <t>ACREDITACION E INSCRIPCION REGISTRAL DE ENTIDADES DE VOLUNTARIADO</t>
  </si>
  <si>
    <t>1 MES</t>
  </si>
  <si>
    <t>DIRECCION GENERAL ACCION SOCIAL - CONSEJERIA DE BIENESTAR SOCIAL</t>
  </si>
  <si>
    <t>SC13</t>
  </si>
  <si>
    <t>020284</t>
  </si>
  <si>
    <t>RECONOCIMIENTO DE LA UNIDAD DE VINCULACION CON PERRO DE ASISTENCIA.</t>
  </si>
  <si>
    <t>SLLJ</t>
  </si>
  <si>
    <t>030025</t>
  </si>
  <si>
    <t>AYUDAS ECONOMICAS DE APOYO POR ACOGIMIENTO FAMILIAR DE MENORES</t>
  </si>
  <si>
    <t>3 MESES.</t>
  </si>
  <si>
    <t>DIRECCION GENERAL INFANCIA Y FAMILIA - CONSEJERIA DE BIENESTAR SOCIAL</t>
  </si>
  <si>
    <t>SIR9</t>
  </si>
  <si>
    <t>030026</t>
  </si>
  <si>
    <t>AYUDAS PARA EL DESARROLLO DE PROGRAMAS DE AUTONOMIA PERSONAL</t>
  </si>
  <si>
    <t>SH80</t>
  </si>
  <si>
    <t>030030</t>
  </si>
  <si>
    <t>AYUDAS DE EMERGENCIA SOCIAL</t>
  </si>
  <si>
    <t>VICECONSEJERIA SERVICIOS Y PRESTACIONES SOCIALES - CONSEJERIA DE BIENESTAR SOCIAL</t>
  </si>
  <si>
    <t>N609, S609</t>
  </si>
  <si>
    <t>030036</t>
  </si>
  <si>
    <t>AYUDAS A FAMILIAS NUMEROSAS</t>
  </si>
  <si>
    <t>NIIJ, SIIJ</t>
  </si>
  <si>
    <t>030037</t>
  </si>
  <si>
    <t>INGRESO MINIMO DE SOLIDARIDAD</t>
  </si>
  <si>
    <t>N513, S513</t>
  </si>
  <si>
    <t>030038</t>
  </si>
  <si>
    <t>AYUDAS PARA EL MANTENIMIENTO DE LAS CONDICIONES BASICAS DE VIDA</t>
  </si>
  <si>
    <t>NIYY, SIYY</t>
  </si>
  <si>
    <t>030039</t>
  </si>
  <si>
    <t>SOLICITUD DE SUBVENCIONES A EATIM, MUNICIPIOS, MANCOMUNIDADES Y AGRUPACIONES MUNICIPALES PARA EL DESARROLLO DE PROGRAMAS Y PROYECTOS DE ATENCION A PERSONAS MAYORES.</t>
  </si>
  <si>
    <t>DIRECCION GENERAL MAYORES - CONSEJERIA DE BIENESTAR SOCIAL</t>
  </si>
  <si>
    <t>SIMZ</t>
  </si>
  <si>
    <t>010001</t>
  </si>
  <si>
    <t>COMUNICACION DE CELEBRACION DE ACTIVIDADES FERIALES EN CASTILLA-LA MANCHA.  REGISTRO</t>
  </si>
  <si>
    <t/>
  </si>
  <si>
    <t>CONSEJERIA DE ECONOMIA, EMPRESAS Y EMPLEO</t>
  </si>
  <si>
    <t>DIRECCION GENERAL TURISMO, COMERCIO Y ARTESANIA - CONSEJERIA DE ECONOMIA, EMPRESAS Y EMPLEO</t>
  </si>
  <si>
    <t>S194</t>
  </si>
  <si>
    <t>010011</t>
  </si>
  <si>
    <t>COMUNICACION VENTAS EN  LIQUIDACION</t>
  </si>
  <si>
    <t>SJPU</t>
  </si>
  <si>
    <t>010020</t>
  </si>
  <si>
    <t>COMUNICACION DE VENTAS  AUTOMATICAS POR ESTABLECIMIENTOS COMERCIALES</t>
  </si>
  <si>
    <t>SJPV</t>
  </si>
  <si>
    <t>010021</t>
  </si>
  <si>
    <t>COMUNICACION DE VENTAS EN PUBLICA SUBASTA</t>
  </si>
  <si>
    <t>SJPW</t>
  </si>
  <si>
    <t>010026</t>
  </si>
  <si>
    <t>DECLARACION RESPONSABLE PARA EL INICIO/MODIFICACIONES DE CAMPAMENTO DE TURISMO EN CASTILLA-LA MANCHA E INSCRIPCION EN  EL REGISTRO GENERAL DE EMPRESAS, ESTABLECIMIENTOS Y ASOCIACIONES DE EMPRESAS TURISTICAS Y ENTIDAES TURISTICAS NO EMPRESARIALES DE CASTILLA-LA MANCHA</t>
  </si>
  <si>
    <t>DIH4</t>
  </si>
  <si>
    <t>010161</t>
  </si>
  <si>
    <t>AUTORIZACION DE PERSONAS O ENTIDADES ESPECIALIZADAS QUE PRETENDAN DESARROLLAR LA ACTIVIDAD DE AUDITORIA DE SISTEMA DE PREVENCION.</t>
  </si>
  <si>
    <t>VICECONSEJERIA EMPLEO, DIALOGO SOCIAL Y BIENESTAR LABORAL - CONSEJERIA DE ECONOMIA, EMPRESAS Y EMPLEO</t>
  </si>
  <si>
    <t>SIJI</t>
  </si>
  <si>
    <t>010163</t>
  </si>
  <si>
    <t>COMUNICACION DE APERTURA DE CENTROS DE TRABAJO</t>
  </si>
  <si>
    <t>SIJF</t>
  </si>
  <si>
    <t>010305</t>
  </si>
  <si>
    <t>AUTORIZACION DE EMPRESAS DE TRABAJO TEMPORAL</t>
  </si>
  <si>
    <t>DIRECCION GENERAL AUTONOMOS, TRABAJO  Y ECONOMIA SOCIAL - CONSEJERIA DE ECONOMIA, EMPRESAS Y EMPLEO</t>
  </si>
  <si>
    <t>SIJ8</t>
  </si>
  <si>
    <t>010306</t>
  </si>
  <si>
    <t>SOLICITUD DE AUTORIZACION PARA LA PARTICIPACION DE MENORES EN ESPECTACULOS PUBLICOS..</t>
  </si>
  <si>
    <t>SI95</t>
  </si>
  <si>
    <t>010317</t>
  </si>
  <si>
    <t>DECLARACION RESPONSABLE DE INICIO O AMPLIACION DE ACTIVIDAD COMO AGENCIA DE COLOCACION</t>
  </si>
  <si>
    <t>SG41</t>
  </si>
  <si>
    <t>010319</t>
  </si>
  <si>
    <t>REGISTRO DE CENTROS Y ENTIDADES QUE IMPARTEN FORMACION PROFESIONAL PARA EL EMPLEO EN CASTILLA-LA MANCHA</t>
  </si>
  <si>
    <t>DIRECCION GENERAL FORMACION PROFESIONAL PARA EL EMPLEO - CONSEJERIA DE ECONOMIA, EMPRESAS Y EMPLEO</t>
  </si>
  <si>
    <t>SE86</t>
  </si>
  <si>
    <t>010457</t>
  </si>
  <si>
    <t>COMUNICACION DE VENTA DOMICILIARIA</t>
  </si>
  <si>
    <t>SK0S</t>
  </si>
  <si>
    <t>010556</t>
  </si>
  <si>
    <t>COMUNICACION DE DESPLAZAMIENTO EN EL MARCO DE UNA PRESTACION DE SERVICIOS TRANSNACIONAL</t>
  </si>
  <si>
    <t>MKRW</t>
  </si>
  <si>
    <t>010557</t>
  </si>
  <si>
    <t>FORMACION PROFESIONAL PARA EL EMPLEO NO FINANCIADA CON FONDOS PUBLICOS, REALIZADA POR EMPRESAS Y CENTROS DE INICIATIVA PRIVADA</t>
  </si>
  <si>
    <t>SKS7</t>
  </si>
  <si>
    <t>010581</t>
  </si>
  <si>
    <t>HUELGA: COMUNICACION A LA AUTORIDAD LABORAL</t>
  </si>
  <si>
    <t>ML08</t>
  </si>
  <si>
    <t>010586</t>
  </si>
  <si>
    <t>HABILITACION DEL LIBRO DE SUBCONTRATACION</t>
  </si>
  <si>
    <t>SL0K</t>
  </si>
  <si>
    <t>010615</t>
  </si>
  <si>
    <t>AUTORIZACION PARA LA ADQUISICION DE LA CONDICION DE NUEVO MIEMBRO Y SOCIO DE LA RED EURES EN ESPAÑA.</t>
  </si>
  <si>
    <t>SL95</t>
  </si>
  <si>
    <t>010626</t>
  </si>
  <si>
    <t>MEDIDAS EXTRAORDINARIAS EN MATERIA DE SUBVENCIONES PARA EL FOMENTO DEL EMPLEO, FRENTE A LA CRISIS OCASIONADA POR EL COVID-19</t>
  </si>
  <si>
    <t>MLD3</t>
  </si>
  <si>
    <t>010628</t>
  </si>
  <si>
    <t>DECLARACION RESPONSABLE SOBRE LA IMPARTICION EXCEPCIONAL DE LAS ACCIONES FORMATIVAS DE LA MODALIDAD PRESENCIAL DE FORMACION PROFESIONAL PARA EL EMPLEO</t>
  </si>
  <si>
    <t>DLDT</t>
  </si>
  <si>
    <t>010641</t>
  </si>
  <si>
    <t>EXPEDIENTES DE SOLICITUD DE DECLARACION DE EMPRESA DEPENDIENTE O INTEGRANTE DE LA CADENA DE VALOR EN EXPEDIENTES DE REGULACION TEMPORAL DE EMPLEO</t>
  </si>
  <si>
    <t>5 DIAS</t>
  </si>
  <si>
    <t>SLGD</t>
  </si>
  <si>
    <t>015074</t>
  </si>
  <si>
    <t>COMUNICACION DE DATOS AL REGISTRO DE EMPRESAS DE VENTAS A DISTANCIA</t>
  </si>
  <si>
    <t>SIWH</t>
  </si>
  <si>
    <t>015077</t>
  </si>
  <si>
    <t>DECLARACION RESPONSABLE DE CESE DE ACTIVIDAD COMO ESTABLECIMIENTO HOTELERO DE CASTILLA-LA MANCHA Y BAJA EN EL REGISTRO GENERAL REGULADO EN EL DECRETO 5/2007, DE 22 DE ENERO</t>
  </si>
  <si>
    <t>DKOA</t>
  </si>
  <si>
    <t>015078</t>
  </si>
  <si>
    <t>DECLARACION RESPONSABLE DE INICIO DE ACTIVIDAD COMO ESTABLECIMIENTO HOTELERO DE CASTILLA-LA MANCHA E INSCRIPCION EN EL REGISTRO GENERAL REGULADO EN EL DECRETO 5/2007, DE 22 DE ENERO</t>
  </si>
  <si>
    <t>D139</t>
  </si>
  <si>
    <t>015079</t>
  </si>
  <si>
    <t>DECLARACION RESPONSABLE DE CAMBIO DE TITULARIDAD, CATEGORIA O DENOMINACION/MODIFICACION DE CAPACIDAD, COMO ESTABLECIMIENTO HOTELERO DE CASTILLA-LA MANCHA E INSCRIPCION  EN EL REGISTRO GENERAL REG</t>
  </si>
  <si>
    <t>DKO9</t>
  </si>
  <si>
    <t>015080</t>
  </si>
  <si>
    <t>MODIFICACION DE ACTIVIDAD/ES COMO EMPRESA DE TURISMO ACTIVO/ECOTURISMO</t>
  </si>
  <si>
    <t>DKOW</t>
  </si>
  <si>
    <t>015081</t>
  </si>
  <si>
    <t>CAMBIO DE TITULARIDAD,  CAMBIO DE DENOMINACION, CESE TOTAL DE ACTIVIDAD/ES, O CESE PARCIAL DE ACTIVIDAD/ES, COMO EMPRESA DE TURISMO ACTIVO/ECOTURISMO</t>
  </si>
  <si>
    <t>MKOX</t>
  </si>
  <si>
    <t>015082</t>
  </si>
  <si>
    <t>DECLARACION RESPONSABLE DE INICIO DE ACTIVIDAD COMO EMPRESA DE TURISMO ACTIVO/ECOTURISMO</t>
  </si>
  <si>
    <t>DITB</t>
  </si>
  <si>
    <t>015083</t>
  </si>
  <si>
    <t>MODIFICACION DE CAPACIDAD COMO ALOJAMIENTO DE TURISMO RURAL EN EL REGISTRO GENERAL.</t>
  </si>
  <si>
    <t>DKOK</t>
  </si>
  <si>
    <t>015084</t>
  </si>
  <si>
    <t>INICIO DE ACTIVIDAD COMO ALOJAMIENTOS DE TURISMO RURAL DE CASTILLA-LA MANCHA E INSCRIPCION EN EL REGISTRO GENERAL.</t>
  </si>
  <si>
    <t>DIWI</t>
  </si>
  <si>
    <t>015085</t>
  </si>
  <si>
    <t>CESE DE ACTIVIDAD, CAMBIO DE TITULARIDAD Y CAMBIO  DE DENOMINACION COMO ALOJAMIENTO DE TURISMO RURAL DE CASTILLA-LA MANCHA Y BAJA EN EL REGISTRO GENERAL</t>
  </si>
  <si>
    <t>MKOL</t>
  </si>
  <si>
    <t>015120</t>
  </si>
  <si>
    <t>DECLARACION DE EXCEPCIONALIDAD PARA EL CUMPLIMIENTO ALTERNATIVO DE LA CUOTA DE RESERVA DE PLANTILLA A FAVOR DE TRABAJADORES CON DISCAPACIDAD</t>
  </si>
  <si>
    <t>2 MESES.</t>
  </si>
  <si>
    <t>SJ4D</t>
  </si>
  <si>
    <t>015121</t>
  </si>
  <si>
    <t>COMUNICACION DE MEDIDAS ALTERNATIVAS AL CUMPLIMIENTO DE LA OBLIGACION DE RESERVA DEL 2% DE PLANTILLA A FAVOR DE TRABAJADORES CON DISCAPACIDAD.</t>
  </si>
  <si>
    <t>MKIX</t>
  </si>
  <si>
    <t>015435</t>
  </si>
  <si>
    <t>AUTORIZACION PARA LA COMUNICACION DE LA CONTRATACION A TRAVES DE LA APLICACION CONTRAT@</t>
  </si>
  <si>
    <t>SJW1</t>
  </si>
  <si>
    <t>015436</t>
  </si>
  <si>
    <t>COMUNICACION PRESENCIAL EXCEPCIONAL DE CONTRATOS DE TRABAJO,COPIAS BASICAS, PRORROGAS,TRANSFORMACIONES, MODIFICACIONES,CORRECCIONES/ANULACIONES Y LLAMAMIENTOS A LA CONSEJERIA DE EMPLEO Y ECONOMIA</t>
  </si>
  <si>
    <t>SJW0</t>
  </si>
  <si>
    <t>015661</t>
  </si>
  <si>
    <t>COMUNICACION DE CAMBIO DE TITULARIDAD, CAMBIO DE DENOMINACION O CESE DE ACTIVIDAD COMO APARTAMENTO TURISTICO EN EL REGISTRO GENERAL REGULADO EN EL DECRETO 5/2007.</t>
  </si>
  <si>
    <t>DKQA</t>
  </si>
  <si>
    <t>015662</t>
  </si>
  <si>
    <t>DECLARACION RESPONSABLE DE MODIFICACION DE CAPACIDAD O CAMBIO DE CATEGORIA, COMO APARTAMENTO TURISTICO DE CASTILLA-LA MANCHA E INSCRIPCION  EN EL REGISTRO GENERAL REGULADO EN EL DECRETO 5/2007</t>
  </si>
  <si>
    <t>DKQ9</t>
  </si>
  <si>
    <t>015663</t>
  </si>
  <si>
    <t>DECLARACION RESPONSABLE DE INICIO DE ACTIVIDAD COMO APARTAMENTO TURISTICO DE CASTILLA-LA MANCHA E INSCRIPCION EN EL REGISTRO GENERAL REGULADO EN EL DECRETO 5/2007, DE 22 DE ENERO</t>
  </si>
  <si>
    <t>DKIE</t>
  </si>
  <si>
    <t>015778</t>
  </si>
  <si>
    <t>DECLARACION RESPONSABLE DE INICIO DE ACTIVIDAD COMO VIVIENDA DE USO  TURISTICO DE CASTILLA-LA MANCHA E INSCRIPCION EN EL REGISTRO GENERAL REGULADO EN EL DECRETO 5/2007, DE 22 DE ENERO</t>
  </si>
  <si>
    <t>DKT4</t>
  </si>
  <si>
    <t>015780</t>
  </si>
  <si>
    <t>COMUNICACION DE CAMBIO DE TITULARIDAD, CAMBIO DE DENOMINACION O CESE DE ACTIVIDAD COMO VIVIENDA DE USO TURISTICO EN EL REGISTRO GENERAL REGULADO EN EL DECRETO 5/2007.</t>
  </si>
  <si>
    <t>DKT6</t>
  </si>
  <si>
    <t>015781</t>
  </si>
  <si>
    <t>DECLARACION RESPONSABLE DE  MODIFICACION DE CAPACIDAD COMO VIVIENDA DE USO TURISTICO  E INSCRIPCION EN EL REGISTRO GENERAL REGULADO EN EL DECRETO 5/2007</t>
  </si>
  <si>
    <t>DKT5</t>
  </si>
  <si>
    <t>015859</t>
  </si>
  <si>
    <t>COMUNICACION RELATIVA AL CESE DE ACTIVIDAD, CAMBIO DE TITULARIDAD Y CAMBIO  DE DENOMINACION COMO ALBERGUE TURISTICO DE CASTILLA-LA MANCHA Y BAJA EN EL REGISTRO GENERAL</t>
  </si>
  <si>
    <t>MKXX</t>
  </si>
  <si>
    <t>015860</t>
  </si>
  <si>
    <t>DECLARACION RESPONSABLE RELATIVA A LA MODIFICACION DE CAPACIDAD COMO ALBERGUE TURISTICO EN EL REGISTRO GENERAL.</t>
  </si>
  <si>
    <t>DKXW</t>
  </si>
  <si>
    <t>015861</t>
  </si>
  <si>
    <t>DECLARACION RESPONSABLE RELATIVA AL INICIO DE ACTIVIDAD COMO ALBERGUE TURISTICO DE CASTILLA-LA MANCHA E INSCRIPCION EN EL REGISTRO GENERAL.</t>
  </si>
  <si>
    <t>DKXV</t>
  </si>
  <si>
    <t>015862</t>
  </si>
  <si>
    <t>ADHESION RED DE HOSPEDERIAS DE CASTILLA- LA MANCHA.</t>
  </si>
  <si>
    <t>6 MESES.</t>
  </si>
  <si>
    <t>SKXY</t>
  </si>
  <si>
    <t>015863</t>
  </si>
  <si>
    <t>COMUNICACION DE BAJA VOLUNTARIA, CAMBIO DE TITULARIDAD Y CAMBIO DE DENOMINACION DE HOTEL ADHERIDO A LA RED DE HOSPEDERIAS DE CASTILLA-LA MANCHACOMUNICACION DE BAJA VOLUNTARIA, CAMBIO DE TITULARIDAD Y</t>
  </si>
  <si>
    <t>MKXZ</t>
  </si>
  <si>
    <t>015864</t>
  </si>
  <si>
    <t>DECLARACION RESPONSABLE RELATIVA A LA MODIFICACION DE LA CAPACIDAD Y MODIFICACION DE LA CATEGORIA DEL HOTEL ADHERIDO A LA RED DE HOSPEDERIAS DE CASTILLA-LA MANCHA</t>
  </si>
  <si>
    <t>DKY0</t>
  </si>
  <si>
    <t>015865</t>
  </si>
  <si>
    <t>COMUNICACION RELATIVA AL CESE DE ACTIVIDAD, CAMBIO DE TITULARIDAD Y CAMBIO  DE DENOMINACION COMO AREAS DE PERNOCTA PARA AUTOCARAVANAS Y BAJA EN EL REGISTRO GENERAL</t>
  </si>
  <si>
    <t>MKY2</t>
  </si>
  <si>
    <t>015866</t>
  </si>
  <si>
    <t>DECLARACION RESPONSABLE RELATIVA AL INICIO DE ACTIVIDAD COMO AREAS DE PERNOCTA PARA AUTOCARAVANAS DE CASTILLA-LA MANCHA  E INSCRIPCION EN EL REGISTRO GENERAL.</t>
  </si>
  <si>
    <t>DKY6</t>
  </si>
  <si>
    <t>015867</t>
  </si>
  <si>
    <t>DECLARACION RESPONSABLE RELATIVA A LA MODIFICACION DE CAPACIDAD COMO AREA DE PERNOCTA PARA AUTOCARAVANAS EN EL REGISTRO GENERAL.</t>
  </si>
  <si>
    <t>DKY1</t>
  </si>
  <si>
    <t>015868</t>
  </si>
  <si>
    <t>COMUNICACION RELATIVA AL CESE DE ACTIVIDAD, CAMBIO DE TITULARIDAD Y CAMBIO  DE DENOMINACION COMO CAMPING Y BAJA EN EL REGISTRO GENERAL</t>
  </si>
  <si>
    <t>MKY3</t>
  </si>
  <si>
    <t>015869</t>
  </si>
  <si>
    <t>DECLARACION RESPONSABLE RELATIVA AL INICIO DE ACTIVIDAD COMO CAMPING DE CASTILLA-LA MANCHA E INSCRIPCION EN EL REGISTRO GENERAL.</t>
  </si>
  <si>
    <t>DKY4</t>
  </si>
  <si>
    <t>015870</t>
  </si>
  <si>
    <t>DECLARACION RESPONSABLE RELATIVA A LA MODIFICACION DE CAPACIDAD COMO CAMPING EN EL REGISTRO GENERAL.</t>
  </si>
  <si>
    <t>DKY5</t>
  </si>
  <si>
    <t>015883</t>
  </si>
  <si>
    <t>RENOVACION, DUPLICADO O MODIFICACION DE DATOS DEL CARNE DE INFORMADOR TURISTICO DE AMBITO LOCAL DE CASTILLA-LA MANCHA</t>
  </si>
  <si>
    <t>SL3V</t>
  </si>
  <si>
    <t>015884</t>
  </si>
  <si>
    <t>EXPEDICION,RENOVACION, DUPLICADO O MODIFICACION DE DATOS DEL CARNE DE GUIA DE TURISMO DE CASTILLA-LA MANCHA</t>
  </si>
  <si>
    <t>SL0M</t>
  </si>
  <si>
    <t>015885</t>
  </si>
  <si>
    <t>RECONOCIMIENTO CUALIFICACION PROFESIONAL COMO GUIA DE TURISMO DE CASTILLA-LA MANCHA POR PROFESIONALES DE LA UNION EUROPEA. ESTABLECIMIENTO</t>
  </si>
  <si>
    <t>SL0I</t>
  </si>
  <si>
    <t>015886</t>
  </si>
  <si>
    <t>DECLARACION EJERCICIO DE LA ACTIVIDAD DE GUIA DE TURISMO EN CASTILLA-LA MANCHA POR PROFESIONALES DE LA UNION EUROPEA</t>
  </si>
  <si>
    <t>DL0L</t>
  </si>
  <si>
    <t>015887</t>
  </si>
  <si>
    <t>SOLICITUD DE HABILITACION DE INFORMADOR TURISTICO DE AMBITO LOCAL DE CASTILLA-LA MANCHA</t>
  </si>
  <si>
    <t>SL3U</t>
  </si>
  <si>
    <t>015888</t>
  </si>
  <si>
    <t>DECLARACION RESPONSABLE RELATIVA AL INICIO DE ACTIVIDAD COMO EMPRESA DE INFORMACION TURISTICA DE CASTILLA-LA MANCHA E INSCRIPCION EN EL REGISTRO GENERAL</t>
  </si>
  <si>
    <t>DL0G</t>
  </si>
  <si>
    <t>015889</t>
  </si>
  <si>
    <t>COMUNICACION DE CESE DE ACTIVIDAD, CAMBIO DE TITULARIDAD Y CAMBIO DE DENOMINACION DE EMPRESA DE INFORMACION TURISTICA .</t>
  </si>
  <si>
    <t>ML0H</t>
  </si>
  <si>
    <t>016008</t>
  </si>
  <si>
    <t>COMUNICACION PREVIA DEL INICIO DE TRABAJOS.</t>
  </si>
  <si>
    <t>45 DÍAS HÁBILES, A CONTAR DESDE LA FECHA EN LA QUE EL PLAN HAYA TENIDO ENTRADA EN EL REGISTRO DE LAS DELEGACIONES PROVINCIALES DE ECONOMÍA, EMPRESAS Y EMPLEO</t>
  </si>
  <si>
    <t>MLCR</t>
  </si>
  <si>
    <t>016009</t>
  </si>
  <si>
    <t>REGISTRO DE DATOS DE EVALUACION DE LA EXPOSICION EN LOS TRABAJOS CON AMIANTO.</t>
  </si>
  <si>
    <t>MLCS</t>
  </si>
  <si>
    <t>016010</t>
  </si>
  <si>
    <t>APROBACION DE PLAN DE TRABAJO CON RIESGO DE AMIANTO.</t>
  </si>
  <si>
    <t>SLCQ</t>
  </si>
  <si>
    <t>016011</t>
  </si>
  <si>
    <t>EXPEDIENTES DE REGULACION TEMPORAL DE EMPLEO. PRORROGA DE ERTE.</t>
  </si>
  <si>
    <t>SLPH</t>
  </si>
  <si>
    <t>016012</t>
  </si>
  <si>
    <t>ERTE POR MECANISMO RED</t>
  </si>
  <si>
    <t>SLT0</t>
  </si>
  <si>
    <t>016013</t>
  </si>
  <si>
    <t>ERTE POR FUERZA MAYOR TEMPORAL, IMPEDIMENTO Y LIMITACION.</t>
  </si>
  <si>
    <t>MLCV</t>
  </si>
  <si>
    <t>016014</t>
  </si>
  <si>
    <t>ERTE POR CAUSAS ECONOMICAS, TECNICAS, ORGANIZATIVAS O DE PRODUCCION.</t>
  </si>
  <si>
    <t>MLDB</t>
  </si>
  <si>
    <t>016059</t>
  </si>
  <si>
    <t>EMPRESA DE INTERMEDIACION TURISTICA DE CASTILLA-LA MANCHA INICIO DE ACTIVIDAD SEDE PRINCIPAL</t>
  </si>
  <si>
    <t>DLJE</t>
  </si>
  <si>
    <t>016060</t>
  </si>
  <si>
    <t>EMPRESA DE INTERMEDIACION TURISTICA DE C-LM.  COMUNICACION DE CAMBIO DE DENOMINACION, DE CLASIFICACION DE AGENCIAS DE VIAJE, ASI COMO DE CESE DE ACTIVIDAD</t>
  </si>
  <si>
    <t>MLJG</t>
  </si>
  <si>
    <t>016061</t>
  </si>
  <si>
    <t>EMPRESAS INTERMEDIACION TURISTICA DE C-LM. DECLARACION RESPONSABLE APERTURA DE NUEVAS SUCURSALES, ASI COMO EL CIERRE DE LAS YA EXISTENTES (SOLO PARA ESTABLECIMIENTOS FISICOS)</t>
  </si>
  <si>
    <t>DLJF</t>
  </si>
  <si>
    <t>020102</t>
  </si>
  <si>
    <t>OBTENCION DE CERTIFICACION DE DENOMINACION NO COINCIDENTE Y DE SUS PRORROGAS PARA UNA SOCIEDAD COOPERATIVA EN EL REGISTRO DE COOPERATIVAS DE CASTILLA-LA MANCHA.</t>
  </si>
  <si>
    <t>5 DIAS HÁBILES</t>
  </si>
  <si>
    <t>SIJH</t>
  </si>
  <si>
    <t>020104</t>
  </si>
  <si>
    <t>REGISTRO, DEPOSITO Y PUBLICACION DE CONVENIOS Y ACUERDOS COLECTIVOS DE TRABAJO</t>
  </si>
  <si>
    <t>20 DÍAS.</t>
  </si>
  <si>
    <t>SI90</t>
  </si>
  <si>
    <t>020105</t>
  </si>
  <si>
    <t>REGISTRO Y DEPOSITO DE ESTATUTOS DE ASOCIACIONES EMPRESARIALES Y SINDICALES, ASI COMO SUS FUSIONES, FEDERACIONES Y CONFEDERACIONES</t>
  </si>
  <si>
    <t>DIEZ DÍAS ORGANIZACIONES SINDICALES._x000D_
VEINTE DÍAS, ORGANIZACIONES EMPRESARIALES.</t>
  </si>
  <si>
    <t>SI91</t>
  </si>
  <si>
    <t>020106</t>
  </si>
  <si>
    <t>REGISTRO REGIONAL DE EMPRESAS EXENTAS DE AUDITORIA DE SU SISTEMAS DE PREVENCION</t>
  </si>
  <si>
    <t>SI00</t>
  </si>
  <si>
    <t>020159</t>
  </si>
  <si>
    <t>INSCRIPCION EN EL REGISTRO ADMINISTRATIVO DE EMPRESAS DE INSERCION DE CASTILLA-LA MANCHA</t>
  </si>
  <si>
    <t>6 MESES</t>
  </si>
  <si>
    <t>DIRECCION GENERAL PROGRAMAS DE EMPLEO - CONSEJERIA DE ECONOMIA, EMPRESAS Y EMPLEO</t>
  </si>
  <si>
    <t>SJI7</t>
  </si>
  <si>
    <t>020160</t>
  </si>
  <si>
    <t>HABILITACION/LEGALIZACION DE LIBROS SOCIALES Y CONTABLES DE LAS SOCIEDADES COOPERATIVAS POR EL REGISTRO DE COOPERATIVAS DE CASTILLA-LA MANCHA</t>
  </si>
  <si>
    <t>20 DÍAS DESDE LA PRESENTACIÓN ANTE LA UNIDAD PROVINCIAL O REGIONAL CORRESPONDIENTE DEL REGISTRO DE COOPERATIVAS DE CASTILLA-LA MANCHA</t>
  </si>
  <si>
    <t>SJMF</t>
  </si>
  <si>
    <t>020169</t>
  </si>
  <si>
    <t>INSCRIPCION EN EL REGISTRO DE EMPRESAS CON RIESGO DE AMIANTO (RERA) DE LAS EMPRESAS QUE VAYAN A REALIZAR ACTIVIDADES U OPERACIONES CON RIESGO DE EXPOSICION A AMIANTO</t>
  </si>
  <si>
    <t>SJOS</t>
  </si>
  <si>
    <t>020170</t>
  </si>
  <si>
    <t>REGISTRO DE TECNICOS DE NIVEL INTERMEDIO Y SUPERIOR EN PREVENCION DE RIESGOS LABORALES DE LA COMUNIDAD AUTONOMA DE CASTILLA-LA MANCHA</t>
  </si>
  <si>
    <t>SJOT</t>
  </si>
  <si>
    <t>020208</t>
  </si>
  <si>
    <t>REGISTRO DE FORMADORES DE ACCIONES FORMATIVAS CONDUCENTES A LA OBTENCIÓN DE CERTIFICADOS DE PROFESIONALIDAD</t>
  </si>
  <si>
    <t>SJWK</t>
  </si>
  <si>
    <t>020229</t>
  </si>
  <si>
    <t>DEPOSITO DE LAS CUENTAS ANUALES DE LAS SOCIEDADES COOPERATIVAS EN EL REGISTRO DE COOPERATIVAS DE CASTILLA-LA MANCHA (TRAMITE ORDINARIO Y TRAMITE PROVISIONAL)</t>
  </si>
  <si>
    <t>20 DÍAS DESDE LA PRESENTACIÓN ANTE LA CORRESPONDIENTE UNIDAD REGISTRAL DEL REGISTRO DE COOPERATIVAS DE C-LM.</t>
  </si>
  <si>
    <t>SKFL</t>
  </si>
  <si>
    <t>020243</t>
  </si>
  <si>
    <t>REGISTRO ESPECIAL DE ASOCIACIONES DE TRABAJADORAS Y TRABAJADORES AUTONOMOS DE CASTILLA-LA MANCHA</t>
  </si>
  <si>
    <t>SKQ8</t>
  </si>
  <si>
    <t>020255</t>
  </si>
  <si>
    <t>OFICINA DE ELECCIONES SINDICALES</t>
  </si>
  <si>
    <t>ML06</t>
  </si>
  <si>
    <t>020261</t>
  </si>
  <si>
    <t>MEMORIA ANUAL DE LOS CENTROS ESPECIALES DE EMPLEO</t>
  </si>
  <si>
    <t>ML2M</t>
  </si>
  <si>
    <t>020264</t>
  </si>
  <si>
    <t>CALIFICACION E INSCRIPCION  EN EL REGISTRO DE CENTROS ESPECIALES DE EMPLEO, COMO CENTRO ESPECIAL DE EMPLEO.</t>
  </si>
  <si>
    <t>SL45</t>
  </si>
  <si>
    <t>020265</t>
  </si>
  <si>
    <t>COMUNICACION DE CAMBIOS REGISTRALES Y BAJA EN EL REGISTRO DE CENTROS ESPECIALES DE EMPLEO, COMO CENTRO ESPECIAL DE EMPLEO.</t>
  </si>
  <si>
    <t>ML46</t>
  </si>
  <si>
    <t>020293</t>
  </si>
  <si>
    <t>SOLICITUD DE CAMBIO DE TITULARIDAD EN EL REGISTRO DE CENTROS ESPECIALES DE CASTILLA-LA MANCHA.</t>
  </si>
  <si>
    <t>SLP6</t>
  </si>
  <si>
    <t>025134</t>
  </si>
  <si>
    <t>CALIFICACION PREVIA DEL PROYECTO DE ESTATUTOS E INSCRIPCION DE LA CONSTITUCION DE UNA NUEVA SOCIEDAD COOPERATIVA EN EL REGISTRO DE COOPERATIVAS DE CASTILLA-LA MANCHA.</t>
  </si>
  <si>
    <t>"20 DÍAS DESDE LA PRESENTACIÓN DE LA DOCUMENTACIÓN ANTE LA CORRESPONDIENTE 
  UNIDAD DEL REGISTRO DE COOPERATIVAS DE CASTILLA-LA MANCHA."</t>
  </si>
  <si>
    <t>SKYQ</t>
  </si>
  <si>
    <t>025135</t>
  </si>
  <si>
    <t>INSCRIPCION DE ACTOS RELATIVOS A LAS COOPERATIVAS Y ASOCIACIONES DE COOPERATIVAS EN EL REGISTRO DE COOPERATIVAS DE CASTILLA-LA MANCHA.</t>
  </si>
  <si>
    <t>SI8Z</t>
  </si>
  <si>
    <t>025136</t>
  </si>
  <si>
    <t>INSCRIPCION Y RENOVACION EN EL REGISTRO DE EMPRESAS ACREDITADAS EN EL SECTOR DE LA CONSTRUCCION (REA).</t>
  </si>
  <si>
    <t>15 DÍAS</t>
  </si>
  <si>
    <t>SJ39</t>
  </si>
  <si>
    <t>025137</t>
  </si>
  <si>
    <t>COMUNICACION DE VARIACION DE DATOS EN EL REGISTRO DE EMPRESAS ACREDITADAS EN EL SECTOR DE LA CONSTRUCCION (REA).</t>
  </si>
  <si>
    <t>SKJP</t>
  </si>
  <si>
    <t>025138</t>
  </si>
  <si>
    <t>CANCELACION DE INSCRIPCION EN EL REGISTRO DE EMPRESAS ACREDITADAS EN EL SECTOR DE LA CONSTRUCCION (REA).</t>
  </si>
  <si>
    <t>SKJQ</t>
  </si>
  <si>
    <t>025150</t>
  </si>
  <si>
    <t>REGISTRO DE FRANQUICIADORES</t>
  </si>
  <si>
    <t>SIHW</t>
  </si>
  <si>
    <t>025155</t>
  </si>
  <si>
    <t>EXPEDICION DE CERTIFICADO DE PROFESIONALIDAD</t>
  </si>
  <si>
    <t>SITX</t>
  </si>
  <si>
    <t>025156</t>
  </si>
  <si>
    <t>EXPEDICION DE ACREDITACION DE UNIDADES DE COMPETENCIA</t>
  </si>
  <si>
    <t>SKCK</t>
  </si>
  <si>
    <t>025157</t>
  </si>
  <si>
    <t>SOLICITUD DE BAJA COMO DEMANDANTE EN LOS SERVICIOS PUBLICOS DE EMPLEO DE CASTILLA LA MANCHA</t>
  </si>
  <si>
    <t>SKIK</t>
  </si>
  <si>
    <t>025158</t>
  </si>
  <si>
    <t>COMUNICACION DE DESPLAZAMIENTO DE DEMANDANTES INSCRITOS EN LOS SERVICIOS PUBLICOS DE EMPLEO DE CASTILLA LA MANCHA</t>
  </si>
  <si>
    <t>MKIJ</t>
  </si>
  <si>
    <t>025159</t>
  </si>
  <si>
    <t>SOLICITUD DE SUSPENSION DE LA DEMANDA EN LOS SERVICIOS PUBLICOS DE EMPLEO DE CASTILLA LA MANCHA</t>
  </si>
  <si>
    <t>SKII</t>
  </si>
  <si>
    <t>025160</t>
  </si>
  <si>
    <t>SOLICITUD DE RECUPERACION DE PERIODO EN BAJA DE LA DEMANDA</t>
  </si>
  <si>
    <t>SKIH</t>
  </si>
  <si>
    <t>025161</t>
  </si>
  <si>
    <t>INSCRIPCION COMO DEMANDANTE DE PERSONAS TRABAJADORAS EN OFICINAS DE EMPLEO Y EMPRENDEDORES DE LA CONSEJERIA DE EMPLEO Y ECONOMIA, ASI COMO MANTENIMIENTO Y ACTUALIZACION DE LOS DATOS DE SU DEMANDA</t>
  </si>
  <si>
    <t>SJNO</t>
  </si>
  <si>
    <t>025714</t>
  </si>
  <si>
    <t>DECLARACION RESPONSABLE DE USO DE LA MARCA  CASTILLA-LA MANCHA</t>
  </si>
  <si>
    <t>DKNB</t>
  </si>
  <si>
    <t>025715</t>
  </si>
  <si>
    <t>COMUNICACION DE BAJA VOLUNTARIA EN EL REGISTRO REGIONAL DE USUARIOS DE LA MARCA  CASTILLA-LA MANCHA</t>
  </si>
  <si>
    <t>MKYC</t>
  </si>
  <si>
    <t>025749</t>
  </si>
  <si>
    <t>BAJA DEL REGISTRO DE ENTIDADES HOMOLOGADAS</t>
  </si>
  <si>
    <t>SKPY</t>
  </si>
  <si>
    <t>025750</t>
  </si>
  <si>
    <t>HOMOLOGACION DE ENTIDADES PARA LA PRESTACION DE SERVICIOS DE ASESORAMIENTO Y TUTORIZACION A PERSONAS EMPRENDEDORAS Y ALTA EN EL REGISTRO DE ENTIDADES HOMOLOGADAS</t>
  </si>
  <si>
    <t>SKPW</t>
  </si>
  <si>
    <t>025751</t>
  </si>
  <si>
    <t>MODIFICACION DE LOS DATOS DEL REGISTRO DE ENTIDADES HOMOLOGADAS</t>
  </si>
  <si>
    <t>SKPX</t>
  </si>
  <si>
    <t>030427</t>
  </si>
  <si>
    <t>AYUDAS ESPECIALES DEL DECRETO 312/2011, DE 29 DE DICIEMBRE, DE LAS PERSONAS TRABAJADORAS AFECTADAS POR LOS ERES 76/2000, DE 08/03/2001 Y 25/2001, DE 31/07/2001</t>
  </si>
  <si>
    <t>SJOW</t>
  </si>
  <si>
    <t>030551</t>
  </si>
  <si>
    <t>CONCESION DE BECAS Y/O AYUDAS A PERSONAS TRABAJADORAS DESEMPLEADAS QUE PARTICIPEN EN LAS DIFERENTES MODALIDADES DE FORMACION PROFESIONAL PARA EL EMPLEO EN CASTILLA-LA MANCHA.</t>
  </si>
  <si>
    <t>UN MES DESDE EL DÍA SIGUIENTE AL DE LA FINALIZACIÓN DEL CURSO O PRÁCTICAS PROFESIONALES NO LABORALES.</t>
  </si>
  <si>
    <t>SK5F</t>
  </si>
  <si>
    <t>030570</t>
  </si>
  <si>
    <t>INSCRIPCION PARA LA REALIZACION DE ACCIONES DE FORMACION PROFESIONAL PARA EL EMPLEO.</t>
  </si>
  <si>
    <t>SK5E</t>
  </si>
  <si>
    <t>030638</t>
  </si>
  <si>
    <t>SUBVENCIONES PARA LA REALIZACION DE PROYECTOS DENTRO DEL PROGRAMA GARANTIA +52 AÑOS, EN EL MARCO DEL PLAN REGIONAL DE EMPLEO Y GARANTIA DE RENTAS DE CASTILLA-LA MANCHA (2018-2020)</t>
  </si>
  <si>
    <t>SKM2</t>
  </si>
  <si>
    <t>030639</t>
  </si>
  <si>
    <t>PREMIOS PERIODISTICOS DE CASTILLA-LA MANCHA.</t>
  </si>
  <si>
    <t>SKM6</t>
  </si>
  <si>
    <t>030642</t>
  </si>
  <si>
    <t>PREMIOS MIGUEL DE CERVANTES DE GASTRONOMIA</t>
  </si>
  <si>
    <t>SKM9</t>
  </si>
  <si>
    <t>030643</t>
  </si>
  <si>
    <t>CONCESION DIRECTA DE SUBVENCIONES DE CARACTER EXCEPCIONAL, PARA EL FOMENTO DE LA CONTRATACION INDEFINIDA, Y EN ESPECIAL DE PERSONAS MAYORES DE 45 AÑOS</t>
  </si>
  <si>
    <t>DOS MESES</t>
  </si>
  <si>
    <t>SKMA</t>
  </si>
  <si>
    <t>030645</t>
  </si>
  <si>
    <t>AYUDAS PARA LA CONTRATACION DE PERSONAS DESEMPLEADAS, EN EL MARCO DEL PLAN EXTRAORDINARIO POR EL EMPLEO EN CASTILLA LA MANCHA</t>
  </si>
  <si>
    <t>SKME</t>
  </si>
  <si>
    <t>030678</t>
  </si>
  <si>
    <t>CONCESION DIRECTA DE UNA SUBVENCION DE CARACTER EXCEPCIONAL A CRUZ ROJA ESPAÑOLA, FUNDACION SECRETARIADO GITANO, CARITAS, FUNDACION DE ACCION CONTRA EL HAMBRE E YMCA</t>
  </si>
  <si>
    <t>PKOZ</t>
  </si>
  <si>
    <t>030706</t>
  </si>
  <si>
    <t>SUBVENCIONES DE CONCESION DIRECTA A U.G.T., C.C.O.O. Y C.E.C.A.M., VINCULADAS A LA PARTICIPACION INSTITUCIONAL EN EL PLAN DE MEDIDAS EXTRAORDINARIAS PARA LA RECUPERACION ECONOMICA DE CASTILLA-LA MANCHA, CON MOTIVO DE LA CRISIS DEL COVID-19.</t>
  </si>
  <si>
    <t>NO SE APLICA</t>
  </si>
  <si>
    <t>PKU8</t>
  </si>
  <si>
    <t>030707</t>
  </si>
  <si>
    <t>SUBVENCION DE CONCESION DIRECTA D A LA CONFEDERACION REGIONAL DE EMPRESARIOS DE CASTILLA-LA MANCHA (CECAM), PARA LA DIVULGACION, ASESORAMIENTO Y EL SEGUIMIENTO DE LOS INCENTIVOS A LA CONTRATACION Y DURANTE EL EJERCICIO 2017</t>
  </si>
  <si>
    <t>PKU9</t>
  </si>
  <si>
    <t>030721</t>
  </si>
  <si>
    <t>PREMIOS AL MERITO EMPRESARIAL DE CASTILLA-LA MANCHA (MEEM).</t>
  </si>
  <si>
    <t>TRES MESES</t>
  </si>
  <si>
    <t>DIRECCION GENERAL EMPRESAS - CONSEJERIA DE ECONOMIA, EMPRESAS Y EMPLEO</t>
  </si>
  <si>
    <t>SKVD</t>
  </si>
  <si>
    <t>030725</t>
  </si>
  <si>
    <t>SUBVENCION DE CONCESION DIRECTA AL CONSEJO DE CAMARAS OFICIALES DE COMERCIO, INDUSTRIA Y SERVICIOS DE CASTILLA LA MANCHA, PARA LA EJECUCION DE PROGRAMAS DIRIGIDOS A LA MEJORA DE LA COMPETITIVIDAD Y LA INTERNACIONALIZACION DE LAS EMPRESAS EN EL EJERCICIO 2019.</t>
  </si>
  <si>
    <t>PKVI</t>
  </si>
  <si>
    <t>030734</t>
  </si>
  <si>
    <t>SUBVENCION DE CONCESION DIRECTA A LA FUNDACION ESCUELA DE ORGANIZACION INDUSTRIAL (EOI), PARA EL DESARROLLO DE UN PROGRAMA DE FORMACION DIRIGIDO A FOMENTAR EL EMPRENDIMIENTO</t>
  </si>
  <si>
    <t>PKWO</t>
  </si>
  <si>
    <t>030745</t>
  </si>
  <si>
    <t>AYUDAS DE LA CONVOCATORIA DE EXPRESIONES DE INTERES PARA LA SELECCION Y EJECUCION DE PROYECTOS PARA LA PROMOCION, MEJORA E INCREMENTO DE LOS RECURSOS TURISTICOS DE LA REGION.</t>
  </si>
  <si>
    <t>EL PLAZO MÁXIMO PARA RESOLVER Y NOTIFICAR LA RESOLUCIÓN NO PODRÁ EXCEDER DE 4 MESES, A CONTAR DESDE LA FECHA DE FINALIZACIÓN DEL PLAZO PARA PRESENTAR SOLICITUDES.</t>
  </si>
  <si>
    <t>SKYY</t>
  </si>
  <si>
    <t>030754</t>
  </si>
  <si>
    <t>INSERCION LABORAL DE PERSONAS EN SITUACION DE EXCLUSION A TRAVES DE EMPRESAS DE INSERCION</t>
  </si>
  <si>
    <t>3 MESES DESDE LA PRESENTACIÓN DE LA SOLICITUD.</t>
  </si>
  <si>
    <t>SKZ7</t>
  </si>
  <si>
    <t>030771</t>
  </si>
  <si>
    <t>CONCESION DIRECTA DE SUBVENCIONES PARA EL ESTIMULO DEL MERCADO DE TRABAJO Y EL FOMENTO DEL EMPLEO ESTABLE Y DE CALIDAD.</t>
  </si>
  <si>
    <t>SL10</t>
  </si>
  <si>
    <t>030781</t>
  </si>
  <si>
    <t>PREMIOS REGIONALES DE TURISMO DE CASTILLA-LA MANCHA.</t>
  </si>
  <si>
    <t>SL21</t>
  </si>
  <si>
    <t>030787</t>
  </si>
  <si>
    <t>SUBVENCIONES PARA FINANCIAR PROYECTOS PARA EL EMPLEO DE PERSONAS JOVENES CUALIFICADAS INSCRITAS EN EL SISTEMA NACIONAL DE GARANTIA JUVENIL, COFINANCIADA POR EL PROGRAMA OPERATIVO DE EMPLEO JUVENIL.</t>
  </si>
  <si>
    <t>3 MESES DESDE LA FECHA DE FINALIZACIÓN DEL PLAZO DE PRESENTACIÓN DE SOLICITUDES.</t>
  </si>
  <si>
    <t>SL2T</t>
  </si>
  <si>
    <t>030800</t>
  </si>
  <si>
    <t>CONCESION DIRECTA AL CONSEJO DE CAMARAS OFICIALES DE COMERCIO, INDUSTRIA Y SERVICIOS DE CLM, VINCULADAS A LA EVALUACION Y DIFUSION DE LOS PROGRAMAS DE EMPLEO REALIZADOS EN EL MARCO DEL PROGRAMA OPERATIVO DE EMPLEO JUVENIL 2014-2020</t>
  </si>
  <si>
    <t>PL41</t>
  </si>
  <si>
    <t>030815</t>
  </si>
  <si>
    <t>CONCESION DIRECTA DE SUBVENCIONES PARA INCENTIVAR LA CONTRATACION EN EL MARCO DEL PROGRAMA "CHEQUE TRANSICION".</t>
  </si>
  <si>
    <t>SL5W</t>
  </si>
  <si>
    <t>030831</t>
  </si>
  <si>
    <t>INSCRIPCION PARA LA REALIZACION DE ACCIONES DE FORMACION PROFESIONAL PARA EL EMPLEO, CON COMPROMISO DE CONTRATACION.</t>
  </si>
  <si>
    <t>HASTA LA FECHA DEL 25% DE LA ACCIÓN FORMATIVA O EN EL CASO DE CERTIFICADOS DE PROFESIONALIDAD HASTA EL 5º DÍA LECTIVO.</t>
  </si>
  <si>
    <t>SL89</t>
  </si>
  <si>
    <t>030833</t>
  </si>
  <si>
    <t>SL8B</t>
  </si>
  <si>
    <t>030837</t>
  </si>
  <si>
    <t>CONCESION DIRECTA DE SUBVENCIONES A LAS ENTIDADES BENEFICIARIAS DE PROGRAMAS DE FORMACION Y EMPLEO, PARA SUFRAGAR EL SOBRECOSTE LABORAL DERIVADO DEL INCREMENTO DEL SALARIO MINIMO INTERPROFESIONAL PARA 2019</t>
  </si>
  <si>
    <t>EL PLAZO MÁXIMO PARA RESOLVER Y NOTIFICAR LA RESOLUCIÓN DEL PROCEDIMIENTO NO PODRÁ EXCEDER DE TRES MESES, CONTADOS DESDE LA FECHA DE PRESENTACIÓN DE LA SOLICITUD.</t>
  </si>
  <si>
    <t>SL8P</t>
  </si>
  <si>
    <t>030842</t>
  </si>
  <si>
    <t>SERVICIOS DE ASESORAMIENTO Y TUTORIZACION A LAS PERSONAS EMPRENDEDORAS, EN EL MARCO DEL PLAN REGIONAL DE AUTOEMPLEO, CREACION DE EMPRESAS Y EMPRENDIMIENTO.</t>
  </si>
  <si>
    <t>SL98</t>
  </si>
  <si>
    <t>030848</t>
  </si>
  <si>
    <t>SUBVENCION DIRECTA A LA FUNDACION ESCUELA DE ORGANIZACION INDUSTRIAL (EOI), PARA EL DESARROLLO DEL PROGRAMA DE FORMACION SOY DIGITAL CLM</t>
  </si>
  <si>
    <t>PLAG</t>
  </si>
  <si>
    <t>030852</t>
  </si>
  <si>
    <t>SUBVENCION DE CARACTER EXCEPCIONAL AL AYUNTAMIENTO DE YUNCOS POR LA CELEBRACION DEL XVI CONGRESO NACIONAL DEL TORO DE CUERDA.</t>
  </si>
  <si>
    <t>PLAR</t>
  </si>
  <si>
    <t>030853</t>
  </si>
  <si>
    <t>AYUDAS PARA EL DESARROLLO DE UN PROGRAMA DE INSERCION LABORAL A MUJERES VICTIMAS DE VIOLENCIA DE GENERO Y A MUJERES EN SITUACION DE ESPECIAL VULNERABILIDAD EN EL AMBITO RURAL.</t>
  </si>
  <si>
    <t>1 MES DESDE LA FECHA DE PRESENTACIÓN DE LA SOLICITUD.</t>
  </si>
  <si>
    <t>SLAW</t>
  </si>
  <si>
    <t>030866</t>
  </si>
  <si>
    <t>DECRETO DE CONCESION DIRECTA DE SUBVENCIONES AFECTADOS COVID-19 (AUTONOMOS Y MICROEMPRESAS)</t>
  </si>
  <si>
    <t>SLD6</t>
  </si>
  <si>
    <t>030875</t>
  </si>
  <si>
    <t>SUBVENCIONES PARA LA ADQUISICION DE ELEMENTOS DE PROTECCION SANITARIA EN LOS ESTABLECIMIENTOS DE COMERCIO, HOSTELERIA Y RESTAURACION DE CASTILLA-LA MANCHA.</t>
  </si>
  <si>
    <t>SLDI</t>
  </si>
  <si>
    <t>030876</t>
  </si>
  <si>
    <t>SUBVENCIONES DESTINADAS A FAVORECER EL EMPLEO EN LAS CAMPAÑAS AGRARIAS DE CASTILLA-LA MANCHA ANTE LA SITUACION GENERADA POR EL COVID-19.</t>
  </si>
  <si>
    <t>SLDK</t>
  </si>
  <si>
    <t>030884</t>
  </si>
  <si>
    <t>PROGRAMA DE REACTIVACION DE LA ACTIVIDAD ECONOMICA Y EL EMPLEO EN COOPERATIVAS Y SOCIEDADES LABORALES EN CASTILLA-LA MANCHA</t>
  </si>
  <si>
    <t>SLEJ</t>
  </si>
  <si>
    <t>030885</t>
  </si>
  <si>
    <t>SUBVENCIONES PARA LA CONCILIACION DE LA VIDA FAMILIAR Y LABORAL COMO MEDIDA DE FOMENTO DE LA CONCILIACION, COFINANCIALBLE CON EL FONDO SOCIAL EUROPEO.</t>
  </si>
  <si>
    <t>SLEP</t>
  </si>
  <si>
    <t>030886</t>
  </si>
  <si>
    <t>DECRETO CHEQUE COVID-19. CONCESION DIRECTA DE SUBVENCIONES POR CONTRATACION DE PERSONAS AFECTADAS POR PROCEDIMIENTOS DE EXTINCION DEL CONTRATO DE TRABAJO COMO CONSECUENCIA DE LA CRISIS PROVOCADA POR EL COVID-19.</t>
  </si>
  <si>
    <t>DOS MESES A PARTIR DE LA FECHA DE PRESENTACIÓN DE LA SOLICITUD.</t>
  </si>
  <si>
    <t>SLEU</t>
  </si>
  <si>
    <t>030896</t>
  </si>
  <si>
    <t>PROGRAMA DE FOMENTO DEL TRABAJO A DISTANCIA COMO MODALIDAD DE ORGANIZACION LABORAL CON MOTIVO DE LA CRISIS SANITARIA DEL COVID-19.</t>
  </si>
  <si>
    <t>SLFM</t>
  </si>
  <si>
    <t>030926</t>
  </si>
  <si>
    <t>AYUDAS PARA LA CONTRATACION DE PERSONAS DESEMPLEADAS Y EN SITUACION DE EXCLUSION SOCIAL, CON MOTIVO DE LA CRISIS DEL COVID-19</t>
  </si>
  <si>
    <t>1 MES DESDE LA FECHA DE FINALIZACIÓN DEL PLAZO DE PRESENTACIÓN DE SOLICITUDES.</t>
  </si>
  <si>
    <t>SLHG</t>
  </si>
  <si>
    <t>030927</t>
  </si>
  <si>
    <t>CONCESION DIRECTA DE SUBVENCIONES PARA EL ACCESO A UN PRIMER EMPLEO,DE JOVENES INSCRITOS EN EL SISTEMA NACIONAL DE GARANTIA JUVENIL, EN  SECTORES DE ACTIVIDAD RELACIONADOS ECONOMIAS VERDES, ECONOMIA CIRCULAR, SOSTENIBILIDAD, TRANSICION ECOLOGICA Y/O DESARROLLO DIGITAL</t>
  </si>
  <si>
    <t>SLHK</t>
  </si>
  <si>
    <t>030930</t>
  </si>
  <si>
    <t>AYUDAS PARA EL INICIO Y MANTENIMIENTO DE LA ACTIVIDAD DE LA ACTIVIDAD DE LAS PERSONAS AUTONOMAS Y DEL FAMILIAR COLABORADOR AFECTADAS POR EL COVID-19.</t>
  </si>
  <si>
    <t>1 MES CONTADOS DESDE EL DÍA DE LA PRESENTACIÓN DE LA SOLICITUD.</t>
  </si>
  <si>
    <t>SLHS</t>
  </si>
  <si>
    <t>030941</t>
  </si>
  <si>
    <t>DECRETO DE CONCESION DIRECTA DE SUBVENCIONES DIRIGIDAS AL MANTENIMIENTO DE LA ACTIVIDAD DE DE PERSONAS TRABAJADORAS AUTONOMAS Y PYMES DE LOS SECTORES MAS AFECTADOS POR LA CRISIS DERIVADA DEL COVID-19</t>
  </si>
  <si>
    <t>SLIE</t>
  </si>
  <si>
    <t>030946</t>
  </si>
  <si>
    <t>AYUDA ADICIONAL DEL 5% DEL SMI, PARA LAS PERSONAS TRABAJADORAS CON DISCAPACIDAD SEVERA DE LOS CENTROS ESPECIALES DE EMPLEO.</t>
  </si>
  <si>
    <t>SLIK</t>
  </si>
  <si>
    <t>030968</t>
  </si>
  <si>
    <t>PROGRAMA DE APOYO A LA INNOVACION:INNOVA-ADELANTE</t>
  </si>
  <si>
    <t>5 MESES</t>
  </si>
  <si>
    <t>SLJK</t>
  </si>
  <si>
    <t>030981</t>
  </si>
  <si>
    <t>PROGRAMA DE FOMENTO DEL TRABAJO A DISTANCIA COMO MODALIDAD DE ORGANIZACION LABORAL CON MOTIVO DE LA CRISIS SANITARIA DEL COVID-19. 2021</t>
  </si>
  <si>
    <t>SLKS</t>
  </si>
  <si>
    <t>030989</t>
  </si>
  <si>
    <t>AYUDAS DESTINADAS A PERSONAS AFECTADAS POR UN ERTE CON MOTIVO DEL COVID-19 Y QUE HAN PERDIDO SU PUESTO DE TRABAJO CON POSTERIORIDAD A SU FINALIZACION</t>
  </si>
  <si>
    <t>SLLT</t>
  </si>
  <si>
    <t>030992</t>
  </si>
  <si>
    <t>DECRETO DE CONCESION DIRECTA DE SUBVENCIONES PARA EL APOYO A LA SOLVENCIA EMPRESARIAL EN RESPUESTA A LA PANDEMIA DE LA COVID-19.</t>
  </si>
  <si>
    <t>SLM1</t>
  </si>
  <si>
    <t>031006</t>
  </si>
  <si>
    <t>JUSTIFICACION DE UNA SUBVENCION A FAVOR DE LA ASOCIACIACION RUTA DEL VINO DE LA MANCHA</t>
  </si>
  <si>
    <t>PLNU</t>
  </si>
  <si>
    <t>031007</t>
  </si>
  <si>
    <t>JUSTIFICACION DE UNA SUBVENCION A FAVOR DE LA ASOCIACIACION RUTA DEL VINO DE LA MANCHUELA.</t>
  </si>
  <si>
    <t>PLNT</t>
  </si>
  <si>
    <t>031008</t>
  </si>
  <si>
    <t>JUSTIFICACION DE UNA SUBVENCION A FAVOR DE LA ASOCIACIACION RUTA DEL VINO DE VALDEPEÑAS</t>
  </si>
  <si>
    <t>PLNV</t>
  </si>
  <si>
    <t>031046</t>
  </si>
  <si>
    <t>DECRETO DE AYUDA DIRECTA AL AYUNTAMIENTO DE CAMPO DE CRIPTANA PARA LA EJECUCION DEL PLAN DE MEJORA DE LOS RECURSOS TURISTICOS EN DICHO MUNICIPIO.</t>
  </si>
  <si>
    <t>15 DÍAS DESDE EL DÍA SIGUIENTE AL DE LA PUBLICACIÓN DEL PRESENTE DECRETO EN EL DIARIO OFICIAL DE CASTILLA-LA MANCHA.</t>
  </si>
  <si>
    <t>PLQE</t>
  </si>
  <si>
    <t>031052</t>
  </si>
  <si>
    <t>DECRETO DE AYUDA DIRECTA AL AYUNTAMIENTO DE MOLINA DE ARAGON PARA LA EJECUCION DEL PLAN DE RECONVERSION DE ZONAS TURISTICAS EN DICHO MUNICIPIO.</t>
  </si>
  <si>
    <t>PLQL</t>
  </si>
  <si>
    <t>031053</t>
  </si>
  <si>
    <t>DECRETO DE AYUDA DIRECTA AL AYUNTAMIENTO DE ELCHE DE LA SIERRA PARA LA EJECUCION DE DETERMINADAS ACTUACIONES EN EL PROYECTO MUSEOLOGICO Y DE CONTENIDOS DEL MUSEO DE LAS ALFOMBRAS DE SERRIN EN DICHO MUNICIPIO.</t>
  </si>
  <si>
    <t>PLQM</t>
  </si>
  <si>
    <t>031057</t>
  </si>
  <si>
    <t>SUBVENCIONES DEL PROGRAMA ADELANTE DIGITALIZACION, PARA LA TRANSFORMACION DIGITAL DE LAS PYMES DE CASTILLA-LA MANCHA.</t>
  </si>
  <si>
    <t>SLQR</t>
  </si>
  <si>
    <t>031062</t>
  </si>
  <si>
    <t>PROGRAMA DE PRIMERA EXPERIENCIA PROFESIONAL EN LAS ADMINISTRACIONES PUBLICAS, EN EL MARCO DEL PLAN DE RECUPERACION, TRANSFORMACION Y RESILIENCIA.  FINANCIADO POR LA UNION EUROPEA-NEXT GERENATION EU</t>
  </si>
  <si>
    <t>SLR1</t>
  </si>
  <si>
    <t>031063</t>
  </si>
  <si>
    <t>PROGRAMA INVESTIGO, EN EL MARCO DEL PLAN DE RECUPERACION, TRANSFORMACION Y RESILIENCIA  FINANCIADO POR LA UNION EUROPEA-NEXTGERENATION EU.</t>
  </si>
  <si>
    <t>SLR2</t>
  </si>
  <si>
    <t>031110</t>
  </si>
  <si>
    <t>CONCESION DIRECTA DE SUBVENCIONES A LOS AYUNTAMIENTOS DE RIOPAR, ALMADEN, QUINTANAR DEL REY, MOLINA DE ARAGON Y BELVIS DE LA JARA, PARA LA PUESTA EN MARCHA DE UN ESPACIO COWORKING</t>
  </si>
  <si>
    <t>PLTU</t>
  </si>
  <si>
    <t>031122</t>
  </si>
  <si>
    <t>PROGRAMA CLM MAS SEGURA. LINEA 2</t>
  </si>
  <si>
    <t>SLU9</t>
  </si>
  <si>
    <t>031123</t>
  </si>
  <si>
    <t>PROGRAMA CLM MAS SEGURA.  LINEA 3</t>
  </si>
  <si>
    <t>SLUA</t>
  </si>
  <si>
    <t>031124</t>
  </si>
  <si>
    <t>PROGRAMA CLM MAS SEGURA.  LINEA 4</t>
  </si>
  <si>
    <t>SLUB</t>
  </si>
  <si>
    <t>031140</t>
  </si>
  <si>
    <t>SUBVENCION A FAVOR DE LA ASOCIACIACION RUTA DEL VINO DE ALMANSA</t>
  </si>
  <si>
    <t>PLV6</t>
  </si>
  <si>
    <t>031160</t>
  </si>
  <si>
    <t>SUBVENCIONES DEL INCREMENTO DEL SMI DE LA LINEA 2 DE COSTES SALARIALES DE PERSONAS CON DISCAPACIDAD EN CENTROS ESPECIALES DE EMPLEO</t>
  </si>
  <si>
    <t>SLW7</t>
  </si>
  <si>
    <t>031161</t>
  </si>
  <si>
    <t>SUBVENCIONES DEL PROGRAMA DE INCLUSION LABORAL DE PERSONAS CON DISCAPACIDAD EN EL MERCADO PROTEGIDO DE CASTILLA-LA MANCHA-LINEA 3-ADAPTACION DE PUESTOS DE TRABAJO</t>
  </si>
  <si>
    <t>SLW8</t>
  </si>
  <si>
    <t>031166</t>
  </si>
  <si>
    <t>LINEA 2. SUBVENCION PARA LA INCORPORACION, CON CARACTER INDEFINIDO, DE PERSONAS SOCIAS TRABAJADORAS O SOCIAS DE TRABAJO A COOPERATIVAS Y SOCIEDADES LABORALES</t>
  </si>
  <si>
    <t>EL PLAZO MÁXIMO PARA RESOLVER Y NOTIFICAR LA RESOLUCIÓN SERÁ DE UN MES DE PRESENTACION. EL VENCIMIENTO DEL PLAZO MÁXIMO SIN HABERSE NOTIFICADO RESOLUCIÓN EXPRESA, SE ENTIENDE DESESTIMADA.</t>
  </si>
  <si>
    <t>SLWH</t>
  </si>
  <si>
    <t>031167</t>
  </si>
  <si>
    <t>LINEA 3. SUBVENCION PARA LA REALIZACION DE ACTIVIDADES DE FORMACION, DIFUSION Y FOMENTO DE LA ECONOMIA SOCIAL VINCULADAS DIRECTAMENTE AL FOMENTO DEL EMPLEO.</t>
  </si>
  <si>
    <t>SLWI</t>
  </si>
  <si>
    <t>031168</t>
  </si>
  <si>
    <t>LINEA 4. SUBVENCION PARA LA PRESTACION DE ASISTENCIA TECNICA.</t>
  </si>
  <si>
    <t>EL PLAZO MÁXIMO PARA RESOLVER Y NOTIFICAR LA RESOLUCIÓN SERÁ DE UN MES DESDE PRESENTACION. EL VENCIMIENTO DEL PLAZO MÁXIMO SIN HABERSE NOTIFICADO RESOLUCIÓN EXPRESA, SE ENTIENDE DESESTIMADA.</t>
  </si>
  <si>
    <t>SLWJ</t>
  </si>
  <si>
    <t>031173</t>
  </si>
  <si>
    <t>SUBVENCION A FAVOR DE LA ASOCIACIACION RUTA DEL VINO DE MENTRIDA-TOLEDO</t>
  </si>
  <si>
    <t>PLWT</t>
  </si>
  <si>
    <t>031185</t>
  </si>
  <si>
    <t>AYUDAS PARA LA ADAPTACION DE LOS PUESTOS DE TRABAJO DE PERSONAS TRABAJADORAS CON DISCAPACIDAD</t>
  </si>
  <si>
    <t>DOS MESES A PARTIR DE LA FECHA DE PRESENTACIÓN DE LA SOLICITUD DE AYUDA.</t>
  </si>
  <si>
    <t>SLXG</t>
  </si>
  <si>
    <t>031186</t>
  </si>
  <si>
    <t>AYUDAS PARA LA CONTRATACION INICIAL INDEFINIDA DE PERSONAS TRABAJADORAS CON DISCAPACIDAD, QUE PRESENTAN ESPECIALES DIFICULTADES PARA EL ACCESO AL MERCADO ORDINARIO DE TRABAJO, PROCEDENTES DE ENCLAVES LABORALES</t>
  </si>
  <si>
    <t>SLXH</t>
  </si>
  <si>
    <t>031187</t>
  </si>
  <si>
    <t>AYUDAS PARA COSTES SALARIALES Y DE SEG. SOCIAL DEL PREPARADOR LABORAL QUE REALICE LAS ACCIONES DE ORIENTACION A PERSONAS TRABAJADORAS CON DISCAPACIDAD, QUE PRESENTEN ESPECIALES DIFICULTADES PARA EL ACCESO AL MERCADO ORDINARIO DE TRABAJO.</t>
  </si>
  <si>
    <t>SLXI</t>
  </si>
  <si>
    <t>031196</t>
  </si>
  <si>
    <t>LINEA 2: AYUDAS PARA INCENTIVAR LA CONTRATACION FIJA-DISCONTINUA.</t>
  </si>
  <si>
    <t>SLY1</t>
  </si>
  <si>
    <t>031197</t>
  </si>
  <si>
    <t>LINEA 1: AYUDAS PARA INCENTIVAR LA CONTRATACION INDEFINIDA.</t>
  </si>
  <si>
    <t>SLY2</t>
  </si>
  <si>
    <t>031198</t>
  </si>
  <si>
    <t>LINEA 3: AYUDA PROGRAMA "CHEQUE TRANSICION".</t>
  </si>
  <si>
    <t>SLY3</t>
  </si>
  <si>
    <t>031199</t>
  </si>
  <si>
    <t>LINEA V:AYUDAS PARA LA CONVERSION EN CONTRATOS INDEFINIDOS DE CONTRATOS TEMPORALES CELEBRADOS ANTES DEL 31 DE DICIEMBRE DE 2021.</t>
  </si>
  <si>
    <t>SLY4</t>
  </si>
  <si>
    <t>031200</t>
  </si>
  <si>
    <t>LINEA IV: AYUDAS PARA LA CONVERSION DE CONTRATOS INDEFINIDOS A TIEMPO PARCIAL EN CONTRATOS INDEFINIDOS A JORNADA COMPLETA.</t>
  </si>
  <si>
    <t>SLY5</t>
  </si>
  <si>
    <t>031201</t>
  </si>
  <si>
    <t>BECAS PARA LAS PARTICIPANTES EN LOS PROGRAMAS PERSONALIZADOS DE INSERCION SOCIOLABORAL CON COMPROMISO DE CONTRATACION PARA MUJERES VICTIMAS DE VIOLENCIA DE GENERO O DE TRATA Y EXPLOTACION SEXUAL</t>
  </si>
  <si>
    <t>SLYM</t>
  </si>
  <si>
    <t>031206</t>
  </si>
  <si>
    <t>SUBVENCIONES PARA LA REALIZACION DE ACCIONES DE  FORMACION MODULAR PARA LA CUALIFICACION Y RECUALIFICACION DE LA POBLACION ACTIVA  (PLAN DE TRANSFORMACION, RECUPERACION Y RESILIENCIA)</t>
  </si>
  <si>
    <t>TRES  MESES</t>
  </si>
  <si>
    <t>SLZ3</t>
  </si>
  <si>
    <t>031207</t>
  </si>
  <si>
    <t>INSCRIPCION PARA LA REALIZACION DE ACCIONES DE FORMACION MODULAR PARA LA CUALIFICACION Y RECUALIFICACION (PLAN DE  RECUPERACION,TRANSFORMACION Y RESILIENCIA- NEXT GENERATION-EU)</t>
  </si>
  <si>
    <t>SLZ4</t>
  </si>
  <si>
    <t>035193</t>
  </si>
  <si>
    <t>AYUDAS PARA LA ELABORACION Y DESARROLLO DE ACTIVIDADES DE ACCION Y/O FORMACION SINDICAL CON CARGO AL FONDO DE AYUDA SINDICAL. SOLICITUD</t>
  </si>
  <si>
    <t>SIJE</t>
  </si>
  <si>
    <t>035194</t>
  </si>
  <si>
    <t>AYUDAS PARA LA ELABORACION Y DESARROLLO DE ACTIVIDADES DE ACCION Y/O FORMACION SINDICAL CON CARGO AL FONDO DE AYUDA SINDICAL. JUSTIFICACION</t>
  </si>
  <si>
    <t>PKMD</t>
  </si>
  <si>
    <t>035202</t>
  </si>
  <si>
    <t>JUSTIFICACION MENSUAL Y SOLICITUD DE ABONO DE AYUDA PARA EL MANTENIMIENTO DE PUESTOS DE TRABAJO DE PERSONAS CON DISCAPACIDAD: SUBVENCION DE COSTES SALARIALES</t>
  </si>
  <si>
    <t>PKMM</t>
  </si>
  <si>
    <t>035203</t>
  </si>
  <si>
    <t>SOLICITUD DE AYUDA PARA EL MANTENIMIENTO DE PUESTOS DE TRABAJO DE PERSONAS CON DISCAPACIDAD. SUBVENCION DE COSTES SALARIALES (SEGUNDO SEMESTRE)</t>
  </si>
  <si>
    <t>SKML</t>
  </si>
  <si>
    <t>035204</t>
  </si>
  <si>
    <t>JUSTIFICACION DE AYUDAS A PROYECTOS GENERADORES DE EMPLEO MODALIDAD INVERSION EN ACTIVOS FIJOS</t>
  </si>
  <si>
    <t>PKMK</t>
  </si>
  <si>
    <t>035205</t>
  </si>
  <si>
    <t>SOLICITUD DE AYUDA PARA EL MANTENIMIENTO DE PUESTOS DE TRABAJO DE PERSONAS CON DISCAPACIDAD. SUBVENCION DE COSTES SALARIALES</t>
  </si>
  <si>
    <t>SJI6</t>
  </si>
  <si>
    <t>035206</t>
  </si>
  <si>
    <t>SUBVENCIONES DEL PROGRAMA DE INCLUSION LABORAL DE PERSONAS CON DISCAPACIDAD EN EL MERCADO PROTEGIDO DE CASTILLA-LA MANCHA-LINEA 1-INVERSION FIJA GENERADORA DE EMPLEO</t>
  </si>
  <si>
    <t>SIY8</t>
  </si>
  <si>
    <t>035208</t>
  </si>
  <si>
    <t>CONVOCATORIA DE TALLERES DE EMPLEO</t>
  </si>
  <si>
    <t>SJL0</t>
  </si>
  <si>
    <t>035209</t>
  </si>
  <si>
    <t>FORMACION DE OFERTA QUE SE IMPARTE EN LOS CENTROS DEPENDIENTES DE LA ADMINISTRACION AUTONOMICA (MODADALIDAD V)</t>
  </si>
  <si>
    <t>SK0U</t>
  </si>
  <si>
    <t>035212</t>
  </si>
  <si>
    <t>SUBVENCIONES PARA LA REALIZACION DE ACCIONES DE FORMACION PROFESIONAL PARA EL EMPLEO, DIRIGIDAS A PERSONAS TRABAJADORAS DESEMPLEADAS (MODALIDAD II).</t>
  </si>
  <si>
    <t>SJ2N</t>
  </si>
  <si>
    <t>035213</t>
  </si>
  <si>
    <t>SUBVENCIONES PARA LA REALIZACION DE ACCIONES DE FORMACION PROFESIONAL PARA EL EMPLEO, DIRIGIDAS A PERSONAS TRABAJADORAS OCUPADAS (MODALIDAD I).</t>
  </si>
  <si>
    <t>SJ2G</t>
  </si>
  <si>
    <t>035289</t>
  </si>
  <si>
    <t>SUBVENCIONES TRIMESTRALES DE ABONO DE CUOTAS A LA SEGURIDAD SOCIAL DE LOS PERCEPTORES DE LA PRESTACION POR DESEMPLEO EN SU MODALIDAD DE PAGO UNICO.</t>
  </si>
  <si>
    <t>1 MES.</t>
  </si>
  <si>
    <t>PK9I</t>
  </si>
  <si>
    <t>035397</t>
  </si>
  <si>
    <t>SOLICITUD. PROYECTOS DE PREVENCION Y PROTECCION FRENTE AL RIESGO BIOLOGICO DE CONTAGIO POR COVID-19 (MODALIDAD 3)</t>
  </si>
  <si>
    <t>SLEW</t>
  </si>
  <si>
    <t>035398</t>
  </si>
  <si>
    <t>MEMORIA JUSTIFICATIVA DE PROYECTOS DE INVERSION EN INSTALACIONES Y EQUIPOS QUE REDUNDEN EN LA MEJORA DE LAS CONDICIONES DE SEGURIDAD Y SALUD EN EMPRESAS Y CENTROS DE TRABAJO (MODALIDAD 2).</t>
  </si>
  <si>
    <t>PK7W</t>
  </si>
  <si>
    <t>035399</t>
  </si>
  <si>
    <t>SOLICITUD. PROYECTOS DE INVERSION EN INSTALACIONES Y EQUIPOS QUE REDUNDEN EN LA MEJORA DE LAS CONDICIONES DE SEGURIDAD Y SALUD EN EMPRESAS Y CENTROS DE TRABAJO (MODALIDAD 2)</t>
  </si>
  <si>
    <t>SK07</t>
  </si>
  <si>
    <t>035400</t>
  </si>
  <si>
    <t>MEMORIA JUSTIFICATIVA DE LOS PROYECTOS DE PREVENCION Y PROTECCION FRENTE AL RIESGO BIOLOGICO DE CONTAGIO POR COVID-19 (MODALIDAD 3)</t>
  </si>
  <si>
    <t>PLEX</t>
  </si>
  <si>
    <t>035507</t>
  </si>
  <si>
    <t>AYUDAS PARA LA CONTRATACION INICIAL INDEFINIDA Y PARA LA TRANSFORMACION EN CONTRATOS POR TIEMPO INDEFINIDO DE CONTRATOS TEMPORALES DE PERSONAS TRABAJADORAS CON DISCAPACIDAD.</t>
  </si>
  <si>
    <t>SK2D</t>
  </si>
  <si>
    <t>035600</t>
  </si>
  <si>
    <t>SUBVENCIONES PARA FOMENTAR EL DESARROLLO DE ACTIVIDADES DE ASESORAMIENTO, DIVULGACION Y DIFUSION EN MATERIA DE PREVENCION DE RIESGOS LABORALES.</t>
  </si>
  <si>
    <t>SKB7</t>
  </si>
  <si>
    <t>035601</t>
  </si>
  <si>
    <t>JUSTIFICACION DE LOS PROGRAMAS. SUBVENCIONES PARA FOMENTAR EL DESARROLLO DE ACTIVIDADES DE ASESORAMIENTO, DIVULGACION Y DIFUSION EN MATERIA DE PREVENCION DE RIESGOS LABORALES.</t>
  </si>
  <si>
    <t>PKL1</t>
  </si>
  <si>
    <t>035655</t>
  </si>
  <si>
    <t>JUSTIFICACION FOMENTO DEL EMPRENDIMIENTO INNOVADOR</t>
  </si>
  <si>
    <t>PKHC</t>
  </si>
  <si>
    <t>035656</t>
  </si>
  <si>
    <t>FOMENTO DEL EMPRENDIMIENTO INNOVADOR</t>
  </si>
  <si>
    <t>SKHB</t>
  </si>
  <si>
    <t>035659</t>
  </si>
  <si>
    <t>ABONO DE LAS SUBVENCIONES PARA EL FOMENTO DE LA INVERSION Y LA MEJORA DE LA PRODUCTIVIDAD EMPRESARIAL EN CASTILLA-LA MANCHA</t>
  </si>
  <si>
    <t>PKIA</t>
  </si>
  <si>
    <t>035660</t>
  </si>
  <si>
    <t>SUBVENCIONES PARA EL FOMENTO DE LA INVERSION Y LA MEJORA DE LA PRODUCTIVIDAD EMPRESARIAL EN CASTILLA-LA MANCHA</t>
  </si>
  <si>
    <t>SKI9</t>
  </si>
  <si>
    <t>035665</t>
  </si>
  <si>
    <t>JUSTIFICACION DE LAS AYUDAS DESTINADAS A LA RECUPERACION Y FORTALECIMIENTO DEL COMERCIO MINORISTA DE CASTILLA-LA MANCHA ANTE LA CRISIS SANITARIA OCASIONADA POR EL COVID-19.</t>
  </si>
  <si>
    <t>PKIM</t>
  </si>
  <si>
    <t>035675</t>
  </si>
  <si>
    <t>SUBVENCION POR LA FORMALIZACION DE CONTRATOS DE FORMACION EN ALTERNANCIA.</t>
  </si>
  <si>
    <t>SKJ6</t>
  </si>
  <si>
    <t>035676</t>
  </si>
  <si>
    <t>SUBVENCION POR LA FORMALIZACION DE CONTRATOS DE FORMACION PARA LA OBTENCION DE LA PRACTICA PROFESIONAL.</t>
  </si>
  <si>
    <t>SKJ7</t>
  </si>
  <si>
    <t>035677</t>
  </si>
  <si>
    <t>SUBVENCION POR LA FORMALIZACION DE CONTRATOS DE RELEVO.</t>
  </si>
  <si>
    <t>SKOV</t>
  </si>
  <si>
    <t>035678</t>
  </si>
  <si>
    <t>SUBV TRANSFORMACION EN INDEFINIDOS DE CONTRATOS FORMATIVOS Y DE RELEVO Y CONTRATACION INDEFINIDA DE PERSONAS QUE HAYAN FINALIZADO UN CONTRATO FORMATIVO O DE RELEVO EN LOS 6 MESES ANTERIORES</t>
  </si>
  <si>
    <t>SKJ8</t>
  </si>
  <si>
    <t>035679</t>
  </si>
  <si>
    <t>AYUDAS PARA SUFRAGAR EL SOBRECOSTE DE LOS CONTRATOS DEL PLAN DE EMPLEO 2018, CON MOTIVO DEL INCREMENTO DEL SALARIO MINIMO INTERPROFESIONAL PARA 2019.</t>
  </si>
  <si>
    <t>SL6R</t>
  </si>
  <si>
    <t>035680</t>
  </si>
  <si>
    <t>AYUDAS A ENTIDADES LOCALES PARA  LA CONTRATACION DE PERSONAS DESEMPLEADAS Y EN SITUACION DE EXCLUSION SOCIAL, COFINANCIADA POR EL FONDO SOCIAL EUROPEO.</t>
  </si>
  <si>
    <t>SKJC</t>
  </si>
  <si>
    <t>035697</t>
  </si>
  <si>
    <t>PREMIOS REGIONALES DE ARTESANIA DE CASTILLA-LA MANCHA PARA 2022.</t>
  </si>
  <si>
    <t>6 MESES, A CONTAR DESDE EL DÍA SIGUIENTE AL DE LA PUBLICACIÓN DE LA CORRESPONDIENTE CONVOCATORIA EN EL DIARIO OFICIAL DE CASTILLA- LA MANCHA.</t>
  </si>
  <si>
    <t>SKLG</t>
  </si>
  <si>
    <t>035698</t>
  </si>
  <si>
    <t>SUBVENCIONES PARA PROMOVER INVERSIONES DESTINADAS A MEJORAR LAS CONDICIONES DE SEGURIDAD LABORAL EN EL SECTOR DE LA CONSTRUCCION.</t>
  </si>
  <si>
    <t>SKLQ</t>
  </si>
  <si>
    <t>035699</t>
  </si>
  <si>
    <t>MEMORIA JUSTIFICATIVA DE LAS INVERSIONES DESTINADAS A MEJORAR LAS CONDICIONES DE SEGURIDAD LABORAL EN EL SECTOR DE LA CONSTRUCCION.</t>
  </si>
  <si>
    <t>PKLR</t>
  </si>
  <si>
    <t>035702</t>
  </si>
  <si>
    <t>JUSTIFICACION DE LAS AYUDAS DESTINADAS A LA PROMOCION DE LA ACTIVIDAD PRODUCTIVA Y COMERCIAL Y A LA DIGITALIZACION DEL SECTOR ARTESANO ANTE LA CRISIS DE LA COVID-19.</t>
  </si>
  <si>
    <t>PKLT</t>
  </si>
  <si>
    <t>035703</t>
  </si>
  <si>
    <t>AYUDAS DESTINADAS A LA DIGITALIZACION Y A LA PROMOCION DE LA ACTIVIDAD COMERCIAL Y PRODUCTIVA DEL SECTOR ARTESANO DE CASTILLA-LA MANCHA, PARA EL EJERCICIO 2022.</t>
  </si>
  <si>
    <t>SKLS</t>
  </si>
  <si>
    <t>035708</t>
  </si>
  <si>
    <t>JUSTIFICACION PROGRAMA DE APOYO A LA INNOVACION: INNOVA-ADELANTE.</t>
  </si>
  <si>
    <t>PKMJ</t>
  </si>
  <si>
    <t>035728</t>
  </si>
  <si>
    <t>SOLICITUD DE ABONO DE LA SUBVENCION DEL PROGRAMA ADELANTE DIGITALIZACION, PARA LA TRANSFORMACION DIGITAL DE LAS PYMES DE CASTILLA-LA MANCHA.</t>
  </si>
  <si>
    <t>SEIS MESES DESDE LA FECHA DE FINALIZACIÓN DEL PLAZO PARA PRESENTAR SOLICITUDES.</t>
  </si>
  <si>
    <t>PKOD</t>
  </si>
  <si>
    <t>035729</t>
  </si>
  <si>
    <t>SOLICITUD DE SUBVENCION DEL PROGRAMA ADELANTE DIGITALIZACION, PARA LA TRANSFORMACION DIGITAL DE LAS PYMES DE CASTILLA-LA MANCHA.</t>
  </si>
  <si>
    <t>SKOC</t>
  </si>
  <si>
    <t>035730</t>
  </si>
  <si>
    <t>PLPE</t>
  </si>
  <si>
    <t>035732</t>
  </si>
  <si>
    <t>CONVOCATORIA 2018. SOLICITUD DE ABONO DE LA SUBVENCION PARA EL CRECIMIENTO EN MERCADOS NACIONALES Y PARA LA MEJORA DE LA POSICION COMPETITIVA DE LAS PYMES.</t>
  </si>
  <si>
    <t>EL PLAZO MÁXIMO PARA RESOLVER Y NOTIFICAR LA RESOLUCIÓN NO PODRÁ EXCEDER DE CUATRO MESES, A CONTAR DESDE LA FECHA DE FINALIZACIÓN DEL PLAZO PARA PRESENTAR SOLICITUDES.</t>
  </si>
  <si>
    <t>PKZK</t>
  </si>
  <si>
    <t>035733</t>
  </si>
  <si>
    <t>SOLICITUD DE SUBVENCION PARA EL CRECIMIENTO EN MERCADOS NACIONALES Y PARA LA MEJORA DE LA POSICION COMPETITIVA DE LAS PYMES (MPC 2023) (DISP 10.7 RESOL. 28/07/2022, CONV 2022)</t>
  </si>
  <si>
    <t>SKOE</t>
  </si>
  <si>
    <t>035743</t>
  </si>
  <si>
    <t>SUBVENCIONES DEL PROGRAMA DE INCLUSION LABORAL DE PERSONAS CON DISCAPACIDAD EN EL MERCADO PROTEGIDO DE CASTILLA-LA MANCHA-LINEA 4-AJUSTE PERSONAL Y SOCIAL A TRAVES DE UNIDADES DE APOYO.</t>
  </si>
  <si>
    <t>SKOO</t>
  </si>
  <si>
    <t>035744</t>
  </si>
  <si>
    <t>JUSTIFICACION AYUDAS PARA PROSPECCION Y DETECCION NECESIDADES FORMATIVAS; DISEÑO, PROGRAMACION Y DIFUSION OFERTA FORMATIVA DE TRABAJADORES OCUPADOS; Y APOYO PYMES FORMACION DE SUS TRABAJADORES.</t>
  </si>
  <si>
    <t>PKP6</t>
  </si>
  <si>
    <t>035745</t>
  </si>
  <si>
    <t>SOLICITUD AYUDAS PARA LA PROSPECCION Y DETECCION DE NECESIDADES FORMATIVAS; DISEÑO, PROGRAMACION Y DIFUSION OFERTA FORMATIVA DE TRABAJADORES OCUPADOS; Y APOYO PYMES FORMACION DE SUS TRABAJADORES.</t>
  </si>
  <si>
    <t>SKP5</t>
  </si>
  <si>
    <t>035759</t>
  </si>
  <si>
    <t>SUBVENCIONES PARA PROMOCION Y DIFUSION  DE COOPERATIVAS Y SOCIEDADES LABORALES EN CASTILLA-LA MANCHA.</t>
  </si>
  <si>
    <t>SKQ4</t>
  </si>
  <si>
    <t>035760</t>
  </si>
  <si>
    <t>AYUDAS PUBLICAS PARA PROYECTOS DE FORMACION Y EMPLEO EN EL SENO DE LA EMPRESA (CREA)</t>
  </si>
  <si>
    <t>SKQZ</t>
  </si>
  <si>
    <t>035761</t>
  </si>
  <si>
    <t>JUSTIFICACION DE LAS AYUDAS PUBLICAS PARA PROYECTOS DE FORMACION Y EMPLEO EN EL SENO DE LA EMPRESA (CREA)</t>
  </si>
  <si>
    <t>PKR0</t>
  </si>
  <si>
    <t>035762</t>
  </si>
  <si>
    <t>LIQUIDACION DE LA SUBVENCION PARA EL INICIO DE LA ACTIVIDAD EMPRENDEDORA, DENTRO DEL PROGRAMA RETORNO DEL TALENTO.</t>
  </si>
  <si>
    <t>PKR9</t>
  </si>
  <si>
    <t>035763</t>
  </si>
  <si>
    <t>PROGRAMA RETORNO DEL TALENTO: LINEA 3- EMISION DEL PASAPORTE DE VUELTA.</t>
  </si>
  <si>
    <t>SKRA</t>
  </si>
  <si>
    <t>035764</t>
  </si>
  <si>
    <t>PROGRAMA RETORNO DEL TALENTO: LINEA 3- SUBVENCIONES DE LA AYUDA ASOCIADA AL PASAPORTE DE VUELTA.</t>
  </si>
  <si>
    <t>SKR7</t>
  </si>
  <si>
    <t>035765</t>
  </si>
  <si>
    <t>PROGRAMA RETORNO DEL TALENTO: LINEA 2- SUBVENCIONES PARA EL INICIO DE LA ACTIVIDAD EMPRENDEDORA.</t>
  </si>
  <si>
    <t>SKR6</t>
  </si>
  <si>
    <t>035766</t>
  </si>
  <si>
    <t>PROGRAMA RETORNO DEL TALENTO: LINEA 1- SUBVENCIONES PARA LA CONTRATACION INDEFINIDA.</t>
  </si>
  <si>
    <t>SKR8</t>
  </si>
  <si>
    <t>035773</t>
  </si>
  <si>
    <t>JUSTIFICACION  DE SUBVENCIONES PARA LA REALIZACION DE PROYECTOS DE FORMACION PROFESIONAL DUAL EN EMPRESAS, PARA JOVENES INSCRITOS EN EL SISTEMA NACIONAL DE GARANTIA JUVENIL (DUAL-EMPLEO).</t>
  </si>
  <si>
    <t>PKST</t>
  </si>
  <si>
    <t>035774</t>
  </si>
  <si>
    <t>SUBVENCIONES PARA LA REALIZACION DE PROYECTOS DE FORMACION PROFESIONAL Y EMPLEO EN EL SENO DE LA  EMPRESA</t>
  </si>
  <si>
    <t>SKSS</t>
  </si>
  <si>
    <t>035788</t>
  </si>
  <si>
    <t>JUSTIFICACION  DE SUBVENCIONES PARA LA REALIZACION DE PROYECTOS DE FORMACION Y PRACTICAS PARA JOVENES INSCRITOS EN EL SISTEMA NACIONAL DE GARANIA JUVENIL. (JUSTIFICACION FORMACION Y ORIENTACION)</t>
  </si>
  <si>
    <t>PKTG</t>
  </si>
  <si>
    <t>035789</t>
  </si>
  <si>
    <t>JUSTIFICACION  DE SUBVENCIONES PARA LA REALIZACION DE PROYECTOS DE FORMACION Y PRACTICAS PARA JOVENES INSCRITOS EN EL SISTEMA NACIONAL DE GARANIA JUVENIL (JUSTIFICACION PRACTICAS NO LABORALES).</t>
  </si>
  <si>
    <t>PKTH</t>
  </si>
  <si>
    <t>035790</t>
  </si>
  <si>
    <t>SUBVENCIONES PARA LA REALIZACION DE PROYECTOS DE FORMACION Y PRACTICAS NO LABORALES PARA JOVENES INSCRITOS EN EL SISTEMA NACIONAL DE GARANTIA JUVENIL (FORMACION PLUS) (SOLICITUD FORMACION)</t>
  </si>
  <si>
    <t>SKTC</t>
  </si>
  <si>
    <t>035791</t>
  </si>
  <si>
    <t>SUBVENCIONES PARA LA REALIZACION DE PROYECTOS DE FORMACION Y PRACTICAS NO LABORALES PARA JOVENES INSCRITOS EN EL SISTEMA NACIONAL DE GARANTIA JUVENIL.  (SOLICITUD PRACTICAS NO LABORALES)</t>
  </si>
  <si>
    <t>SKTD</t>
  </si>
  <si>
    <t>035792</t>
  </si>
  <si>
    <t>SOLICITUD BECA SUBVENCIONES PARA LA REALIZACION DE PROYECTOS DE FORMACION PROFESIONAL Y EMPLEO EN EL SENO DE LA  EMPRESA.</t>
  </si>
  <si>
    <t>SKTE</t>
  </si>
  <si>
    <t>035793</t>
  </si>
  <si>
    <t>JUSTIFICACION DE SUBVENCIONES -ADELANTE INVERSION- PARA EL FOMENTO DE LA INVERSION Y LA MEJORA DE LA PRODUCTIVIDAD EMPRESARIAL EN CASTILLA-LA MANCHA (FIE-2017)</t>
  </si>
  <si>
    <t>PKTK</t>
  </si>
  <si>
    <t>035794</t>
  </si>
  <si>
    <t>JUSTIFICACION DE SUBVENCIONES -ADELANTE INVERSION- PARA EL FOMENTO DE LA INVERSION Y LA MEJORA DE LA PRODUCTIVIDAD EMPRESARIAL EN CASTILLA-LA MANCHA (FIE 2019)</t>
  </si>
  <si>
    <t>PL8N</t>
  </si>
  <si>
    <t>035795</t>
  </si>
  <si>
    <t>SUBVENCIONES -ADELANTE INVERSION- PARA EL FOMENTO DE LA INVERSION Y LA MEJORA DE LA PRODUCTIVIDAD EMPRESARIAL EN CASTILLA-LA MANCHA (FIE).</t>
  </si>
  <si>
    <t>SLKE</t>
  </si>
  <si>
    <t>035796</t>
  </si>
  <si>
    <t>SUBVENCIONES -ADELANTE INVERSION- PARA EL FOMENTO DE LA INVERSION Y LA MEJORA DE LA PRODUCTIVIDAD EMPRESARIAL EN CASTILLA-LA MANCHA (FIE-2017)</t>
  </si>
  <si>
    <t>SKTJ</t>
  </si>
  <si>
    <t>035797</t>
  </si>
  <si>
    <t>SOLICITUD DE SUBVENCIONES -ADELANTE INVERSION- PARA EL FOMENTO DE LA INVERSION Y LA MEJORA DE LA PRODUCTIVIDAD EMPRESARIAL EN CASTILLA-LA MANCHA (FIE 2020)</t>
  </si>
  <si>
    <t>SKWC</t>
  </si>
  <si>
    <t>035798</t>
  </si>
  <si>
    <t>JUSTIFICACION DE SUBVENCIONES -ADELANTE INVERSION- PARA EL FOMENTO DE LA INVERSION Y LA MEJORA DE LA PRODUCTIVIDAD EMPRESARIAL EN CASTILLA-LA MANCHA (FIE 2020)</t>
  </si>
  <si>
    <t>PLIX</t>
  </si>
  <si>
    <t>035817</t>
  </si>
  <si>
    <t>SOLICITUD DE SUBVENCIONES PARA LA REALIZACION DE ACTUACIONES PARA LA MEJORA DE LA EMPLEABILIDAD Y LA INSERCION.</t>
  </si>
  <si>
    <t>SKUS</t>
  </si>
  <si>
    <t>035818</t>
  </si>
  <si>
    <t>JUSTIFICACION DE SUBVENCIONES PARA LA REALIZACION DE ACTUACIONES PARA LA MEJORA DE LA EMPLEABILIDAD Y LA INSERCION.</t>
  </si>
  <si>
    <t>PKUT</t>
  </si>
  <si>
    <t>035824</t>
  </si>
  <si>
    <t>AYUDAS PARA EL ESTABLECIMIENTO DE PERSONAS DESEMPLEADAS COMO TRABAJADORAS AUTONOMAS</t>
  </si>
  <si>
    <t>SKV6</t>
  </si>
  <si>
    <t>035825</t>
  </si>
  <si>
    <t>AYUDAS DEL FAMILIAR COLABORADOR QUE CAUSA ALTA EN EL RETA O EN LA MUTUALIDAD DEL COLEGIO PROFESIONAL CORRESPONDIENTE</t>
  </si>
  <si>
    <t>SKVB</t>
  </si>
  <si>
    <t>035826</t>
  </si>
  <si>
    <t>AYUDAS PARA LA CONSOLIDACION DE PROYECTOS</t>
  </si>
  <si>
    <t>SKV7</t>
  </si>
  <si>
    <t>035827</t>
  </si>
  <si>
    <t>AYUDAS PARA FAVORECER LA CONCILIACION DE LA VIDA LABORAL, FAMILIAR Y PERSONAL DEL TITULAR DE LA ACTIVIDAD EMPRENDEDORA</t>
  </si>
  <si>
    <t>SKV8</t>
  </si>
  <si>
    <t>035828</t>
  </si>
  <si>
    <t>AYUDAS DE FOMENTO AL RELEVO GENERACIONAL: SUBVENCION POR TRANSMISION DE LA ACTIVIDAD EMPRESARIAL</t>
  </si>
  <si>
    <t>SKV9</t>
  </si>
  <si>
    <t>035829</t>
  </si>
  <si>
    <t>AYUDAS DE FOMENTO AL RELEVO GENERACIONAL: SUBVENCION POR CONTRATACION DE DURACION DETERMINADA DEL RELEVISTA POR EL TITULAR DE LA ACTIVIDAD EMPRESARIAL.</t>
  </si>
  <si>
    <t>SKVA</t>
  </si>
  <si>
    <t>035830</t>
  </si>
  <si>
    <t>AYUDAS POR LA PRIMERA CONTRATACION INDEFINIDA DE PERSONAS POR CUENTA AJENA</t>
  </si>
  <si>
    <t>SKVC</t>
  </si>
  <si>
    <t>035842</t>
  </si>
  <si>
    <t>JUSTIFICACION DE LA ACTUACION PROGRAMA CONOCE CASTILLA-LA MANCHA</t>
  </si>
  <si>
    <t>CUATRO MESES</t>
  </si>
  <si>
    <t>PKW9</t>
  </si>
  <si>
    <t>035843</t>
  </si>
  <si>
    <t>AYUDAS DEL PROGRAMA CONOCE CASTILLA-LA MANCHA</t>
  </si>
  <si>
    <t>SKW8</t>
  </si>
  <si>
    <t>035850</t>
  </si>
  <si>
    <t>JUSTIFICACION DE LAS AYUDAS DESTINADAS A PROMOVER LA CELEBRACION DE FERIAS COMERCIALES EN CASTILLA-LA MANCHA.</t>
  </si>
  <si>
    <t>PKWX</t>
  </si>
  <si>
    <t>035875</t>
  </si>
  <si>
    <t>JUSTIFICACION DE LAS SUBVENCIONES DE CARACTER INCENTIVADOR PARA PROYECTOS DINAMIZADORES DEL EMPLEO LOCAL</t>
  </si>
  <si>
    <t>PKZ9</t>
  </si>
  <si>
    <t>035876</t>
  </si>
  <si>
    <t>SUBVENCIONES DE CARACTER INCENTIVADOR PARA PROYECTOS DINAMIZADORES DEL EMPLEO LOCAL</t>
  </si>
  <si>
    <t>SKZA</t>
  </si>
  <si>
    <t>035909</t>
  </si>
  <si>
    <t>SUBVENCIONES DESTINADAS A MUNICIPIOS DE CASTILLA- LA MANCHA PARA EL DESARROLLO PROYECTOS EN MATERIA DE SEGURIDAD Y SALUD LABORAL. PROGRAMA I: ACTIVIDADES DE SENSIBILIZACION, DIFUSION Y DIVULGAC.</t>
  </si>
  <si>
    <t>SL1W</t>
  </si>
  <si>
    <t>035910</t>
  </si>
  <si>
    <t>MEMORIA JUSTIFICATIVA DE LAS INVERSIONES DESTINADAS A DESARROLLAR PROYECTOS EN MATERIA DE SEGURIDAD Y SALUD LABORAL EN MUNICIPIOS DE CASTILLA-LA MANCHA. PROGRAMA I.</t>
  </si>
  <si>
    <t>PL1X</t>
  </si>
  <si>
    <t>035911</t>
  </si>
  <si>
    <t>MEMORIA JUSTIFICATIVA DE LAS INVERSIONES DESTINADAS A DESARROLLAR PROYECTOS EN MATERIA DE SEGURIDAD Y SALUD LABORAL EN MUNICIPIOS DE CASTILLA-LA MANCHA.   PROGRAMA II</t>
  </si>
  <si>
    <t>PL23</t>
  </si>
  <si>
    <t>035912</t>
  </si>
  <si>
    <t>SUBVENCIONES DESTINADAS A MUNICIPIOS DE CASTILLA- LA MANCHA PARA EL DESARROLLO PROYECTOS EN MATERIA DE SEGURIDAD Y SALUD LABORAL. PROGRAMA II:INVERSIONES MEJORA CONDICIONES SEGURIDAD</t>
  </si>
  <si>
    <t>SL22</t>
  </si>
  <si>
    <t>035929</t>
  </si>
  <si>
    <t>AYUDA NO DINERARIA DEL PROGRAMA DE ASESORAMIENTO A PYMES PARA LA TRANSFORMACION DIGITAL</t>
  </si>
  <si>
    <t>SL2U</t>
  </si>
  <si>
    <t>035930</t>
  </si>
  <si>
    <t>JUSTIFICACION AYUDA NO DINERARIA DEL PROGRAMA DE ASESORAMIENTO A PYMES PARA LA TRANSFORMACION DIGITAL</t>
  </si>
  <si>
    <t>PL2V</t>
  </si>
  <si>
    <t>035948</t>
  </si>
  <si>
    <t>JUSTIFICACION  DE SUBVENCIONES DE PROGRAMAS PARA LA RECUALIFICACION Y EL RECICLAJE PROFESIONAL</t>
  </si>
  <si>
    <t>4 MESES.</t>
  </si>
  <si>
    <t>PL51</t>
  </si>
  <si>
    <t>035949</t>
  </si>
  <si>
    <t>CONVOCATORIA DE PROGRAMAS PARA LA RECUALIFICACION Y EL RECICLAJE PROFESIONAL.</t>
  </si>
  <si>
    <t>SL50</t>
  </si>
  <si>
    <t>035965</t>
  </si>
  <si>
    <t>SOLICITUD DE SUBVENCIONES PARA EL PROGRAMA INICIATIVA CRECE EMPRESAS PARA LA ELABORACION DE PLANES ESTRATEGICOS DE CRECIMIENTO EMPRESARIAL Y PROTOCOLOS FAMILIARES</t>
  </si>
  <si>
    <t>EL PLAZO MÁXIMO PARA RESOLVER Y NOTIFICAR LA RESOLUCIÓN NO PODRÁ EXCEDER DE TRES MESES, A CONTAR DESDE EL DÍA SIGUIENTE AL QUE LA SOLICITUD TENGA ENTRADA EN EL REGISTRO TELEMÁTICO.</t>
  </si>
  <si>
    <t>SL7P</t>
  </si>
  <si>
    <t>035966</t>
  </si>
  <si>
    <t>SOLICITUD DE ABONO DE LA SUBVENCION DEL PROGRAMA INICIATIVA CRECE EMPRESAS PARA LA ELABORACION DE PLANES ESTRATEGICOS DE CRECIMIENTO EMPRESARIAL Y PROTOCOLOS FAMILIARES.</t>
  </si>
  <si>
    <t>PL7Q</t>
  </si>
  <si>
    <t>035977</t>
  </si>
  <si>
    <t>JUSTIFICACION (CUENTA JUSTIFICATIVA ),DE SUBVENCIONES  PARA LA REALIZACION DE ACCIONES DE FORMACION PROFESIONAL PARA EL EMPLEO (MODALIDAD II, CON COMPROMISO DE CONTRATACION)</t>
  </si>
  <si>
    <t>PLJ8</t>
  </si>
  <si>
    <t>035978</t>
  </si>
  <si>
    <t>FORMACION PROFESIONAL PARA EL EMPLEO EN MATERIA DE FORMACION DE OFERTA.</t>
  </si>
  <si>
    <t>SL8A</t>
  </si>
  <si>
    <t>035981</t>
  </si>
  <si>
    <t>JUSTIFICACION AYUDA DE EMPLEO CON APOYO.</t>
  </si>
  <si>
    <t>PL8M</t>
  </si>
  <si>
    <t>035982</t>
  </si>
  <si>
    <t>SOLICITUD DE AYUDA EMPLEO CON APOYO.</t>
  </si>
  <si>
    <t>SL8L</t>
  </si>
  <si>
    <t>036000</t>
  </si>
  <si>
    <t>JUSTIFICACION DE SUBVENCIONES PARA LA MEJORA DEL DIALOGO SOCIAL Y LA NEGOCIACION COLECTIVA EN CASTILLA-LA MANCHA</t>
  </si>
  <si>
    <t>PLBF</t>
  </si>
  <si>
    <t>036001</t>
  </si>
  <si>
    <t>SOLICITUD DE SUBVENCIONES PARA LA MEJORA DEL DIALOGO SOCIAL Y LA NEGOCIACION COLECTIVA EN CASTILLA-LA MANCHA.</t>
  </si>
  <si>
    <t>SLBE</t>
  </si>
  <si>
    <t>036030</t>
  </si>
  <si>
    <t>SOLICITUD AYUDAS DE APOYO A LA MODERNIZACION, INNOVACION E INCREMENTO DE LA COMPETITIVIDAD DEL SECTOR TURISTICO DE CASTILLA-LA MANCHA POR COVID 19</t>
  </si>
  <si>
    <t>SLFT</t>
  </si>
  <si>
    <t>036031</t>
  </si>
  <si>
    <t>JUSTIFICACION AYUDAS DE APOYO A LA MODERNIZACION, INNOVACION E INCREMENTO DE LA COMPETITIVIDAD DEL SECTOR TURISTICO DE CASTILLA-LA MANCHA POR COVID 19</t>
  </si>
  <si>
    <t>PLFU</t>
  </si>
  <si>
    <t>036046</t>
  </si>
  <si>
    <t>SOLICITUD DE SUBVENCIONES PARA EL ESTIMULO AL CONSUMO DE SERVICIOS TURISTICOS CON MOTIVO DEL LA CRISIS SANITARIA DEL COVID-19</t>
  </si>
  <si>
    <t>SLGR</t>
  </si>
  <si>
    <t>036047</t>
  </si>
  <si>
    <t>JUSTIFICACION DE SUBVENCIONES PARA EL ESTIMULO AL CONSUMO DE SERVICIOS TURISTICOS CON MOTIVO DEL LA CRISIS SANITARIA DEL COVID-19</t>
  </si>
  <si>
    <t>PLGS</t>
  </si>
  <si>
    <t>036053</t>
  </si>
  <si>
    <t>SOLICITUD DE AYUDA. DECRETO PARA PROMOVER EL EJERCICIO SEGURO DE LA ACTIVIDAD ECONOMICA DE LAS PERSONAS TRABAJADORAS AUTONOMAS.</t>
  </si>
  <si>
    <t>SLI1</t>
  </si>
  <si>
    <t>036054</t>
  </si>
  <si>
    <t>JUSTIFICACION DE SUBVENCIONES PARA EL ESTIMULO AL CONSUMO DE SERVICIOS TURISTICOS Y ALOJAMIENTOS EXTRAHOTELEROS CON MOTIVO DEL LA CRISIS SANITARIA DEL COVID-19.</t>
  </si>
  <si>
    <t>PLIC</t>
  </si>
  <si>
    <t>036055</t>
  </si>
  <si>
    <t>SOLICITUD DE SUBVENCIONES PARA EL ESTIMULO AL CONSUMO DE SERVICIOS TURISTICOS Y ALOJAMIENTOS EXTRAHOTELEROS CON MOTIVO DEL LA CRISIS SANITARIA DEL COVID-19.</t>
  </si>
  <si>
    <t>SLIB</t>
  </si>
  <si>
    <t>036123</t>
  </si>
  <si>
    <t>JUSTIFICACION DE LAS INVERSIONES Y SOLICITUD DE ABONO. LINEA 1 INVERSION PRL</t>
  </si>
  <si>
    <t>PLO1</t>
  </si>
  <si>
    <t>036124</t>
  </si>
  <si>
    <t>SOLICITUD LINEA 1. PROGRAMA CLM MAS SEGURA.</t>
  </si>
  <si>
    <t>SLO0</t>
  </si>
  <si>
    <t>036147</t>
  </si>
  <si>
    <t>JUSTIFICACION DE SUBVENCIONES PARA LA REALIZACION DE ACTUACIONES PARA LA MEJORA DE LA EMPLEABILIDAD Y LA INSERCION COLECTIVOS VULNERABLES (NEXTGENERATIONEU)</t>
  </si>
  <si>
    <t>TRES MESES DESDE LA FECHA DE PUBLICACIÓN DE LA PRESENTE ORDEN Y SU EXTRACTO EN EL D.O.C.M.</t>
  </si>
  <si>
    <t>PLQW</t>
  </si>
  <si>
    <t>036148</t>
  </si>
  <si>
    <t>SOLICITUD DE SUBVENCION PARA LA REALIZACION DE ACTUACIONES PARA LA MEJORA DE LA EMPLEABILIDAD Y LA INSERCION DE COLECTIVOS VULNERABLES (NEXTGENERATIONEU)</t>
  </si>
  <si>
    <t>SLQV</t>
  </si>
  <si>
    <t>036150</t>
  </si>
  <si>
    <t>SOLICITUD DE SUBVENCION PARA EL PROGRAMA DE APOYO A MUJERES EN LOS AMBITOS RURAL Y URBANO (NEXT GENERATION EU)</t>
  </si>
  <si>
    <t>SLR3</t>
  </si>
  <si>
    <t>036152</t>
  </si>
  <si>
    <t>SOLICITUD DE SUBVENCION PARA EL INICIO, MANTENIMIENTO Y CONSOLIDACION DE LA ACTIVIDAD DE LAS PERSONAS TRABAJADORAS AUTOMOMAS</t>
  </si>
  <si>
    <t>DOS MESES DESDE LA FECHA DE PRESENTACIÓN DE LA SOLICITUD</t>
  </si>
  <si>
    <t>SLRB</t>
  </si>
  <si>
    <t>036155</t>
  </si>
  <si>
    <t>AYUDAS DEL PROGRAMA MICE</t>
  </si>
  <si>
    <t>SLRZ</t>
  </si>
  <si>
    <t>036156</t>
  </si>
  <si>
    <t>JUSTIFICACION AYUDAS PROGRAMA MICE 2022</t>
  </si>
  <si>
    <t>PLS0</t>
  </si>
  <si>
    <t>036183</t>
  </si>
  <si>
    <t>LINEA 1. SUBVENCION PARA LA PROMOCION DE LAS COOPERATIVAS Y SOCIEDADES LABORALES</t>
  </si>
  <si>
    <t>SLWG</t>
  </si>
  <si>
    <t>040001</t>
  </si>
  <si>
    <t>DECLARACION DE GRAN AFLUENCIA TURISTICA A EFECTO DE HORARIOS COMERCIALES</t>
  </si>
  <si>
    <t>S432</t>
  </si>
  <si>
    <t>040004</t>
  </si>
  <si>
    <t>DECLARACION DE FIESTA DE INTERES TURISTICO REGIONAL</t>
  </si>
  <si>
    <t>S429</t>
  </si>
  <si>
    <t>040088</t>
  </si>
  <si>
    <t>ACREDITACION DE ENTIDADES ESPELIZADAS COMO SERVICIOS DE PREVENCION DE ACCIDENTES AJENOS A LAS EMPRESAS</t>
  </si>
  <si>
    <t>3 MESES, AMPLIABLE  A 6 MESES SI LA ENTIDAD DECLARA QUE VA A DISPONER DE INSTALACIONES EN OTRAS COMUNIDADES AUTÓNOMAS PARA EL EJERCICIO DE SU ACTIVIDAD.</t>
  </si>
  <si>
    <t>SIJK</t>
  </si>
  <si>
    <t>040172</t>
  </si>
  <si>
    <t>RECONOCIMIENTO DE LAS COMPETENCIAS PROFESIONALES ADQUIRIDAS POR EXPERIENCIA LABORAL</t>
  </si>
  <si>
    <t>SJLK</t>
  </si>
  <si>
    <t>040185</t>
  </si>
  <si>
    <t>RENOVACION DEL TITULO DE EMPRESA ARTESANA</t>
  </si>
  <si>
    <t>SJB1</t>
  </si>
  <si>
    <t>040210</t>
  </si>
  <si>
    <t>SOLICITUD DE CERTIFICADO DE TIENDA DE CONVENIENCIA</t>
  </si>
  <si>
    <t>SJSB</t>
  </si>
  <si>
    <t>040227</t>
  </si>
  <si>
    <t>RECONOCIMIENTO COMO EVENTO DE INTERES ARTESANO DE CASTILLA-LA MANCHA.</t>
  </si>
  <si>
    <t>SJV2</t>
  </si>
  <si>
    <t>040271</t>
  </si>
  <si>
    <t>CONCESION DEL CARNE ARTESANO</t>
  </si>
  <si>
    <t>S324</t>
  </si>
  <si>
    <t>040272</t>
  </si>
  <si>
    <t>CONCESION DEL TITULO DE EMPRESA ARTESANA</t>
  </si>
  <si>
    <t>S310</t>
  </si>
  <si>
    <t>040273</t>
  </si>
  <si>
    <t>RENOVACION CARNE ARTESANO</t>
  </si>
  <si>
    <t>SJB0</t>
  </si>
  <si>
    <t>040274</t>
  </si>
  <si>
    <t>MODIFICACION EN LA ACTIVIDAD PRODUCTIVA DE LA EMPRESA ARTESANA</t>
  </si>
  <si>
    <t>SKAB</t>
  </si>
  <si>
    <t>040275</t>
  </si>
  <si>
    <t>CAMBIO DE NOMBRE COMERCIAL O DE TITULARIDAD DE LA EMPRESA ARTESANA</t>
  </si>
  <si>
    <t>MJB2</t>
  </si>
  <si>
    <t>040276</t>
  </si>
  <si>
    <t>RECONOCIMIENTO DE TIENDA ARTESANA E INTEGRACION EN LA RED DE TIENDAS ARTESANAS DE CASTILLA-LA MANCHA</t>
  </si>
  <si>
    <t>SJHZ</t>
  </si>
  <si>
    <t>040277</t>
  </si>
  <si>
    <t>RECONOCIMIENTO/MODIFICACION DE  AREA DE ESPECIAL INTERES ARTESANAL DE CASTILLA-LA MANCHA // TALLER DE ESPECIAL INTERES ARTESANAL DE CASTILLA- LA MANCHA</t>
  </si>
  <si>
    <t>SJGW</t>
  </si>
  <si>
    <t>040278</t>
  </si>
  <si>
    <t>RENOVACION DEL RECONOCIMIENTO DE AREA DE ESPECIAL INTERES ARTESANAL DE CASTILLA-LA MANCHA // TALLER DE ESPECIAL INTERES ARTESANAL DE CASTILLA- LA MANCHA</t>
  </si>
  <si>
    <t>SKAC</t>
  </si>
  <si>
    <t>040293</t>
  </si>
  <si>
    <t>GESTION DE ACCESO A LA OFICINA VIRTUAL DE LA CONSEJERIA DE EMPLEO Y ECONOMIA DE CASTILLA LA MANCHA</t>
  </si>
  <si>
    <t>SKG6</t>
  </si>
  <si>
    <t>040301</t>
  </si>
  <si>
    <t>CERTIFICADO DE INSCRIPCION EN REGISTRO DE EMPRESAS ACREDITADAS EN EL SECTOR DE LA CONSTRUCCION (REA)</t>
  </si>
  <si>
    <t>10 DÍAS NATURALES</t>
  </si>
  <si>
    <t>SKJR</t>
  </si>
  <si>
    <t>040343</t>
  </si>
  <si>
    <t>CONCESION DIRECTA DE SUBVENCION A FUNDACION ESCUELA DE ORGANIZACION INDUSTRIAL (EOI), PARA EL DESARROLLO DE LOS PROYECTOS MILLENIALS Y BIG DREAMS DENTRO DEL PROGRAMA OPERATIVO DE LA FUNDACION EOI PARA EL FOMENTO DEL EMPLEO JOVEN DE INTERVENCION COMUNITARIA DEL FONDO SOCIAL EUROPEO DE EMPLEO JUVENIL</t>
  </si>
  <si>
    <t>NO PROCEDE</t>
  </si>
  <si>
    <t>SL8J</t>
  </si>
  <si>
    <t>040354</t>
  </si>
  <si>
    <t>DECLARACION DE PROYECTOS PRIORITARIOS EN CASTILLA-LA MANCHA</t>
  </si>
  <si>
    <t>SLFY</t>
  </si>
  <si>
    <t>045653</t>
  </si>
  <si>
    <t>ACREDITACION DE LA BUSQUEDA ACTIVA DE EMPLEO DE TRABAJADORES Y DE LOS SOLICITANTES Y BENEFICIARIOS DE PRESTACIONES POR DESEMPLEO</t>
  </si>
  <si>
    <t>MKGM</t>
  </si>
  <si>
    <t>045654</t>
  </si>
  <si>
    <t>COMUNICACION DE COLOCACIONES DE LOS DEMANDANTES BENEFICIARIOS DEL PROGRAMA DE ACTIVACION PARA EL EMPLEO</t>
  </si>
  <si>
    <t>MKGR</t>
  </si>
  <si>
    <t>045746</t>
  </si>
  <si>
    <t>INICIO DE ACTIVIDAD COMO EMPRESA DE RESTAURACION</t>
  </si>
  <si>
    <t>DIJM</t>
  </si>
  <si>
    <t>045747</t>
  </si>
  <si>
    <t>MODIFICACION DE LA CAPACIDAD/CAMBIO EN LA CLASIFICACION DE LA EMPRESA DE RESTAURACION</t>
  </si>
  <si>
    <t>DKPM</t>
  </si>
  <si>
    <t>045748</t>
  </si>
  <si>
    <t>CAMBIO DE TITULARIDAD, CAMBIO DE DENOMINACION O CESE DE ACTIVIDAD COMO EMPRESA DE RESTAURACION</t>
  </si>
  <si>
    <t>MKPN</t>
  </si>
  <si>
    <t>080003</t>
  </si>
  <si>
    <t>PAPELETA DE CONCILIACION INDIVIDUAL PREVIA A LA VIA JUDICIAL LABORAL</t>
  </si>
  <si>
    <t>SKA4</t>
  </si>
  <si>
    <t>080004</t>
  </si>
  <si>
    <t>PROCEDIMIENTO PARA LA SOLUCION DE DISCREPANCIAS SURGIDAS POR FALTA DE ACUERDO EN LOS PROCEDIMIENTOS DE INAPLICACION DE LAS CONDICIONES DE TRABAJO PREVISTAS EN EL CONVENIO COLECTIVO DE APLICACION</t>
  </si>
  <si>
    <t>25 DÍAS HÁBILES</t>
  </si>
  <si>
    <t>SKER</t>
  </si>
  <si>
    <t>080005</t>
  </si>
  <si>
    <t>ATENCION A EMPRESAS EN MATERIA DE INTERMEDIACION LABORAL Y CONTRATACION DE PERSONAS TRABAJADORAS</t>
  </si>
  <si>
    <t>SKGS</t>
  </si>
  <si>
    <t>080007</t>
  </si>
  <si>
    <t>COOPERATIVAS Y SOCIEDADES LABORALES: ARBITRAJE, CONCILIACION Y MEDIACION.</t>
  </si>
  <si>
    <t>EN ARBITRAJE, 3 MESES DESDE LA ACEPTACIÓN DEL NOMBRAMIENTO, EN LOS OTROS PROCEDIMIENTOS NO HAY PLAZO.</t>
  </si>
  <si>
    <t>SL7W</t>
  </si>
  <si>
    <t>150019</t>
  </si>
  <si>
    <t>SUSCRIPCION DE CONVENIOS DE PRACTICAS NO LABORALES EN EMPRESAS</t>
  </si>
  <si>
    <t>SK0M</t>
  </si>
  <si>
    <t>155433</t>
  </si>
  <si>
    <t>ENVIO DEL DOCUMENTO DE SOLICITUDES DE RENOVACION DE DEMANDA DE EMPLEO DE LAS UNIDADES LOCALES DE GESTION DE EMPLEO A LAS OFICINAS DE EMPLEO</t>
  </si>
  <si>
    <t>SJVI</t>
  </si>
  <si>
    <t>155434</t>
  </si>
  <si>
    <t>SOLICITUD DE SUSCRIPCION DE CONVENIOS DE COLABORACION PARA LA CREACION DE UNIDADES LOCALES DE GESTION DE EMPLEO ENTRE AYUNTAMIENTOS Y LA CONSEJERIA DE ECONOMIA, EMPRESAS Y EMPLEO</t>
  </si>
  <si>
    <t>SJVF</t>
  </si>
  <si>
    <t>155872</t>
  </si>
  <si>
    <t>SOLICITUD DE CONVENIO PARA LA REALIZACION DE ACTIVIDADES DE ASESORAMIENTO PARA EL AUTOEMPLEO Y EL EMPRENDIMIENTO, MEDIANTE LA CREACION DE LOS "ESPACIOS ADELANTE AUTOEMPLEO"</t>
  </si>
  <si>
    <t>SKY8</t>
  </si>
  <si>
    <t>180100</t>
  </si>
  <si>
    <t>CONVOCATORIA DE PROVISION DE PUESTOS DE TRABAJO POR EL PROCEDIMIENTO DE LIBRE DESIGNACION ( CONSEJERIA ECONOMIA, EMPRESAS Y EMPLEO)</t>
  </si>
  <si>
    <t>SECRETARIA GENERAL ECONOMIA, EMPRESAS Y EMPLEO - CONSEJERIA DE ECONOMIA, EMPRESAS Y EMPLEO</t>
  </si>
  <si>
    <t>SJZS</t>
  </si>
  <si>
    <t>190030</t>
  </si>
  <si>
    <t>CESION GRATUITA DE VEHICULOS.</t>
  </si>
  <si>
    <t>SLT8</t>
  </si>
  <si>
    <t>010142</t>
  </si>
  <si>
    <t>AUTORIZACION PREVIA DEL PROTECTORADO PARA ENAJENAR Y GRAVAR BIENES O DERECHOS PERTENENCIENTES A LA DOTACION, PARA QUE LOS PATRONOS PUEDAN CONTRATAR CON LA FUNDACION</t>
  </si>
  <si>
    <t>CONSEJERIA DE HACIENDA Y ADMINISTRACIONES PUBLICAS</t>
  </si>
  <si>
    <t>VICECONSEJERIA DE ADMINISTRACION LOCAL Y COORDINACION ADMINISTRATIVA - CONSEJERIA DE HACIENDA Y ADMINISTRACIONES PUBLICAS</t>
  </si>
  <si>
    <t>SJO0</t>
  </si>
  <si>
    <t>010144</t>
  </si>
  <si>
    <t>AUTORIZACION DE LA ADJUDICACION EN PUBLICA SUBASTA, MEDIANTE PRECIO, DEL APROVECHAMIENTO DE BINES COMUNALES DE LAS CORPORACIONES LOCALES</t>
  </si>
  <si>
    <t>SJ8D</t>
  </si>
  <si>
    <t>010145</t>
  </si>
  <si>
    <t>AUTORIZACION DE ACTIVIDADES RECREATIVAS O PRUEBAS DEPORTIVAS A REALIZAR POR EL TERRITORIO DE DOS O MAS PROVINCIAS</t>
  </si>
  <si>
    <t>10 DÍAS HABILES</t>
  </si>
  <si>
    <t>DIRECCION GENERAL PROTECCION CIUDADANA - VICECONSEJERIA DE ADMINISTRACION LOCAL Y COORDINACION ADMINISTRATIVA - CONSEJERIA DE HACIENDA Y ADMINISTRACIONES PUBLICAS</t>
  </si>
  <si>
    <t>SJ70</t>
  </si>
  <si>
    <t>010146</t>
  </si>
  <si>
    <t>AUTORIZACION DE ACTIVIDADES RECREATIVAS O PRUEBAS DEPORTIVAS A REALIZAR POR EL TERRITORIO DE UNA SOLA PROVINCIA</t>
  </si>
  <si>
    <t>10 DÍAS HÁBILES</t>
  </si>
  <si>
    <t>SF79</t>
  </si>
  <si>
    <t>010147</t>
  </si>
  <si>
    <t>AUTORIZACION  DE HORARIOS PERMANENTES Y ESPECIALES</t>
  </si>
  <si>
    <t>SJ6Z</t>
  </si>
  <si>
    <t>010149</t>
  </si>
  <si>
    <t>COMUNICACION DE ESPECTACULOS TAURINOS EN PLAZA DE TOROS PERMANENTE</t>
  </si>
  <si>
    <t>EN LOS 2 DÍAS HÁBILES SIGUIENTES A LA FECHA EN LA QUE LA DOCUMENTACIÓN HAYA QUEDADO SUBSANADA</t>
  </si>
  <si>
    <t>SF78</t>
  </si>
  <si>
    <t>010150</t>
  </si>
  <si>
    <t>AUTORIZACION DE ESPECTACULOS TAURINOS EN PLAZA DE TOROS NO PERMANENTE O PORTATIL</t>
  </si>
  <si>
    <t>NF77, SF77</t>
  </si>
  <si>
    <t>010151</t>
  </si>
  <si>
    <t>AUTORIZACION DE FESTEJOS TAURINOS POPULARES</t>
  </si>
  <si>
    <t>3 DÍAS HÁBILES DE ANTELACIÓN A LA FECHA DE CELEBRACIÓN</t>
  </si>
  <si>
    <t>SE59</t>
  </si>
  <si>
    <t>010350</t>
  </si>
  <si>
    <t>CREACION/RENOVACION DE ESCUELA TAURINA</t>
  </si>
  <si>
    <t>5 DÍAS HABILES POST. RECEP. INFORME</t>
  </si>
  <si>
    <t>SJGF</t>
  </si>
  <si>
    <t>010351</t>
  </si>
  <si>
    <t>SOLICITUD DE AUTORIZACION DE CONSULTA DE DOCUMENTOS DEL ARCHIVO DE CASTILLA-LA MANCHA</t>
  </si>
  <si>
    <t>SJL4</t>
  </si>
  <si>
    <t>010398</t>
  </si>
  <si>
    <t>AUTORIZACIÓN DE LA COMUNIDAD AUTÓNOMA PARA CAMBIAR EL USO DE LOS BIENES COMUNALES</t>
  </si>
  <si>
    <t>SJVB</t>
  </si>
  <si>
    <t>010415</t>
  </si>
  <si>
    <t>PROCEDIMIENTO COMUN PARA LAS ALTERACIONES DE TERMINOS MUNICIPALES</t>
  </si>
  <si>
    <t>SJX2</t>
  </si>
  <si>
    <t>010416</t>
  </si>
  <si>
    <t>PROCEDIMIENTO PARA LA CONSTITUCION DEL REGIMEN ESPECIAL DE CONCEJO ABIERTO</t>
  </si>
  <si>
    <t>SJX3</t>
  </si>
  <si>
    <t>010417</t>
  </si>
  <si>
    <t>PROCEDIMIENTO PARA LA ALTERACION DEL NOMBRE Y CAPITALIDAD DEL MUNICIPIO.</t>
  </si>
  <si>
    <t>SJX4</t>
  </si>
  <si>
    <t>010459</t>
  </si>
  <si>
    <t>RATIFICACION EXTINCION FUNDACION</t>
  </si>
  <si>
    <t>SK0X</t>
  </si>
  <si>
    <t>010477</t>
  </si>
  <si>
    <t>AUTORIZACION DE ACTIVIDADES DE PUBLICIDAD, PATROCINIO Y  PROMOCION DE LOS JUEGOS.</t>
  </si>
  <si>
    <t>DIRECCION GENERAL TRIBUTOS Y ORDENACION DEL JUEGO - CONSEJERIA DE HACIENDA Y ADMINISTRACIONES PUBLICAS</t>
  </si>
  <si>
    <t>SK3U</t>
  </si>
  <si>
    <t>010478</t>
  </si>
  <si>
    <t>AUTORIZACION DE RIFAS Y TOMBOLAS</t>
  </si>
  <si>
    <t>3  MESES</t>
  </si>
  <si>
    <t>SK3W</t>
  </si>
  <si>
    <t>010481</t>
  </si>
  <si>
    <t>AUTORIZACION DE ACTIVIDADES DE JUEGOS ESPORADICOS POR CANALES ELECTRONICOS, INFORMATICOS, TELEMATICOS O INTERACTIVOS.</t>
  </si>
  <si>
    <t>SK44</t>
  </si>
  <si>
    <t>010482</t>
  </si>
  <si>
    <t>TRANSMISION DE LA AUTORIZACION DE JUEGOS PERMANENTES POR CANALES ELECTRONICOS, INFORMATICOS, TELEMATICOS O INTERACTIVOS.</t>
  </si>
  <si>
    <t>SK45</t>
  </si>
  <si>
    <t>010483</t>
  </si>
  <si>
    <t>HOMOLOGACION, CONVALIDACION, MODIFICACION SUSTANCIAL DE LOS SISTEMAS TECNICOS DE JUEGO.</t>
  </si>
  <si>
    <t>SK46</t>
  </si>
  <si>
    <t>010485</t>
  </si>
  <si>
    <t>AUTORIZACION DE INSTALACION DE ZONAS DE APUESTAS</t>
  </si>
  <si>
    <t>SK4I</t>
  </si>
  <si>
    <t>010490</t>
  </si>
  <si>
    <t>AUTORIZACION DE SISTEMAS DE INTERCONEXIONADO</t>
  </si>
  <si>
    <t>SK4S</t>
  </si>
  <si>
    <t>010492</t>
  </si>
  <si>
    <t>TRANSMISION DE LA AUTORIZACION DE INSTALACION DE CASINOS DE JUEGO Y ESTABLECIMIENTOS DE JUEGOS</t>
  </si>
  <si>
    <t>SK59</t>
  </si>
  <si>
    <t>010493</t>
  </si>
  <si>
    <t>SOLICITUD DE CLAVES DE ACCESO A LA TRAMITACION TELEMATICA JUEGO Y  A LA APLICACION DEL CONTROL ACCESO DE LOS ESTABLECIMIENTOS DE JUEGO.</t>
  </si>
  <si>
    <t>SK5G</t>
  </si>
  <si>
    <t>010501</t>
  </si>
  <si>
    <t>CREACION DE UN COLEGIO PROFESIONAL/ CONSEJO DE COLEGIOS PROFESIONALES</t>
  </si>
  <si>
    <t>SK9K</t>
  </si>
  <si>
    <t>010540</t>
  </si>
  <si>
    <t>AUTORIZACION DE COMPATIBILIDAD PARA EL EJERCICIO DE ACTIVIDADES PUBLICAS</t>
  </si>
  <si>
    <t>DIRECCION GENERAL FUNCION PUBLICA - CONSEJERIA DE HACIENDA Y ADMINISTRACIONES PUBLICAS</t>
  </si>
  <si>
    <t>SF69</t>
  </si>
  <si>
    <t>010563</t>
  </si>
  <si>
    <t>OBTENCION DE PUBLICIDAD REGISTRAL SOBRE COLEGIOS PROFESIONALES</t>
  </si>
  <si>
    <t>SKTT</t>
  </si>
  <si>
    <t>010565</t>
  </si>
  <si>
    <t>SOLICITUD GENERAL EN MATERIA DE JUEGOS Y APUESTAS.</t>
  </si>
  <si>
    <t>SKUZ</t>
  </si>
  <si>
    <t>010616</t>
  </si>
  <si>
    <t>AUTORIZACION O COMUNICACION DE MODIFICACION DE HORARIOS GENERALES</t>
  </si>
  <si>
    <t>SL9R</t>
  </si>
  <si>
    <t>010663</t>
  </si>
  <si>
    <t>RENOVACION DE LA AUTORIZACION  DE INSTALACION  DE CASINOS DE JUEGO Y ESTABLECIMIENTOS DE JUEGO.</t>
  </si>
  <si>
    <t>SLQ1</t>
  </si>
  <si>
    <t>010664</t>
  </si>
  <si>
    <t>RENOVACION DE LA AUTORIZACION DE  ESTABLECIMIENTOS DE HOSTELERIA O SIMILAR.</t>
  </si>
  <si>
    <t>SIN PLAZO</t>
  </si>
  <si>
    <t>DLQ2</t>
  </si>
  <si>
    <t>015105</t>
  </si>
  <si>
    <t>AUTORIZACION DE PERMUTA DE BIENES INMUEBLES PATRIMONIALES CUANDO SUPEREN EL 25 POR 100 DE LOS RECURSOS ORDINARIOS DEL PRESUPUESTO DE LA CORPORACION LOCAL</t>
  </si>
  <si>
    <t>SJ8E</t>
  </si>
  <si>
    <t>015106</t>
  </si>
  <si>
    <t>AUTORIZACION DE ENAJENACION DE BIENES Y DERECHOS CUYA CUANTIA SUPERE EL 25 POR 100 DE LOS RECURSOS ORDINARIOS DEL PRESUPUESTO DE LA CORPORACION LOCAL.</t>
  </si>
  <si>
    <t>SJ8C</t>
  </si>
  <si>
    <t>015124</t>
  </si>
  <si>
    <t>CLASE PRACTICA DE ESCUELA TAURINA DENTRO DE SU SEDE</t>
  </si>
  <si>
    <t>5 DÍAS PREVIOS CELEBRACIÓN</t>
  </si>
  <si>
    <t>ML0D</t>
  </si>
  <si>
    <t>015125</t>
  </si>
  <si>
    <t>CLASE PRACTICA DE ESCUELA TAURINA FUERA DE SU SEDE.</t>
  </si>
  <si>
    <t>SJGE</t>
  </si>
  <si>
    <t>015528</t>
  </si>
  <si>
    <t>COMUNICACION PREVIA MODIFICACIONES NO ESENCIALES QUE SE PRETENDAN REALIZAR DURANTE EL EJERCICIO DE SU ACTIVIDAD DE JUEGO REALIZADOS POR CANALES ELECTRONICOS, INFORMATICOS, TELEMATICOS O INTERACTIVOS.</t>
  </si>
  <si>
    <t>SIN PLAZO.</t>
  </si>
  <si>
    <t>MK40</t>
  </si>
  <si>
    <t>015530</t>
  </si>
  <si>
    <t>AUTORIZACION DE ACTIVIDADES DE JUEGOS PERMANENTES POR CANALES ELECTRONICOS, INFORMATICOS, TELEMATICOS O INTERACTIVOS.</t>
  </si>
  <si>
    <t>SK42</t>
  </si>
  <si>
    <t>015531</t>
  </si>
  <si>
    <t>AUTORIZACION DE MODIFICACIONES ESENCIALES DE LA AUTORIZACION DE JUEGOS PERMANENTES POR CANALES ELECTRONICOS, INFORMATICOS, TELEMATICOS O INTERACTIVOS.</t>
  </si>
  <si>
    <t>SK43</t>
  </si>
  <si>
    <t>015532</t>
  </si>
  <si>
    <t>AUTORIZACION  DE INSTALACION  DE CASINOS DE JUEGO Y  ESTABLECIMIENTOS DE JUEGO.</t>
  </si>
  <si>
    <t>SK4G</t>
  </si>
  <si>
    <t>015533</t>
  </si>
  <si>
    <t>MODIFICACION SUSTANCIAL AUTORIZACION  DE INSTALACION  DE CASINOS DE JUEGO Y  ESTABLECIMIENTOS DE JUEGO.</t>
  </si>
  <si>
    <t>SK4H</t>
  </si>
  <si>
    <t>015534</t>
  </si>
  <si>
    <t>RENUNCIA DE MUTUO ACUERDO A LA AUTORIZACION DE INSTALACION DE ESTABLECIMIENTOS DE HOSTELERIA O SIMILAR.</t>
  </si>
  <si>
    <t>SK4K</t>
  </si>
  <si>
    <t>015535</t>
  </si>
  <si>
    <t>AUTORIZACION DE INSTALACION DE ESTABLECIMIENTOS DE HOSTELERIA O SIMILAR</t>
  </si>
  <si>
    <t>SK4J</t>
  </si>
  <si>
    <t>015536</t>
  </si>
  <si>
    <t>AUTORIZACION DE INICIO DE ACTIVIDAD DE EMPRESAS DE JUEGO Y APUESTAS.</t>
  </si>
  <si>
    <t>SK4L</t>
  </si>
  <si>
    <t>015537</t>
  </si>
  <si>
    <t>MODIFICACION SUSTANCIAL INICIO DE ACTIVIDAD EMPRESAS DE JUEGO</t>
  </si>
  <si>
    <t>SK4M</t>
  </si>
  <si>
    <t>015538</t>
  </si>
  <si>
    <t>AUTORIZACION LABORATORIO DE ENSAYO.</t>
  </si>
  <si>
    <t>SK4N</t>
  </si>
  <si>
    <t>015539</t>
  </si>
  <si>
    <t>HOMOLOGACION, CONVALIDACION Y MODIFICACION SUSTANCIAL DEL MATERIAL DE JUEGO Y APUESTAS.</t>
  </si>
  <si>
    <t>SK4O</t>
  </si>
  <si>
    <t>015540</t>
  </si>
  <si>
    <t>BAJA TEMPORAL O REACTIVACION DE LA AUTORIZACION DE EXPLOTACION DE MAQUINAS DE JUEGO.</t>
  </si>
  <si>
    <t>SK4R</t>
  </si>
  <si>
    <t>015541</t>
  </si>
  <si>
    <t>AUTORIZACION DE EXPLOTACION  DE MAQUINAS DE JUEGO.</t>
  </si>
  <si>
    <t>SK4P</t>
  </si>
  <si>
    <t>015542</t>
  </si>
  <si>
    <t>TRANSMISION DE LA AUTORIZACION DE EXPLOTACION DE  MAQUINAS DE JUEGO.</t>
  </si>
  <si>
    <t>SK4Q</t>
  </si>
  <si>
    <t>015556</t>
  </si>
  <si>
    <t>COMUNICACION PREVIA DE MODIFICACIONES NO SUSTANCIALES.</t>
  </si>
  <si>
    <t>MK55</t>
  </si>
  <si>
    <t>015557</t>
  </si>
  <si>
    <t>COMUNICACION PREVIA DE TRANSMISION, AMPLIACION, DISMINUCION DE ACCIONES O PARTICIPACIONES DE LA SOCIEDAD MERCANTILES DEDICADAS AL JUEGO Y CUALESQUIERA OTRAS MODIFICACIONES SOCIETARIAS.</t>
  </si>
  <si>
    <t>MK56</t>
  </si>
  <si>
    <t>015558</t>
  </si>
  <si>
    <t>COMUNICACION PREVIA DE TRANSMISION DE LA AUTORIZACION DE HOMOLOGACION DE MAQUINAS DE JUEGO, SISTEMAS DE INTERCONEXION Y MATERIAL PARA LA PRACTICA DEL JUEGO.</t>
  </si>
  <si>
    <t>MK57</t>
  </si>
  <si>
    <t>020004</t>
  </si>
  <si>
    <t>INSCRIPCION EN EL REGISTRO OFICIAL DE LICITADORES Y EMPRESAS CLASIFICADAS DEL SECTOR PUBLICO A TRAVES DEL REGISTRO OFICIAL DE LICITADORES DE CASTILLA-LA MANCHA</t>
  </si>
  <si>
    <t>SECRETARIA GENERAL CONSEJERIA DE HACIENDA Y ADMINISTRACIONES PUBLICAS - CONSEJERIA DE HACIENDA Y ADMINISTRACIONES PUBLICAS</t>
  </si>
  <si>
    <t>SIK1</t>
  </si>
  <si>
    <t>020006</t>
  </si>
  <si>
    <t>SISE-DEBER DE INFORMACION ESTADISTICO-CONTABLE DE MEDIADORES DE SEGUROS (DEC)</t>
  </si>
  <si>
    <t>DIRECCION GENERAL POLITICA FINANCIERA, TESORERIA Y FONDOS COMUNITARIOS - CONSEJERIA DE HACIENDA Y ADMINISTRACIONES PUBLICAS</t>
  </si>
  <si>
    <t>SISE</t>
  </si>
  <si>
    <t>020092</t>
  </si>
  <si>
    <t>INSCRIPCION EN REGISTRO DE FUNDACIONES (PRIMERA INSCRIPCION ESTATUTOS FUSION Y EXTINCION)</t>
  </si>
  <si>
    <t>INSCRIPCIÓN DE LA CONSTITUCIÓN DE UNA FUNDACIÓN: 6 MESES. _x000D_
RESTO DE PROCEDIMIENTOS: 3 MESES.</t>
  </si>
  <si>
    <t>N706, S706</t>
  </si>
  <si>
    <t>020094</t>
  </si>
  <si>
    <t>INSCRIPCION EN EL REGISTRO DE COLEGIOS PROFESIONALES Y CONSEJOS DE COLEGIOS PROFESIONALES</t>
  </si>
  <si>
    <t>S056</t>
  </si>
  <si>
    <t>020095</t>
  </si>
  <si>
    <t>INSCRIPCION EN EL REGISTRO DE ASOCIACIONES DE CASTILLA-LA MANCHA</t>
  </si>
  <si>
    <t>N673, S673</t>
  </si>
  <si>
    <t>020096</t>
  </si>
  <si>
    <t>REGISTRO DE PAREJAS DE HECHO</t>
  </si>
  <si>
    <t>SI4H</t>
  </si>
  <si>
    <t>020098</t>
  </si>
  <si>
    <t>SOLICITUD DE INSCRIPCION EN EL REGISTRO DE AGRUPACIONES Y VOLUNTARIOS DE PROTECCION CIVIL DE CASTILLA-LA MANCHA</t>
  </si>
  <si>
    <t>SILT</t>
  </si>
  <si>
    <t>020099</t>
  </si>
  <si>
    <t>SOLICITUD DE INCORPORACION A LA RED DE TRANSMISIONES DE PROTECCION CIVIL DE CASTILLA-LA MANCHA</t>
  </si>
  <si>
    <t>SJ33</t>
  </si>
  <si>
    <t>020172</t>
  </si>
  <si>
    <t>EJERCICIO DE LOS DERECHOS DE ACCESO, RECTIFICACION, SUPRESION, OPOSICION, LIMITACION, PORTABILIDAD Y DECISIONES AUTOMATIZADAS A LOS TRATAMIENTOS DE LA JUNTA DE COMUNIDADES DE CASTILLA-LA MANCHA Y SECTOR PUBLICO DEPENDIENTE DE LA MISMA.</t>
  </si>
  <si>
    <t>DIRECCION GENERAL ADMINISTRACION DIGITAL - CONSEJERIA DE HACIENDA Y ADMINISTRACIONES PUBLICAS</t>
  </si>
  <si>
    <t>SJ5X</t>
  </si>
  <si>
    <t>020179</t>
  </si>
  <si>
    <t>INSCRIPCION EN EL REGISTRO DE POLICIAS LOCALES DE CASTILLA-LA MANCHA</t>
  </si>
  <si>
    <t>SIZ9</t>
  </si>
  <si>
    <t>020180</t>
  </si>
  <si>
    <t>REGISTRO DE PROFESORES COLABORADORES DE LA ESCUELA DE PROTECCION CIUDADANA DE CASTILLA LA MANCHA.</t>
  </si>
  <si>
    <t>SJMA</t>
  </si>
  <si>
    <t>020193</t>
  </si>
  <si>
    <t>ACCESO AL SERVICIO PARA PERSONAS CON DISCAPACIDAD AUDITIVA Y/O DEL LENGUAJE EN EL DISPOSITIVO DE ATENCIÓN ESPECÍFICO DEL 112 DE CASTILLA-LA MANCHA</t>
  </si>
  <si>
    <t>15 DÍAS HÁBILES</t>
  </si>
  <si>
    <t>SJRU</t>
  </si>
  <si>
    <t>020201</t>
  </si>
  <si>
    <t>REGISTRO  DE PROFESORADO COLABORADOR DE LA ESCUELA DE LA ADMINISTRACIÓN REGIONAL DE CASTILLA-LA MANCHA</t>
  </si>
  <si>
    <t>SJPT</t>
  </si>
  <si>
    <t>020202</t>
  </si>
  <si>
    <t>ANOTACION EN EL REGISTRO DE POLICIAS LOCALES DE LA COMUNIDAD AUTONOMA DE CASTILLA-LA MANCHA DE TITULACIONES ACADEMICAS O FORMACION PROFESIONAL A PETICION DE INTERESADO</t>
  </si>
  <si>
    <t>SJRT</t>
  </si>
  <si>
    <t>020215</t>
  </si>
  <si>
    <t>ACCESO AL SERVICIO 012 PARA PERSONAS CON DISCAPACIDAD AUDITIVA Y/O DEL LENGUAJE</t>
  </si>
  <si>
    <t>SK1P</t>
  </si>
  <si>
    <t>020217</t>
  </si>
  <si>
    <t>INSCRIPCION O CANCELACION EN EL REGISTRO DE INTERDICCION DE ACCESO AL JUEGO</t>
  </si>
  <si>
    <t>SK3T</t>
  </si>
  <si>
    <t>020218</t>
  </si>
  <si>
    <t>REGISTRO FESTEJOS TAURINOS TRADICIONALES</t>
  </si>
  <si>
    <t>SK5U</t>
  </si>
  <si>
    <t>020221</t>
  </si>
  <si>
    <t>DEPOSITO DEL  PLAN DE ACTUACION Y CUENTAS ANUALES DE LA FUNDACION  Y LEGALIZACION DE LIBROS.</t>
  </si>
  <si>
    <t>LEGALIZACIÓN DE LIBROS: QUINCE DÍAS SIGUIENTES A LA PRESENTACIÓN DE LA SOLICITUD.</t>
  </si>
  <si>
    <t>SJO1</t>
  </si>
  <si>
    <t>020228</t>
  </si>
  <si>
    <t>RENDICION DE CUENTAS POR ASOCIACIONES DECLARADAS DE UTILIDAD PUBLICA</t>
  </si>
  <si>
    <t>SKDF</t>
  </si>
  <si>
    <t>025130</t>
  </si>
  <si>
    <t>SOLICITUDES DE INSCRIPCION EN EL REGISTRO DE MEDIADORES DE SEGUROS DE CASTILLA-LA MANCHA</t>
  </si>
  <si>
    <t>SJ65</t>
  </si>
  <si>
    <t>025131</t>
  </si>
  <si>
    <t>PROCEDIMIENTOS DE MODIFICACION Y CERTIFICACION DE DATOS REGISTRALES</t>
  </si>
  <si>
    <t>SJ64</t>
  </si>
  <si>
    <t>025152</t>
  </si>
  <si>
    <t>ALTA DE FACTURA ELECTRONICA DE LA JUNTA DE CASTILLA-LA MANCHA</t>
  </si>
  <si>
    <t>INTERVENCION GENERAL DE LA JUNTA DE COMUNIDADES - CONSEJERIA DE HACIENDA Y ADMINISTRACIONES PUBLICAS</t>
  </si>
  <si>
    <t>SJJ7</t>
  </si>
  <si>
    <t>025569</t>
  </si>
  <si>
    <t>CANCELACION DE LOS DATOS INSCRITOS EN EL REGISTRO DE PLANES DE AUTOPROTECCION DE CASTILLA-LA MANCHA</t>
  </si>
  <si>
    <t>SK73</t>
  </si>
  <si>
    <t>025570</t>
  </si>
  <si>
    <t>MODIFICACION DE LOS DATOS INSCRITOS EN EL REGISTRO DE PLANES DE AUTOPROTECCION DE CASTILLA-LA MANCHA</t>
  </si>
  <si>
    <t>SK72</t>
  </si>
  <si>
    <t>025571</t>
  </si>
  <si>
    <t>INSCRIPCION EN EL REGISTRO DE PLANES DE AUTOPROTECCION DE CASTILLA-LA MANCHA</t>
  </si>
  <si>
    <t>SK6W</t>
  </si>
  <si>
    <t>030089</t>
  </si>
  <si>
    <t>PREMIOS A LA EXCELENCIA Y CALIDAD DE LOS SERVICIOS PUBLICOS</t>
  </si>
  <si>
    <t>Caducidad</t>
  </si>
  <si>
    <t>SIM8</t>
  </si>
  <si>
    <t>030095</t>
  </si>
  <si>
    <t>AYUDAS PARA ACTUACIONES URGENTES E INCIDENCIAS IMPREVISIBLES CON CARGO AL FONDO REGIONAL DE COOPERACION LOCAL</t>
  </si>
  <si>
    <t>SJ0W</t>
  </si>
  <si>
    <t>030099</t>
  </si>
  <si>
    <t>SUBVENCION DOTACION MEDIOS MATERIALES AGRUPACIONES DE VOLUNTARIOS/AS DE PROTECCION CIVIL</t>
  </si>
  <si>
    <t>SILR</t>
  </si>
  <si>
    <t>030100</t>
  </si>
  <si>
    <t>ACTIVIDADES DE FORMACION INICIAL Y CONTINUA PARA PERSONAL DE POLICIA LOCAL, DE VIGILANCIA MUNICIPAL, BOMBERO/A, TECNICO Y  VOLUNTARIADO DE PROTECCION CIVIL.</t>
  </si>
  <si>
    <t>SILP</t>
  </si>
  <si>
    <t>030545</t>
  </si>
  <si>
    <t>CONDECORACIONES DE AGENTES DE LOS CUERPOS DE POLICIA LOCAL DE CASTILLA-LA MANCHA</t>
  </si>
  <si>
    <t>SK5V</t>
  </si>
  <si>
    <t>030590</t>
  </si>
  <si>
    <t>SUBVENCIONES DIRIGIDAS A LAS ENTIDADES LOCALES DE CASTILLA-LA MANCHA PARA LA ELABORACION DE PLANES DE PROTECCION CIVIL DE AMBITO MUNICIPAL.</t>
  </si>
  <si>
    <t>SKEF</t>
  </si>
  <si>
    <t>030685</t>
  </si>
  <si>
    <t>CONVOCATORIA DE SUBVENCIONES DESTINADAS A LA FINANCIACION DE PLANES DE FORMACION PARA LOS EMPLEADOS PUBLICOS DE LAS ENTIDADES LOCALES EN EL MARCO DEL ACUERDO DE FORMACION PARA EL EMPLEO DE LAS ADMINISTRACIONES PUBLICAS (AFEDAP).</t>
  </si>
  <si>
    <t>ESCUELA DE ADMINISTRACION REGIONAL - DIRECCION GENERAL FUNCION PUBLICA - CONSEJERIA DE HACIENDA Y ADMINISTRACIONES PUBLICAS</t>
  </si>
  <si>
    <t>SKQX</t>
  </si>
  <si>
    <t>030748</t>
  </si>
  <si>
    <t>SOLICITUD CONVOCATORIA EXPRESIONES DE INTERES PARA LA SELECCION Y EJECUCION DE PROYECTOS, EN EL MARCO DEL PROGRAMA OPERATIVO FEDER CASTILLA-LA MANCHA 2014-2020, RELATIVAS A LA ADHESION DE PUNTOS DE INCLUSION DIGITAL DE AMBITO PROVINCIAL.</t>
  </si>
  <si>
    <t>4 M.</t>
  </si>
  <si>
    <t>SKZ1</t>
  </si>
  <si>
    <t>030814</t>
  </si>
  <si>
    <t>SOLICITUD CONVOCATORIA EXPRESIONES DE INTERES PARA LA SELECCION Y EJECUCION DE PROYECTOS, EN EL MARCO DEL PROGRAMA OPERATIVO FEDER CASTILLA-LA MANCHA 2014-2020, RELATIVAS A LA ADHESION DE PUNTOS DE INCLUSION DIGITAL DE AMBITO MUNICIPAL.</t>
  </si>
  <si>
    <t>SL5S</t>
  </si>
  <si>
    <t>030937</t>
  </si>
  <si>
    <t>USO DE LA GALERIA DE LA ESCUELA DE PROTECCION CIUDADANA DE CASTILLA-LA MANCHA, PARA REALIZAR PRACTICAS DE TIRO POLICIAL.</t>
  </si>
  <si>
    <t>SK77</t>
  </si>
  <si>
    <t>040073</t>
  </si>
  <si>
    <t>APROBACION DE ESCUDOS HERALDICOS DE MUNICIPIOS</t>
  </si>
  <si>
    <t>9 MESES</t>
  </si>
  <si>
    <t>SJ8P</t>
  </si>
  <si>
    <t>040074</t>
  </si>
  <si>
    <t>APROBACION DE EXENCIÓN DE OBLIGACION DE MANTENIMIENTO DEL PUESTO DE SECRETARIA DE CORPORACIONES LOCALES</t>
  </si>
  <si>
    <t>SJ8L</t>
  </si>
  <si>
    <t>040075</t>
  </si>
  <si>
    <t>CONSTITUCION Y DISOLUCION DE ENTIDADES DE AMBITO TERRITORIAL INFERIOR AL MUNICIPIO (ENTIDADES LOCALES MENORES)</t>
  </si>
  <si>
    <t>N069, S069</t>
  </si>
  <si>
    <t>040076</t>
  </si>
  <si>
    <t>CREACION Y CLASIFICACION DE PUESTOS DE TRABAJO RESERVADOS A FUNCIONARIOS DE ADMINISTRACION LOCAL CON HABILITACION DE CARÁCTER ESTATAL</t>
  </si>
  <si>
    <t>SJ8J</t>
  </si>
  <si>
    <t>040077</t>
  </si>
  <si>
    <t>DECLARACION DE URGENTE OCUPACION DE BIENES Y DERECHOS AFECTADOS POR EXPROPIACION FORZOSA EN EXPEDIENTES INSTRUIDOS POR CORPORACIONES LOCALES</t>
  </si>
  <si>
    <t>SE98</t>
  </si>
  <si>
    <t>040084</t>
  </si>
  <si>
    <t>APROBACION DE LA DESAFECTACION DE BIENES COMUNALES DE LAS CORPORACIONES LOCALES</t>
  </si>
  <si>
    <t>SJ8B</t>
  </si>
  <si>
    <t>040085</t>
  </si>
  <si>
    <t>CONDECORACIONES EN MATERIA DE PROTECCION CIVIL DE LA COMUNIDAD AUTONOMA DE CASTILLA-LA MANCHA</t>
  </si>
  <si>
    <t>SILS</t>
  </si>
  <si>
    <t>040169</t>
  </si>
  <si>
    <t>EMISION DE CERTIFICADO DE ESTAR AL CORRIENTE DE LAS OBLIGACIONES TRIBUTARIAS</t>
  </si>
  <si>
    <t>- CERTIFICADO PARA CONTRATOS, SUBVENCIONES O DEUDAS EN EJECUTIVA, 20 DÍAS, SALVO QUE LA NORMATIVA ESTABLEZCA OTRO INFERIOR. _x000D_
- CERTIFICADOS DE ADQUISICIÓN DE EXPLOTACIONES, 3 MESES.</t>
  </si>
  <si>
    <t>NIM1, SIM1</t>
  </si>
  <si>
    <t>040183</t>
  </si>
  <si>
    <t>SOLICITUDES DE INFORMACION RELATIVAS A INCIDENTES GESTIONADOS EN EL SERVICIO DE EMERGENCIAS 112 DE CASTILLA-LA MANCHA</t>
  </si>
  <si>
    <t>QUINCE DÍAS HÁBILES, SEGÚN LO DISPUESTO EN LA CARTA DE SERVICIOS.</t>
  </si>
  <si>
    <t>SJR8</t>
  </si>
  <si>
    <t>040219</t>
  </si>
  <si>
    <t>DECLARACIÓN DE UTILIDAD PÚBLICA (ASOCIACIONES)</t>
  </si>
  <si>
    <t>SJ7T</t>
  </si>
  <si>
    <t>040220</t>
  </si>
  <si>
    <t>LEGALIZACION DE FIRMAS</t>
  </si>
  <si>
    <t>SJNS</t>
  </si>
  <si>
    <t>040222</t>
  </si>
  <si>
    <t>REMISIÓN ELECTRÓNICA DE ACTOS Y ACUERDOS DE LAS ENTIDADES LOCALES A LA ADMINISTRACIÓN DE LA JUNTA DE COMUNIDADES DE CASTILLA-LA MANCHA</t>
  </si>
  <si>
    <t>SJUX</t>
  </si>
  <si>
    <t>040241</t>
  </si>
  <si>
    <t>OBTENCION PUBLICIDAD REGISTRAL FUNDACIONES</t>
  </si>
  <si>
    <t>SK0Y</t>
  </si>
  <si>
    <t>040248</t>
  </si>
  <si>
    <t>APROBACION DE CONSTITUCION DE AGRUPACIONES DE MUNICIPIOS PARA EL MANTENIMIENTO DE PUESTO DE SECRETARIO</t>
  </si>
  <si>
    <t>NC04, SC04</t>
  </si>
  <si>
    <t>040254</t>
  </si>
  <si>
    <t>DECLARACION RESPONSABLE DE COMBINACION ALEATORIA</t>
  </si>
  <si>
    <t>DK3V</t>
  </si>
  <si>
    <t>040262</t>
  </si>
  <si>
    <t>SOLICITUD DE INFORMACION SOBRE EL VALOR A EFECTOS FISCALES DE BIENES RUSTICOS</t>
  </si>
  <si>
    <t>SK8K</t>
  </si>
  <si>
    <t>040265</t>
  </si>
  <si>
    <t>CERTIFICADO  DE DENOMINACION NEGATIVA DE LA FUNDACION</t>
  </si>
  <si>
    <t>S355</t>
  </si>
  <si>
    <t>040284</t>
  </si>
  <si>
    <t>OBTENCION DE PUBLICIDAD REGISTRAL SOBRE ASOCIACIONES</t>
  </si>
  <si>
    <t>SKDE</t>
  </si>
  <si>
    <t>040285</t>
  </si>
  <si>
    <t>CERTIFICACIONES ACREDITATIVAS DE FORMACION DE CONSUMIDORES RECONOCIDOS COMO EXPERTOS</t>
  </si>
  <si>
    <t>PLAZO PARA CERTIFICACIONES, DIEZ DÍAS.</t>
  </si>
  <si>
    <t>SKDL</t>
  </si>
  <si>
    <t>040286</t>
  </si>
  <si>
    <t>CONVALIDACION DE CERTIFICACIONES ACREDITATIVAS DE FORMACION DE CONSUMIDORES RECONOCIDOS COMO EXPERTOS DE OTRA PROVINCIA U OTRA ADMINISTRACION.</t>
  </si>
  <si>
    <t>SKDM</t>
  </si>
  <si>
    <t>040287</t>
  </si>
  <si>
    <t>ENTIDADES EXTERNAS DE FORMACION DE CONSUMIDORES RECONOCIDOS COMO EXPERTOS</t>
  </si>
  <si>
    <t>SKDN</t>
  </si>
  <si>
    <t>040306</t>
  </si>
  <si>
    <t>ACREDITACION DEL CUMPLIMIENTO DEL REQUISITO EXIGIDO POR EL ARTICULO.13.5 DE LA LEY ORGANICA 1/1996, DE 15 DE ENERO, DE PROTECCION JURIDICA DEL MENOR, MEDIANTE CERTIFICACION DEL REGISTRO CENTRAL DE DELINCUENTES SEXUALES</t>
  </si>
  <si>
    <t>SKN8</t>
  </si>
  <si>
    <t>040329</t>
  </si>
  <si>
    <t>OBTENCION CERTIFICADO DE EMPLEADA Y EMPLEADO PUBLICO</t>
  </si>
  <si>
    <t>SK0N</t>
  </si>
  <si>
    <t>045322</t>
  </si>
  <si>
    <t>INFORME, SOBRE EXISTENCIA DE FUNCIONARIO/A CON HABILITACION DE CARACTER ESTATAL INTERESADO/A EN LA PROVISION DEL PUESTO DE TRABAJO, PARA NOMBRAMIENTO ACCIDENTAL</t>
  </si>
  <si>
    <t>SJ8M</t>
  </si>
  <si>
    <t>045323</t>
  </si>
  <si>
    <t>NOMBRAMIENTO PROVISIONAL EN PUESTOS RESERVADOS A FUNCIONARIOS/AS CON HABILITACION DE CARACTER ESTATAL</t>
  </si>
  <si>
    <t>SJ8O</t>
  </si>
  <si>
    <t>045324</t>
  </si>
  <si>
    <t>COMISION DE SERVICIOS EN PUESTOS RESERVADOS A FUNCIONARIOS/AS CON HABILITACION DE CARACTER ESTATAL</t>
  </si>
  <si>
    <t>SJ8K</t>
  </si>
  <si>
    <t>045523</t>
  </si>
  <si>
    <t>CERTIFICADO DE LOS CURSOS IMPARTIDOS EN LA ESCUELA DE ADMINISTRACION REGIONAL DE CASTILLA-LA MANCHA.</t>
  </si>
  <si>
    <t>5 DÍAS HÁBILES</t>
  </si>
  <si>
    <t>CKVK</t>
  </si>
  <si>
    <t>045524</t>
  </si>
  <si>
    <t>CERTIFICADO DE LOS CURSOS REALIZADOS O PROMOVIDOS POR LA ESCUELA DE ADMINISTRACION REGIONAL.</t>
  </si>
  <si>
    <t>SK3S</t>
  </si>
  <si>
    <t>045525</t>
  </si>
  <si>
    <t>DECLARACION RESPONSABLE RENOVACION AUTORIZACION DE  JUEGOS PERMANENTES POR CANALES ELECTRONICOS, INFORMATICOS,  TELEMATICOS O INTERACTIVOS.</t>
  </si>
  <si>
    <t>DK3Y</t>
  </si>
  <si>
    <t>045526</t>
  </si>
  <si>
    <t>DECLARACION RESPONSABLE DE MODIFICACION NO SUSTANCIAL DE HOMOLOGACION DE SISTEMAS TECNICOS DE JUEGO POR CANALES ELECTRONICOS, INFORMATICOS, TELEMATICOS O INTERACTIVOS.</t>
  </si>
  <si>
    <t>DK3Z</t>
  </si>
  <si>
    <t>045543</t>
  </si>
  <si>
    <t>DECLARACION RESPONSABLE DE MODIFICACION NO SUSTANCIAL DE HOMOLOGACION DEL MATERIAL DE JUEGO.</t>
  </si>
  <si>
    <t>DK4Z</t>
  </si>
  <si>
    <t>045544</t>
  </si>
  <si>
    <t>DECLARACION RESPONSABLE DE CAMBIO DE TITULAR DE LA AUTORIZACION INSTALACION DE ESTABLECIMIENTOS DE HOSTELERIA O SIMILAR.</t>
  </si>
  <si>
    <t>DK50</t>
  </si>
  <si>
    <t>045545</t>
  </si>
  <si>
    <t>DECLARACION RESPONSABLE DE MODIFICACION  DE LOS SISTEMAS DE INTERCONEXIONADO</t>
  </si>
  <si>
    <t>DK51</t>
  </si>
  <si>
    <t>045546</t>
  </si>
  <si>
    <t>DECLARACION RESPONSABLE DE EMPLAZAMIENTO</t>
  </si>
  <si>
    <t>DK58</t>
  </si>
  <si>
    <t>045547</t>
  </si>
  <si>
    <t>DECLARACION RESPONSABLE DE CELEBRACION DE TORNEOS.</t>
  </si>
  <si>
    <t>DK52</t>
  </si>
  <si>
    <t>045548</t>
  </si>
  <si>
    <t>DECLARACION RESPONSABLE DE PUESTA EN FUNCIONAMIENTO DE ESCUELA DE CRUPIERES</t>
  </si>
  <si>
    <t>DK53</t>
  </si>
  <si>
    <t>045549</t>
  </si>
  <si>
    <t>DATOS ESTADISTICOS EN MATERIA DE JUEGO.</t>
  </si>
  <si>
    <t>DK54</t>
  </si>
  <si>
    <t>045550</t>
  </si>
  <si>
    <t>DECLARACION RESPONSABLE DE BAJA DEFINITIVA DE MAQUINAS DE JUEGO</t>
  </si>
  <si>
    <t>DK4T</t>
  </si>
  <si>
    <t>045551</t>
  </si>
  <si>
    <t>DECLARACION RESPONSABLE DE PUESTA EN FUNCIONAMIENTO</t>
  </si>
  <si>
    <t>DK4U</t>
  </si>
  <si>
    <t>045552</t>
  </si>
  <si>
    <t>DECLARACION RESPONSABLE DE RENOVACION DE LA AUTORIZACION DE  ZONAS DE APUESTAS.</t>
  </si>
  <si>
    <t>DK4V</t>
  </si>
  <si>
    <t>045553</t>
  </si>
  <si>
    <t>DECLARACION RESPONSABLE DE RENOVACION DE LA AUTORIZACION DE EXPLOTACION DE MAQUINAS DE JUEGO</t>
  </si>
  <si>
    <t>DK4W</t>
  </si>
  <si>
    <t>045554</t>
  </si>
  <si>
    <t>DECLARACION RESPONSABLE DE RENOVACION ACTIVIDAD DE EMPRESAS DE JUEGO.</t>
  </si>
  <si>
    <t>DK4X</t>
  </si>
  <si>
    <t>045555</t>
  </si>
  <si>
    <t>DECLARACION RESPONSABLE DE RENOVACION AUTORIZACION LABORATORIO DE ENSAYO</t>
  </si>
  <si>
    <t>DK4Y</t>
  </si>
  <si>
    <t>045844</t>
  </si>
  <si>
    <t>CONTROL FINANCIERO DE OPERACIONES COFINANCIADAS CON FONDOS ESTRUCTURALES Y FEMP.</t>
  </si>
  <si>
    <t>12 MESES</t>
  </si>
  <si>
    <t>MKWG</t>
  </si>
  <si>
    <t>045845</t>
  </si>
  <si>
    <t>CERTIFICACION DE LAS CUENTAS DEL ORGANISMO PAGADOR (FEAGA/FEADER)</t>
  </si>
  <si>
    <t>CKZU</t>
  </si>
  <si>
    <t>045846</t>
  </si>
  <si>
    <t>CONTROL FINANCIERO DE OPERACIONES COFINANCIADAS CON EL FONDO FEAGA.</t>
  </si>
  <si>
    <t>MKX4</t>
  </si>
  <si>
    <t>050001</t>
  </si>
  <si>
    <t>FIJACION DEL JUSTIPRECIO EN EXPROPIACION FORZOSA CUANDO LA ADMINISTRACION EXPROPIANTE SEA JCCM O CUALQUIERA DE LAS DIPUTACIONES O MUNICIPIOS</t>
  </si>
  <si>
    <t>SJPX</t>
  </si>
  <si>
    <t>060004</t>
  </si>
  <si>
    <t>GESTION ELECTRONICA DE LA CONTRATACION</t>
  </si>
  <si>
    <t>SKL7</t>
  </si>
  <si>
    <t>090002</t>
  </si>
  <si>
    <t>TRAMITACION DE INICIATIVAS, QUEJAS Y SUGERENCIAS</t>
  </si>
  <si>
    <t>SIZY</t>
  </si>
  <si>
    <t>090004</t>
  </si>
  <si>
    <t>CONSULTAS GENERICAS A LA JUNTA DE COMUNIDADES DE CASTILLA-LA MANCHA</t>
  </si>
  <si>
    <t>SJH7</t>
  </si>
  <si>
    <t>110006</t>
  </si>
  <si>
    <t>CONCURSO GENERAL DE MERITOS DE PERSONAL FUNCIONARIO.</t>
  </si>
  <si>
    <t>8 MESES DESDE LA PUBLICACIÓN.</t>
  </si>
  <si>
    <t>RIW5, SIW5</t>
  </si>
  <si>
    <t>110007</t>
  </si>
  <si>
    <t>NOMBRAMIENTO DE FUNCIONARIOS DE NUEVO INGRESO DE LA JUNTA DE COMUNIDADES Y PETICION DE DESTINO</t>
  </si>
  <si>
    <t>SIHJ</t>
  </si>
  <si>
    <t>110009</t>
  </si>
  <si>
    <t>OFERTA A PERSONAL DE BOLSA DE TRABAJO DE FUNCIONARIOS INTERINOS</t>
  </si>
  <si>
    <t>1 DÍA</t>
  </si>
  <si>
    <t>SJOX</t>
  </si>
  <si>
    <t>110011</t>
  </si>
  <si>
    <t>SELECCIÓN PARA LISTA DE ESPERA DE FUNCIONARIOS DE ADMINISTRACION LOCAL CON HABILITACION DE CARÁCTER ESTATAL: SUBESCALA DE SECRETARIA-INTERVENCION</t>
  </si>
  <si>
    <t>SJ8U</t>
  </si>
  <si>
    <t>110027</t>
  </si>
  <si>
    <t>CONVOCATORIA  PROCESO SELECTIVO PARA EL INGRESO POR EL SISTEMA GENERAL DE ACCESO LIBRE, EN LA ESCALA SUPERIOR DE LETRADOS DE LA ADMINISTRACION DE LA JUNTA DE COMUNIDADES DE CASTILLA-LA MANCHA.</t>
  </si>
  <si>
    <t>SEGÚN CONVOCATORIA</t>
  </si>
  <si>
    <t>SIXF</t>
  </si>
  <si>
    <t>110035</t>
  </si>
  <si>
    <t>CONVOCATORIA   PROCESO SELECTIVO PARA EL INGRESO POR EL SISTEMA GENERAL DE ACCESO LIBRE Y DE PERSONAS CON DISCAPACIDAD, CUERPO SUPERIOR DE LA ADMINISTRACION DE LA JUNTA DE COMUNIDADES DE CASTILLA-LA MANCHA, ESCALA SUPERIOR DE SANITARIOS LOCALES: VETERINARIA Y  FARMACIA.</t>
  </si>
  <si>
    <t>SE05</t>
  </si>
  <si>
    <t>110042</t>
  </si>
  <si>
    <t>PROCESO SELECTIVO PARA EL INGRESO POR EL SISTEMA DE ACCESO LIBRE EN LA ESCALA BASICA, CATEGORIA DE POLICIA, DE LOS CUERPOS DE POLICIA LOCAL DE CASTILLA-LA MANCHA</t>
  </si>
  <si>
    <t>SLFA</t>
  </si>
  <si>
    <t>110050</t>
  </si>
  <si>
    <t>PROCESOS SELECTIVOS PARA EL ACCESO DE PERSONAS CON DISCAPACIDAD INTELECTUAL EN EL CUERPO AUXILIAR ADMINISTRATIVO Y EN LA ESCALA AUXILIAR DE ARCHIVOS Y BIBLIOTECAS DE PERSONAL FUNCIONARIO.</t>
  </si>
  <si>
    <t>SLIL</t>
  </si>
  <si>
    <t>110051</t>
  </si>
  <si>
    <t>PROCESOS SELECTIVOS PARA EL ACCESO DE PERSONAS CON DISCAPACIDAD INTELECTUAL EN LAS CATEGORIAS PROFESIONALES DE PERSONAL DE LIMPIEZA Y SERVICIOS DOMESTICOS Y PEON ESPECIALISTA DE PERSONAL LABORAL.</t>
  </si>
  <si>
    <t>SLIN</t>
  </si>
  <si>
    <t>110055</t>
  </si>
  <si>
    <t>PROCESO SELECTIVO PARA LA AMPLIACION DE LA BOLSA DE TRABAJO DE PERSONAL FUNCIONARIO DEL CUERPO SUPERIOR ESPECIALIDAD JURIDICA</t>
  </si>
  <si>
    <t>SLKW</t>
  </si>
  <si>
    <t>110056</t>
  </si>
  <si>
    <t>PROCESO SELECTIVO PARA LA AMPLIACION DE LA BOLSA DE TRABAJO DE PERSONAL FUNCIONARIO DEL CUERPO TECNICO ESPECIALIDAD GESTION ADMINISTRATIVA.</t>
  </si>
  <si>
    <t>SLKY</t>
  </si>
  <si>
    <t>110094</t>
  </si>
  <si>
    <t>PROCESO SELECTIVO PARA LA AMPLIACION DE LA LISTA DE ESPERA REGIONAL PARA NOMBRAMIENTOS DE INTERVENCION-TESORERIA, CATEGORIA DE ENTRADA,  EN REGIMEN DE INTERINIDAD.</t>
  </si>
  <si>
    <t>SLWD</t>
  </si>
  <si>
    <t>110095</t>
  </si>
  <si>
    <t>PROCESO SELECTIVO PARA LA AMPLIACION DE LA LISTA DE ESPERA REGIONAL PARA NOMBRAMIENTOS DE SECRETARIA, CATEGORIA DE ENTRADA EN REGIMEN DE INTERINIDAD.</t>
  </si>
  <si>
    <t>SLWE</t>
  </si>
  <si>
    <t>115365</t>
  </si>
  <si>
    <t>PROCESOS SELECTIVOS PERSONAL FUNCIONARIO O LABORAL</t>
  </si>
  <si>
    <t>SIAE</t>
  </si>
  <si>
    <t>115366</t>
  </si>
  <si>
    <t>VERIFICAR LA IDENTIDAD DE LAS PERSONAS QUE INGRESAN EN LA ADMINISTRACION MEDIANTE PROCESO SELECTIVO</t>
  </si>
  <si>
    <t>SJNR</t>
  </si>
  <si>
    <t>115367</t>
  </si>
  <si>
    <t>CONVOCATORIA PROCESOS SELECTIVOS PARA LA COBERTURA, CON CARACTER FIJO Y POR EL SISTEMA GENERAL ACCESO DE PERSONAS CON DISCAPACIDAD, DE VACANTES  CORRESPONDIENTES A LA PLANTILLA DE PERSONAL LABORAL.</t>
  </si>
  <si>
    <t>SJOY</t>
  </si>
  <si>
    <t>115368</t>
  </si>
  <si>
    <t>CONVOCATORIA PROCESOS SELECTIVOS PARA LA COBERTURA, CON CARACTER FIJO Y POR EL SISTEMA DE PROMOCION INTERNA DE PUESTOS VACANTES CORRESPONDIENTES A LA PLANTILLA DE PERSONAL LABORAL.</t>
  </si>
  <si>
    <t>SIGO</t>
  </si>
  <si>
    <t>115369</t>
  </si>
  <si>
    <t>CONVOCATORIA PROCESOS SELECTIVOS PARA LA COBERTURA, CON CARACTER FIJO Y POR EL SISTEMA GENERAL DE ACCESO LIBRE, DE PUESTOS VACANTES CORRESPONDIENTES A LA PLANTILLA DE PERSONAL LABORAL.</t>
  </si>
  <si>
    <t>SF11</t>
  </si>
  <si>
    <t>115370</t>
  </si>
  <si>
    <t>CONVOCATORIAS  PROCESOS  SELECTIVOS PARA EL INGRESO POR EL SISTEMA GENERAL DE ACCESO LIBRE EN LOS CUERPOS Y ESCALAS DEL PERSONAL FUNCIONARIO.</t>
  </si>
  <si>
    <t>S598</t>
  </si>
  <si>
    <t>115371</t>
  </si>
  <si>
    <t>CONVOCATORIAS  PROCESOS  SELECTIVOS PARA EL INGRESO POR EL SISTEMA GENERAL DE ACCESO DE PERSONAS CON DISCAPACIDAD  EN LOS CUERPOS Y ESCALAS DEL PERSONAL FUNCIONARIO.</t>
  </si>
  <si>
    <t>SJJ4</t>
  </si>
  <si>
    <t>115372</t>
  </si>
  <si>
    <t>CONVOCATORIAS  PROCESOS  SELECTIVOS PARA EL INGRESO POR EL SISTEMA  DE PROMOCION INTERNA DIRECTA EN EL PUESTO  EN LOS CUERPOS Y ESCALAS DEL PERSONAL FUNCIONARIO.</t>
  </si>
  <si>
    <t>SI12</t>
  </si>
  <si>
    <t>115373</t>
  </si>
  <si>
    <t>SOLICITUD DE DESTINOS PROCESOS SELECTIVOS LABORALES.</t>
  </si>
  <si>
    <t>SH71</t>
  </si>
  <si>
    <t>115683</t>
  </si>
  <si>
    <t>PROCESO SELECTIVO PARA LA AMPLIACION DE LA LISTA DE ESPERA REGIONAL PARA NOMBRAMIENTOS DE SECRETARIA-INTERVENCION EN REGIMEN DE INTERINIDAD.</t>
  </si>
  <si>
    <t>SKK4</t>
  </si>
  <si>
    <t>120053</t>
  </si>
  <si>
    <t>PROTOCOLO DE ACTUACION PARA LA PROTECCION FRENTE A RIESGOS LABORALES DE LAS TRABAJADORAS EN ESTADO DE GESTACION, MATERNIDAD RECIENTE Y/O PERIODO DE LACTANCIA NATURAL</t>
  </si>
  <si>
    <t>SL5V</t>
  </si>
  <si>
    <t>130008</t>
  </si>
  <si>
    <t>RECLAMACION DE RESPONSABILIDAD PATRIMONIAL DE LA CONSEJERIA DE HACIENDA Y ADMINISTRACIONES PUBLICAS</t>
  </si>
  <si>
    <t>SEIS MESES. EN CASO DE TRAMITACIÓN SIMPLIFICADA, 30 DÍAS.</t>
  </si>
  <si>
    <t>RLY7</t>
  </si>
  <si>
    <t>140012</t>
  </si>
  <si>
    <t>RECURSO DE ALZADA ANTE ORGANOS DE LA ADMINISTRACION DE LA JCCM</t>
  </si>
  <si>
    <t>RKGU</t>
  </si>
  <si>
    <t>140013</t>
  </si>
  <si>
    <t>RECURSO DE REPOSICION ANTE ORGANOS DE LA ADMINISTRACION DE LA JUNTA Y SUS ORGANISMOS AUTONOMOS. (EXCEPTO EN MATERIA TRIBUTARIA)</t>
  </si>
  <si>
    <t>RKGW</t>
  </si>
  <si>
    <t>140024</t>
  </si>
  <si>
    <t>RECURSO EXTRAORDINARIO DE REVISION ANTE ORGANOS DE LA ADMINISTRACION DE LA JUNTA Y SUS ORGANISMOS AUTONOMOS.</t>
  </si>
  <si>
    <t>RKQT</t>
  </si>
  <si>
    <t>145459</t>
  </si>
  <si>
    <t>RECLAMACION CONTRA LA ADJUDICACION PROVISIONAL DE DESTINOS DEL CONCURSO SINGULARIZADO DE MERITOS ESCALAS SUPERIOR Y TECNICA DE ARCHIVOS, BIBLIOTECAS Y MUSEOS</t>
  </si>
  <si>
    <t>8 MESES</t>
  </si>
  <si>
    <t>SK94</t>
  </si>
  <si>
    <t>150022</t>
  </si>
  <si>
    <t>ADHESION AL CONVENIO DE COLABORACION AGE-JCCM PARA LA PRESTACION MUTUA DE SOLUCIONES BASICAS DE ADMINISTRACION ELECTRONICA</t>
  </si>
  <si>
    <t>SKJO</t>
  </si>
  <si>
    <t>150025</t>
  </si>
  <si>
    <t>PROCEDIMIENTO DE ADHESION DE LAS ENTIDADES LOCALES DE CASTILLA-LA MANCHA A LA PLATAFORMA GEISER / ORVE, COMO MECANISMO DE ACCESO AL REGISTRO ELECTRONICO Y AL SIR</t>
  </si>
  <si>
    <t>SKTQ</t>
  </si>
  <si>
    <t>170001</t>
  </si>
  <si>
    <t>IMPUESTO SOBRE DETERMINADAS ACTIVIDADES QUE INCIDEN EN EL MEDIO AMBIENTE</t>
  </si>
  <si>
    <t>0</t>
  </si>
  <si>
    <t>SIII</t>
  </si>
  <si>
    <t>170002</t>
  </si>
  <si>
    <t>TASA FISCAL SOBRE EL JUEGO</t>
  </si>
  <si>
    <t>SILU</t>
  </si>
  <si>
    <t>170003</t>
  </si>
  <si>
    <t>IMPUESTO SOBRE TRANSMISIONES PATRIMONIALES Y ACTOS JURIDICOS DOCUMENTADOS: OPERACIONES SOCIETARIAS</t>
  </si>
  <si>
    <t>SILW</t>
  </si>
  <si>
    <t>170004</t>
  </si>
  <si>
    <t>TASA FISCAL SOBRE RIFAS, TÓMBOLAS, APUESTAS Y COMBINACIONES ALEATORIAS</t>
  </si>
  <si>
    <t>SILX</t>
  </si>
  <si>
    <t>170007</t>
  </si>
  <si>
    <t>IMPUESTO SOBRE TRANSMISIONES PATRIMONIALES Y ACTOS JURIDICOS DOCUMENTADOS: ACTOS JURIDICOS DOCUMENTADOS</t>
  </si>
  <si>
    <t>SIM0</t>
  </si>
  <si>
    <t>170008</t>
  </si>
  <si>
    <t>TRANSMISIONES PATRIMONIALES ONEROSAS</t>
  </si>
  <si>
    <t>SIM3</t>
  </si>
  <si>
    <t>170013</t>
  </si>
  <si>
    <t>IMPUESTO SOBRE SUCESIONES Y DONACIONES: SUCESIONES-AUTOLIQUIDACIONES DE SUCESIONES</t>
  </si>
  <si>
    <t>SJP5</t>
  </si>
  <si>
    <t>170014</t>
  </si>
  <si>
    <t>IMPUESTO SOBRE SUCESIONES Y DONACIONES: DONACIONES- AUTOLIQUIDACIÓN DE DONACIONES</t>
  </si>
  <si>
    <t>SJP6</t>
  </si>
  <si>
    <t>170020</t>
  </si>
  <si>
    <t>DEVOLUCION DE INGRESOS INDEBIDOS</t>
  </si>
  <si>
    <t>SKCJ</t>
  </si>
  <si>
    <t>170024</t>
  </si>
  <si>
    <t>RECURSO DE REPOSICION CONTRA ACTOS TRIBUTARIOS Y RECAUDATORIOS</t>
  </si>
  <si>
    <t>UN MES AMPLIABLE A TRES MESES</t>
  </si>
  <si>
    <t>NKN4, SKN4</t>
  </si>
  <si>
    <t>170025</t>
  </si>
  <si>
    <t>COMPENSACION DE DEUDAS</t>
  </si>
  <si>
    <t>NKN5, SKN5</t>
  </si>
  <si>
    <t>170026</t>
  </si>
  <si>
    <t>TASACION PERICIAL CONTRADICTORIA</t>
  </si>
  <si>
    <t>NKN6, SKN6</t>
  </si>
  <si>
    <t>170027</t>
  </si>
  <si>
    <t>RECURSO DE EJECUCION ECONOMICO-ADMINISTRATIVO EN MATERIA DE TRIBUTOS CEDIDOS.</t>
  </si>
  <si>
    <t>LA DURACIÓN DEL PROCEDIMIENTO SERÁ DE UN AÑO</t>
  </si>
  <si>
    <t>SKNY</t>
  </si>
  <si>
    <t>170028</t>
  </si>
  <si>
    <t>RECLAMACION ECONOMICO ADMINISTRATIVA EN MATERIA DE TRIBUTOS CEDIDOS.</t>
  </si>
  <si>
    <t>LA DURACIÓN DEL PROCEDIMIENTO EN CUALQUIERA DE SUS INSTANCIAS SERÁ DE UN AÑO CONTADO DESDE LA INTERPOSICIÓN DE LA RECLAMACIÓN.</t>
  </si>
  <si>
    <t>SKNZ</t>
  </si>
  <si>
    <t>170031</t>
  </si>
  <si>
    <t>RECLAMACION ECONOMICO ADMINISTRATIVA CONTRA ACTOS TRIBUTARIOS O RECAUDATORIOS EN MATERIA DE RECURSOS PROPIOS (EXCEPTO TRIBUTOS CEDIDOS)</t>
  </si>
  <si>
    <t>SKOU</t>
  </si>
  <si>
    <t>170037</t>
  </si>
  <si>
    <t>ADHESION INDIVIDUALIZADA A UN ACUERDO O CONVENIO DE COLABORACION SOCIAL EN LA APLICACION DE LOS TRIBUTOS</t>
  </si>
  <si>
    <t>SL9U</t>
  </si>
  <si>
    <t>175578</t>
  </si>
  <si>
    <t>INFORMACION SOBRE EL VALOR A EFECTOS FISCALES DE EDIFICACIONES</t>
  </si>
  <si>
    <t>SK87</t>
  </si>
  <si>
    <t>175579</t>
  </si>
  <si>
    <t>INFORMACION SOBRE EL VALOR A EFECTOS FISCALES DE SUELOS SIN EDIFICAR</t>
  </si>
  <si>
    <t>SK88</t>
  </si>
  <si>
    <t>175619</t>
  </si>
  <si>
    <t>APLAZAMIENTO O FRACCIONAMIENTO DEL PAGO DE DEUDAS DERIVADAS DE TRIBUTOS CEDIDOS</t>
  </si>
  <si>
    <t>SKEB</t>
  </si>
  <si>
    <t>175620</t>
  </si>
  <si>
    <t>APLAZAMIENTO O FRACCIONAMIENTO DEL PAGO DE DEUDAS (EXCEPTO TRIBUTOS CEDIDOS)</t>
  </si>
  <si>
    <t>SKEC</t>
  </si>
  <si>
    <t>180001</t>
  </si>
  <si>
    <t>CURSOS DE FORMACION A DISTANCIA Y ON LINE</t>
  </si>
  <si>
    <t>1 año</t>
  </si>
  <si>
    <t>SJ0K</t>
  </si>
  <si>
    <t>180003</t>
  </si>
  <si>
    <t>CONVOCATORIA DEL PROGRAMA DE FORMACION EN IDIOMAS DENTRO DEL PLAN DE FORMACION PARA LOS EMPLEADOS PUBLICOS DE LA ADMINISTRACION DE LA JUNTA DE COMUNIDADES DE CASTILLA-LA MANCHA</t>
  </si>
  <si>
    <t>LAS SOLICITUDES SERÁN RESUELTAS Y NOTIFICADAS EN EL PLAZO MÍNIMO DE LOS DIEZ DÍAS NATURALES ANTERIORES AL INICIO DE LA ACCIÓN FORMATIVA, SALVO CUANDO LA SELECCIÓN DE UNA PERSONA PARTICIPANTE SE DEBA A LA RENUNCIA DE OTRA PERSONA PREVIAMENTE SELECCIONADA.</t>
  </si>
  <si>
    <t>NF25, SF25</t>
  </si>
  <si>
    <t>180005</t>
  </si>
  <si>
    <t>CURSOS DE OFIMATICA</t>
  </si>
  <si>
    <t>1 AÑO</t>
  </si>
  <si>
    <t>SF29</t>
  </si>
  <si>
    <t>180006</t>
  </si>
  <si>
    <t>CURSOS DE PERFECCIONAMIENTO GENERAL</t>
  </si>
  <si>
    <t>SF26</t>
  </si>
  <si>
    <t>180009</t>
  </si>
  <si>
    <t>RECONOCIMIENTO DE SERVICIOS PREVIOS</t>
  </si>
  <si>
    <t>NF31, SF31</t>
  </si>
  <si>
    <t>180011</t>
  </si>
  <si>
    <t>RECONOCIMIENTO DE TRIENIOS</t>
  </si>
  <si>
    <t>NF35, SF35</t>
  </si>
  <si>
    <t>180018</t>
  </si>
  <si>
    <t>EXCEDENCIA POR CUIDADO DE FAMILIARES PERSONAL FUNCIONARIO</t>
  </si>
  <si>
    <t>NF46, SF46</t>
  </si>
  <si>
    <t>180019</t>
  </si>
  <si>
    <t>EXCEDENCIA VOLUNTARIA POR AGRUPACION FAMILIAR PERSONAL FUNCIONARIO</t>
  </si>
  <si>
    <t>NF45, SF45</t>
  </si>
  <si>
    <t>180020</t>
  </si>
  <si>
    <t>EXCEDENCIA VOLUNTARIA POR INTERES PARTICULAR PERSONAL FUNCIONARIO</t>
  </si>
  <si>
    <t>NF44, SF44</t>
  </si>
  <si>
    <t>180021</t>
  </si>
  <si>
    <t>EXCEDENCIA VOLUNTARIA POR PRESTACION DE SERVICIOS EN EL SECTOR PUBLICO PERSONAL FUNCIONARIO</t>
  </si>
  <si>
    <t>SF43</t>
  </si>
  <si>
    <t>180027</t>
  </si>
  <si>
    <t>JUBILACION ANTICIPADA VOLUNTARIA PERSONAL FUNCIONARIO REGIMEN SEGURIDAD SOCIAL</t>
  </si>
  <si>
    <t>NF58, SF58</t>
  </si>
  <si>
    <t>180030</t>
  </si>
  <si>
    <t>RECONOCIMIENTO DE GRADO PERSONAL FUNCIONARIO</t>
  </si>
  <si>
    <t>NF52, SF52</t>
  </si>
  <si>
    <t>180031</t>
  </si>
  <si>
    <t>REINGRESO A SERVICIO ACTIVO CON RESERVA DE PLAZA PERSONAL FUNCIONARIO</t>
  </si>
  <si>
    <t>NF33, SF33</t>
  </si>
  <si>
    <t>180032</t>
  </si>
  <si>
    <t>SITUACION DE SERVICIOS ESPECIALES PERSONAL FUNCIONARIO</t>
  </si>
  <si>
    <t>NF49, SF49</t>
  </si>
  <si>
    <t>180033</t>
  </si>
  <si>
    <t>DECLARACION DE PRESTACION DE SERVICIOS EN OTRA ADMINISTRACION PUBLICA PERSONAL FUNCIONARIO</t>
  </si>
  <si>
    <t>NF41, SF41</t>
  </si>
  <si>
    <t>180065</t>
  </si>
  <si>
    <t>REINGRESO A SERVICIO ACTIVO SIN RESERVA DE PLAZA PERSONAL FUNCIONARIO</t>
  </si>
  <si>
    <t>SJSL</t>
  </si>
  <si>
    <t>180066</t>
  </si>
  <si>
    <t>EXCEDENCIA VOLUNTARIA POR INTERES PARTICULAR DE PERSONAL LABORAL FIJO</t>
  </si>
  <si>
    <t>30 DÍAS NATURALES</t>
  </si>
  <si>
    <t>SJSM</t>
  </si>
  <si>
    <t>180067</t>
  </si>
  <si>
    <t>EXCEDENCIA VOLUNTARIA POR AGRUPACION FAMILIAR DE PERSONAL LABORAL</t>
  </si>
  <si>
    <t>SJSN</t>
  </si>
  <si>
    <t>180068</t>
  </si>
  <si>
    <t>EXCEDENCIA FORZOSA DE PERSONAL LABORAL</t>
  </si>
  <si>
    <t>SJSO</t>
  </si>
  <si>
    <t>180069</t>
  </si>
  <si>
    <t>EXCEDENCIA POR CUIDADO DE FAMILIARES PERSONAL LABORAL</t>
  </si>
  <si>
    <t>SJSP</t>
  </si>
  <si>
    <t>180070</t>
  </si>
  <si>
    <t>EXCEDENCIA POR INCOMPATIBILIDAD PERSONAL LABORAL FIJO</t>
  </si>
  <si>
    <t>SJSQ</t>
  </si>
  <si>
    <t>180071</t>
  </si>
  <si>
    <t>JUBILACION VOLUNTARIA ANTICIPADA PERSONAL LABORAL</t>
  </si>
  <si>
    <t>SJSR</t>
  </si>
  <si>
    <t>180072</t>
  </si>
  <si>
    <t>JUBILACION PARCIAL DE PERSONAL LABORAL</t>
  </si>
  <si>
    <t>SJSS</t>
  </si>
  <si>
    <t>180074</t>
  </si>
  <si>
    <t>REGULARIZACION DE ANTIGUEDAD</t>
  </si>
  <si>
    <t>NF32, SF32</t>
  </si>
  <si>
    <t>180076</t>
  </si>
  <si>
    <t>OPCION Y SOLICITUD DE INFORME PARA EL CAMBIO DE CATEGORIA DERIVADO DE INCAPACIDAD PERMANENTE TOTAL</t>
  </si>
  <si>
    <t>CONDICIONADO A LA PARTICIPACIÓN EN EL CONCURSO PERMANENTE DE TRASLADOS.</t>
  </si>
  <si>
    <t>SJT9</t>
  </si>
  <si>
    <t>180078</t>
  </si>
  <si>
    <t>ACUMULACION EN PUESTOS RESERVADOS A FUNCIONARIOS CON HABILITACION DE CARACTER ESTATAL</t>
  </si>
  <si>
    <t>SJ8H</t>
  </si>
  <si>
    <t>180084</t>
  </si>
  <si>
    <t>CONCURSO SINGULARIZADO DE MERITOS PARA LA PROVISION DE PUESTOS DE TRABAJO VACANTES EN LA ADMINISTRACION DE LA JUNTA DE COMUNIDADES DE CASTILLA-LA MANCHA.</t>
  </si>
  <si>
    <t>4 MESES (AMPLIACION DE 2 MESES MAS)</t>
  </si>
  <si>
    <t>SJUG</t>
  </si>
  <si>
    <t>180086</t>
  </si>
  <si>
    <t>EXCEDENCIA VOLUNTARIA ESPECIAL DE PERSONAL FUNCIONARIO DE CARRERA</t>
  </si>
  <si>
    <t>SJV3</t>
  </si>
  <si>
    <t>180089</t>
  </si>
  <si>
    <t>PROCEDIMIENTO DE CAMBIO DEL PUESTO DE TRABAJO POR RAZONES DE SALUD Y POSIBILIDAD DE REHABILITACIÓN DEL CÓNYUGE, PAREJA DE HECHO O FAMILIARES A CARGO PERSONAL FUNCIONARIO.</t>
  </si>
  <si>
    <t>SJWS</t>
  </si>
  <si>
    <t>180090</t>
  </si>
  <si>
    <t>PROCEDIMIENTO DE CAMBIO DEL PUESTO DE TRABAJO POR RAZONES DE SALUD Y POSIBILIDAD DE REHABILITACION DEL CONYUGE, PAREJA DE HECHO O FAMILIARES A CARGO PERSONAL LABORAL.</t>
  </si>
  <si>
    <t>SJWT</t>
  </si>
  <si>
    <t>180091</t>
  </si>
  <si>
    <t>ADAPTACIÓN O CAMBIO DE PUESTO DE TRABAJO POR MOTIVOS DE SALUD O REHABILITACIÓN DEL PERSONAL FUNCIONARIO</t>
  </si>
  <si>
    <t>SJWU</t>
  </si>
  <si>
    <t>180092</t>
  </si>
  <si>
    <t>ADAPTACION O CAMBIO DE PUESTO DE TRABAJO POR MOTIVOS DE SALUD O REHABILITACION DEL PERSONAL LABORAL</t>
  </si>
  <si>
    <t>SJWV</t>
  </si>
  <si>
    <t>180095</t>
  </si>
  <si>
    <t>LICENCIA SIN SUELDO (PERSONAL LABORAL)</t>
  </si>
  <si>
    <t>15 DIAS</t>
  </si>
  <si>
    <t>SJXQ</t>
  </si>
  <si>
    <t>180096</t>
  </si>
  <si>
    <t>LICENCIA POR ASUNTOS PROPIOS (PERSONAL FUNCIONARIO)</t>
  </si>
  <si>
    <t>NF55, SF55</t>
  </si>
  <si>
    <t>180098</t>
  </si>
  <si>
    <t>JUBILACION VOLUNTARIA DE CLASES PASIVAS DEL ESTADO</t>
  </si>
  <si>
    <t>SJZ4</t>
  </si>
  <si>
    <t>180101</t>
  </si>
  <si>
    <t>CONCURSO DE TRASLADOS DE PERSONAL LABORAL</t>
  </si>
  <si>
    <t>3 MESES DESDE LA FINALIZACIÓN DEL PLAZO DE PRESENTACIÓN DE SOLICITUDES</t>
  </si>
  <si>
    <t>SG35</t>
  </si>
  <si>
    <t>180111</t>
  </si>
  <si>
    <t>PRELACION CONCURSO ORDINARIO HABILITADOS ESTATALES</t>
  </si>
  <si>
    <t>S649</t>
  </si>
  <si>
    <t>180115</t>
  </si>
  <si>
    <t>ANTICIPO NOMINA PERSONAL FUNCIONARIO</t>
  </si>
  <si>
    <t>SK32</t>
  </si>
  <si>
    <t>180116</t>
  </si>
  <si>
    <t>ANTICIPO NOMINA PERSONAL LABORAL</t>
  </si>
  <si>
    <t>SK33</t>
  </si>
  <si>
    <t>180121</t>
  </si>
  <si>
    <t>EXCEDENCIA VOLUNTARIA ESPECIAL</t>
  </si>
  <si>
    <t>SK3M</t>
  </si>
  <si>
    <t>180124</t>
  </si>
  <si>
    <t>ANULACION CONCURSO TRASLADOS PERSONAL LABORAL</t>
  </si>
  <si>
    <t>SK61</t>
  </si>
  <si>
    <t>180130</t>
  </si>
  <si>
    <t>CONCURSO GENERAL DE MERITOS (CGM F7/2021) PARA PROVISION DE PUESTOS DE TRABAJO VACANTES EN LA JCCM RESERVADOS A LA ESCALA SUPERIOR DE SANITARIOS LOCALES (VETERINARIA Y FARMACIA)</t>
  </si>
  <si>
    <t>6 MESES. ( AMPLIADO POR 10 DÍAS HÁBILES. RES. 19/04/2022)</t>
  </si>
  <si>
    <t>RIK7, SIK7</t>
  </si>
  <si>
    <t>180133</t>
  </si>
  <si>
    <t>CONCURSO GENERAL DE MERITOS (CGM 3/2021) PARA LA PROVISION DE PUESTOS DE TRABAJO VACANTES EN LA ADMINISTRACION DE LA JCCM, RESERVADOS A LA ESCALA SUPERIOR DE LETRADOS.</t>
  </si>
  <si>
    <t>SK8N</t>
  </si>
  <si>
    <t>180137</t>
  </si>
  <si>
    <t>REINGRESO AL SERVICIO ACTIVO DE PERSONAL LABORAL CON RESERVA DE PUESTO PROCEDENTE DE EXCEDENCIA POR CUIDADO DE FAMILIARES, EXCEDENCIA FORZOSA O EXCEDENCIA VOLUNTARIA ESPECIAL.</t>
  </si>
  <si>
    <t>SK9U</t>
  </si>
  <si>
    <t>180138</t>
  </si>
  <si>
    <t>CONVOCATORIA DEL PROGRAMA MODULAR¿MASTER EN ETICA Y DEONTOLOGIA DE LOS SERVIDORES PUBLICOS: PRINCIPIOS FUNDAMENTALES EN LA DIRECCION PUBLICA¿ DENTRO DEL PLAN DE FORMACION PARA EMPLEADOS PUBLICOS DE LA ADMINISTRACION DE LA JUNTA DE COMUNIDADES DE CASTILLA- LA MANCHA PARA EL AÑO 2016</t>
  </si>
  <si>
    <t>UN MES</t>
  </si>
  <si>
    <t>SK9Y</t>
  </si>
  <si>
    <t>180141</t>
  </si>
  <si>
    <t>CONCURSO GENERAL DE MERITOS (F4/2021) PARA LA PROVISION DE PUESTOS DE TRABAJO VACANTES EN LA ADMINISTRACION DE LA JCCM, RESERVADOS A LA ESCALA SUPERIOR DE PREVENCION DE RIESGOS LABORALES, TECNICA DE PRL Y ADMINISTRATIVA DE PRLDE LA JCCM .</t>
  </si>
  <si>
    <t>RKAN, SKAN</t>
  </si>
  <si>
    <t>180142</t>
  </si>
  <si>
    <t>CONCURSO GENERAL DE MERITOS ESCALA SOCIOSANITARIA.</t>
  </si>
  <si>
    <t>RIWR, SIWR</t>
  </si>
  <si>
    <t>180143</t>
  </si>
  <si>
    <t>JUBILACION VOLUNTARIA ANTICIPADA DE TRABAJADORES LABORALES CON DISCAPACIDAD</t>
  </si>
  <si>
    <t>SKC9</t>
  </si>
  <si>
    <t>180144</t>
  </si>
  <si>
    <t>JUBILACION ESPECIAL PERSONAL LABORAL A LOS 64 AÑOS</t>
  </si>
  <si>
    <t>SKCA</t>
  </si>
  <si>
    <t>180145</t>
  </si>
  <si>
    <t>CONCURSO GENERAL DE MERITOS (F5/2021) PARA LA PROVISION DE PUESTOS DE TRABAJO VACANTES EN LA ADMINISTRACION DE LA JCCM, RESERVADOS A LA ESCALA SUPERIOR DE SISTEMAS Y TECNOLOGIAS DE LA INFORMACION, TECNICA DE SISTEMAS E INFORMATICA Y ADMINISTRATIVA DE INFORMATICA DE LA ADMINISTRACION DE LA JCCM</t>
  </si>
  <si>
    <t>RKCO, SKCO</t>
  </si>
  <si>
    <t>180167</t>
  </si>
  <si>
    <t>RECONOCIMIENTO DE COMPATIBILIDAD PARA EL EJERCICIO DE ACTIVIDADES PRIVADAS</t>
  </si>
  <si>
    <t>SKYS</t>
  </si>
  <si>
    <t>180175</t>
  </si>
  <si>
    <t>CONVOCATORIA DE LA ACCION FORMATIVA CURSO EXPERTO EN TRIBUTACION Y ASESORIA FISCAL , INCLUIDA DENTRO DEL PLAN DE FORMACION PARA EL PERSONAL DE LA ADMINISTRACION DE LA JUNTA DE COMUNIDADES DE CASTILLA-LA MANCHA PARA EL AÑO 2019.</t>
  </si>
  <si>
    <t>UN MES DESDE EL FIN DE PLAZO DE SOLICITUDES.</t>
  </si>
  <si>
    <t>SL94</t>
  </si>
  <si>
    <t>180177</t>
  </si>
  <si>
    <t>SUSPENSION DE CONTRATO DE TRABAJO DE TRABAJO POR ACTIVACION DE RESERVISTAS.</t>
  </si>
  <si>
    <t>3 MESES ( ART. 21.3 LEY 39/2015)</t>
  </si>
  <si>
    <t>SLB6</t>
  </si>
  <si>
    <t>180180</t>
  </si>
  <si>
    <t>COMUNICACION DE DATOS AL PAGADOR. MODELO 145 DE LA AGENCIA TRIBUTARIA.</t>
  </si>
  <si>
    <t>MLBR</t>
  </si>
  <si>
    <t>180183</t>
  </si>
  <si>
    <t>CONVOCATORIA ACCION FORMATIVA "CURSO PROPIO DE ESPECIALIZACION EN DERECHO ADMINISTRATIVO E INTELIGENCIA ARTIFICIAL"  DENTRO DEL PLAN DE FORMACION PARA EMPLEADOS PUBLICOS DE LA ADMINISTRACION DE LA JUNTA DE COMUNIDADES DE CASTILLA- LA MANCHA</t>
  </si>
  <si>
    <t>SLCP</t>
  </si>
  <si>
    <t>180185</t>
  </si>
  <si>
    <t>JUBILACION VOLUNTARIA ANTICIPADA DE PERSONAL LABORAL FIJO EN SITUACION DE JUBILACION PARCIAL</t>
  </si>
  <si>
    <t>SLEK</t>
  </si>
  <si>
    <t>180189</t>
  </si>
  <si>
    <t>PROCEDIMIENTO PARA LA PREVENCION, IDENTIFICACION Y ACTUACION FRENTE AL ACOSO SEXUAL Y POR RAZON DE SEXO EN EL LUGAR DE TRABAJO PARA PERSONAL FUNCIONARIO Y LABORAL DE ADMINISTRACION GENERAL DE LA ADMINISTRACION DE LA JCCM Y SUS ORGANISMOS AUTONOMOS</t>
  </si>
  <si>
    <t>VENDRÁ DETERMINADO POR LA ADICIÓN DE LOS PLAZOS ESTABLECIDOS EN EL PROTOCOLO PARA LAS DISTINTAS FASES DEL PROCEDIMIENTO CON UNA DURACIÓN ESTIMADA DE 45 DÍAS HÁBILES.</t>
  </si>
  <si>
    <t>MLI5</t>
  </si>
  <si>
    <t>180226</t>
  </si>
  <si>
    <t>CURSOS DE HABILITACION FUNCIONAL PARA EL PERSONAL LABORAL DE LA ADMINISTRACION DE LA JUNTA DE COMUNIDADES DE CASTILLA-LA MANCHA.</t>
  </si>
  <si>
    <t>10 DÍAS ANTES DEL COMIENZO DEL LOS CURSOS.</t>
  </si>
  <si>
    <t>SLR0</t>
  </si>
  <si>
    <t>180230</t>
  </si>
  <si>
    <t>CONVOCATORIA DE LA ACCION FORMATIVA " CURSO PROPIO ESPECIALIZACION EN UNION EUROPEA"  DENTRO DEL PLAN DE FORMACION PARA  EL PERSONAL EMPLEADO PUBLICO DE LA ADMINISTRACION DE LA JUNTA DE COMUNIDADES DE CASTILLA- LA MANCHA PARA EL AÑO 2022</t>
  </si>
  <si>
    <t>UN MES DESDE EL FIN DE PLAZO DE SOLICITUDES</t>
  </si>
  <si>
    <t>SLSW</t>
  </si>
  <si>
    <t>185402</t>
  </si>
  <si>
    <t>CERTIFICADO PARA ADOPCION INTERNACIONAL</t>
  </si>
  <si>
    <t>SJT1</t>
  </si>
  <si>
    <t>185405</t>
  </si>
  <si>
    <t>OTROS CERTIFICADOS</t>
  </si>
  <si>
    <t>SJT0</t>
  </si>
  <si>
    <t>185409</t>
  </si>
  <si>
    <t>CERTIFICADO ACREDITATIVO DE LA PERCEPCION/NO PERCEPCION DE AYUDAS DEL PROGRAMA DE ACCION SOCIAL</t>
  </si>
  <si>
    <t>SJST</t>
  </si>
  <si>
    <t>185410</t>
  </si>
  <si>
    <t>CERTIFICADO DE SERVICIOS PRESTADOS</t>
  </si>
  <si>
    <t>SJSX</t>
  </si>
  <si>
    <t>185411</t>
  </si>
  <si>
    <t>CAMBIO DE CUENTA BANCARIA EN NOMINA</t>
  </si>
  <si>
    <t>SJSV</t>
  </si>
  <si>
    <t>185412</t>
  </si>
  <si>
    <t>CAMBIO DE DOMICILIO</t>
  </si>
  <si>
    <t>SJSU</t>
  </si>
  <si>
    <t>185468</t>
  </si>
  <si>
    <t>APLICACION EN NOMINA DE UN PORCENTAJE DE RETENCION POR IRPF SUPERIOR AL LEGAL</t>
  </si>
  <si>
    <t>SJSW</t>
  </si>
  <si>
    <t>185469</t>
  </si>
  <si>
    <t>APLICACION EN NOMINA DEL PORCENTAJE DE RETENCION POR IRPF QUE LEGALMENTE CORRESPONDA</t>
  </si>
  <si>
    <t>SJZH</t>
  </si>
  <si>
    <t>185559</t>
  </si>
  <si>
    <t>CONCURSO ESCALAS ARCHIVOS BLIBLIOTECAS Y MUSEOS</t>
  </si>
  <si>
    <t>RIT6, SIT6</t>
  </si>
  <si>
    <t>185560</t>
  </si>
  <si>
    <t>CONCURSO ESCALA TECNICA EDUCATIVA</t>
  </si>
  <si>
    <t>RIWS, SIWS</t>
  </si>
  <si>
    <t>185584</t>
  </si>
  <si>
    <t>CONVOCATORIA PARA LA PROVISION POR EL PROCEDIMIENTO DE LIBRE DESIGNACION (LD. HAC-AAPP F1/2022) DE PUESTOS DE TRABAJO DE PERSONAL FUNCIONARIO.</t>
  </si>
  <si>
    <t>SKKY</t>
  </si>
  <si>
    <t>185585</t>
  </si>
  <si>
    <t>CONVOCATORIA DE LA PROVISION, POR EL SISTEMA DE LIBRE DESIGNACION DE PUESTOS RESERVADOS A PERSONAL LABORAL FIJO ( CATEGORIA CONDUCTOR).</t>
  </si>
  <si>
    <t>SK8S</t>
  </si>
  <si>
    <t>185622</t>
  </si>
  <si>
    <t>CONVOCATORIA DEL PROGRAMA DE FORMACION ESPECIFICA, DENTRO DEL PLAN DE FORMACION PARA EL PERSONAL DE LA ADMINISTRACION DE LA JUNTA DE COMUNIDADES DE CASTILLA-LA MANCHA.</t>
  </si>
  <si>
    <t>SKPI</t>
  </si>
  <si>
    <t>185623</t>
  </si>
  <si>
    <t>CONVOCATORIA ACCION FORMATIVA CURSO PROPIO ESPECIALIZACION EN GOBIERNO ABIERTO</t>
  </si>
  <si>
    <t>SKRU</t>
  </si>
  <si>
    <t>185624</t>
  </si>
  <si>
    <t>ACCIONES FORMATIVAS EN INGLES ESPECIFICO, COMPRENDIDAS EN EL PROGRAMA DE FORMACION EN IDIOMAS.</t>
  </si>
  <si>
    <t>SJ4A</t>
  </si>
  <si>
    <t>185625</t>
  </si>
  <si>
    <t>CONVOCATORIA DEL PROGRAMA DE AUTOFORMACION,DENTRO DEL PLAN DE FORMACION PARA EL PERSONAL DE LA ADMINISTRACION DE LA JUNTA DE COMUNIDADES DE CASTILLA- LA MANCHA.</t>
  </si>
  <si>
    <t>SKRZ</t>
  </si>
  <si>
    <t>185626</t>
  </si>
  <si>
    <t>CONVOCATORIA DEL TITULO PROPIO DE "MASTER EN CONTRATACION PUBLICA"  DENTRO DEL PLAN DE FORMACION PARA EL PERSONAL DE LA ADMINISTRACION DE LA JUNTA DE COMUNIDADES DE CASTILLA- LA MANCHA</t>
  </si>
  <si>
    <t>SLVX</t>
  </si>
  <si>
    <t>185879</t>
  </si>
  <si>
    <t>COMUNICACION PRESUNTO ACOSO LABORAL AL PERSONAL DE ADMINISTRACION GENERAL DE LA JCCM Y  SUS OOAA.</t>
  </si>
  <si>
    <t>MKZP</t>
  </si>
  <si>
    <t>186105</t>
  </si>
  <si>
    <t>FINALIZACION DE LA AUTORIZACION DE TELETRABAJO.</t>
  </si>
  <si>
    <t>SEGÚN EL TRÁMITE</t>
  </si>
  <si>
    <t>SLMI</t>
  </si>
  <si>
    <t>186106</t>
  </si>
  <si>
    <t>SUSPENSION DE LA AUTORIZACION DE TELETRABAJO.</t>
  </si>
  <si>
    <t>SLMH</t>
  </si>
  <si>
    <t>186107</t>
  </si>
  <si>
    <t>AUTORIZACION DE TELETRABAJO</t>
  </si>
  <si>
    <t>SLME</t>
  </si>
  <si>
    <t>186108</t>
  </si>
  <si>
    <t>MODIFICACION DE LA AUTORIZACION DE TELETRABAJO.</t>
  </si>
  <si>
    <t>SLMG</t>
  </si>
  <si>
    <t>186109</t>
  </si>
  <si>
    <t>PRORROGA DE LA AUTORIZACION DE TELETRABAJO.</t>
  </si>
  <si>
    <t>SLMF</t>
  </si>
  <si>
    <t>190012</t>
  </si>
  <si>
    <t>ENAJENACION DIRECTA DE BIENES INMUEBLES Y DERECHOS REALES SOBRE LOS MISMOS TITULARIDAD DE LA JUNTA DE COMUNIDADES DE CASTILLA - LA MANCHA.</t>
  </si>
  <si>
    <t>SKYF</t>
  </si>
  <si>
    <t>190013</t>
  </si>
  <si>
    <t>CESION GRATUITA  A FAVOR DE TERCEROS DE LA PROPIEDAD DE BIENES  INMUEBLES  TITULARIDAD LA JUNTA DE COMUNIDADES DE CASTILLA-LA MANCHA.</t>
  </si>
  <si>
    <t>SKYG</t>
  </si>
  <si>
    <t>190014</t>
  </si>
  <si>
    <t>CESION GRATUITA  DE USO  A FAVOR DE TERCEROS DE BIENES INMUEBLES  TITULARIDAD DE LA JUNTA DE COMUNIDADES DE CASTILLA-LA MANCHA.</t>
  </si>
  <si>
    <t>SKYH</t>
  </si>
  <si>
    <t>190015</t>
  </si>
  <si>
    <t>ARRENDAMIENTOS DE BIENES INMUEBLES DONDE LA JUNTA DE COMUNIDADES  DE CASTILLA - LA MANCHA, ES PARTE ARRENDATARIA.</t>
  </si>
  <si>
    <t>EN QUE SE ESTABLEZCA EN LA CONVOCATORIA, EN CASO DE CONCURSO, Y EN SU DEFECTO TRES MESES.</t>
  </si>
  <si>
    <t>SKYI</t>
  </si>
  <si>
    <t>190016</t>
  </si>
  <si>
    <t>ADQUISICION DE BIENES INMUEBLES  POR CESION GRATUITA DE OTRAS ADMINISTRACIONES PUBLICAS.</t>
  </si>
  <si>
    <t>SKYJ</t>
  </si>
  <si>
    <t>190017</t>
  </si>
  <si>
    <t>ADQUISICION ONEROSA DE BIENES INMUEBLES.</t>
  </si>
  <si>
    <t>EL QUE SE ESTABLEZCA EN LAS BASES REGULADORAS DEL CONCURSO, O TRES MESES, EN EL SUPUESTO DE ADJUDICACIÓN DIRECTA.</t>
  </si>
  <si>
    <t>SKYK</t>
  </si>
  <si>
    <t>190018</t>
  </si>
  <si>
    <t>ENAJENACION POR SUBASTA PUBLICA DE BIENES INMUEBLES TITULARIDAD DE LA JUNTA DE COMUNIDADES DE CASTILLA - LA MANCHA.</t>
  </si>
  <si>
    <t>EL QUE SE ESTABLEZCA EN LAS BASES DE LA CONVOCATORIA, Y EN SU DEFECTO, TRES MESES.</t>
  </si>
  <si>
    <t>SKYL</t>
  </si>
  <si>
    <t>190019</t>
  </si>
  <si>
    <t>ADQUISICION A TITULO GRATUITO POR HERENCIA, LEGADO O DONACION.</t>
  </si>
  <si>
    <t>SKYM</t>
  </si>
  <si>
    <t>190020</t>
  </si>
  <si>
    <t>PROCEDIMIENTO DE DESLINDE ADMINISTRATIVO.</t>
  </si>
  <si>
    <t>DIECIOCHO MESES.</t>
  </si>
  <si>
    <t>SKYN</t>
  </si>
  <si>
    <t>190021</t>
  </si>
  <si>
    <t>RECUPERACION DE LA POSESION.</t>
  </si>
  <si>
    <t>TRES MESES (PARA LA COMPROBACIÓN Y DECLARACIÓN DE LA USURPACIÓN).</t>
  </si>
  <si>
    <t>SKYO</t>
  </si>
  <si>
    <t>190022</t>
  </si>
  <si>
    <t>INVESTIGACION E INSPECCION DE BIENES Y DERECHOS</t>
  </si>
  <si>
    <t>2 AÑOS</t>
  </si>
  <si>
    <t>SKYP</t>
  </si>
  <si>
    <t>190023</t>
  </si>
  <si>
    <t>GESTION DE SINIESTROS DE VEHICULOS.</t>
  </si>
  <si>
    <t>MLT2</t>
  </si>
  <si>
    <t>190029</t>
  </si>
  <si>
    <t>ENAJENACION ONEROSA DE VEHICULOS POR ADJUDICACION DIRECTA.</t>
  </si>
  <si>
    <t>SLT7</t>
  </si>
  <si>
    <t>210001</t>
  </si>
  <si>
    <t>PUBLICACION DE TEXTOS DE PARTICULARES EN DIARIO OFICIAL DE CASTILLA-LA MANCHA</t>
  </si>
  <si>
    <t>5 DÍAS</t>
  </si>
  <si>
    <t>S516</t>
  </si>
  <si>
    <t>010042</t>
  </si>
  <si>
    <t>AUTORIZACION DE INSTALACION DE OFICINAS DE FARMACIA</t>
  </si>
  <si>
    <t>CONSEJERIA DE SANIDAD</t>
  </si>
  <si>
    <t>DIRECCION GENERAL PLANIFICACION, ORDENACION E INSPECCION SANITARIA - CONSEJERIA DE SANIDAD</t>
  </si>
  <si>
    <t>SI6C</t>
  </si>
  <si>
    <t>010043</t>
  </si>
  <si>
    <t>AUTORIZACION FUNCIONAMIENTO OFICINAS FARMACIA</t>
  </si>
  <si>
    <t>SJUK</t>
  </si>
  <si>
    <t>010044</t>
  </si>
  <si>
    <t>AUTORIZACION DE MODIFICACION DE OFICINAS DE FARMACIA</t>
  </si>
  <si>
    <t>SJUL</t>
  </si>
  <si>
    <t>010045</t>
  </si>
  <si>
    <t>AUTORIZACION TRASMISION OFICINAS FARMACIA</t>
  </si>
  <si>
    <t>SJUM</t>
  </si>
  <si>
    <t>010046</t>
  </si>
  <si>
    <t>AUTORIZACION TRASLADO OFICINAS FARMACIA</t>
  </si>
  <si>
    <t>SJUN</t>
  </si>
  <si>
    <t>010047</t>
  </si>
  <si>
    <t>AUTORIZACION DE CIERRE  DE OFICINAS DE FARMACIA</t>
  </si>
  <si>
    <t>3 MESES CON CARÁCTER GENERAL Y 1 MES EN LOS SUPUESTOS DE CIERRE TEMPORAL VOLUNTARIO POR MOTIVOS PROFESIONALES O PERSONALES Y EN EL CASO DE CIERRE TEMPORAL FORZOSO.</t>
  </si>
  <si>
    <t>SJUO</t>
  </si>
  <si>
    <t>010049</t>
  </si>
  <si>
    <t>AUTORIZACION DE FARMACEUTICO REGENTE.</t>
  </si>
  <si>
    <t>SJUQ</t>
  </si>
  <si>
    <t>010050</t>
  </si>
  <si>
    <t>AUTORIZACION DE INSTALACION DE BOTIQUIN</t>
  </si>
  <si>
    <t>SH27</t>
  </si>
  <si>
    <t>010051</t>
  </si>
  <si>
    <t>AUTORIZACION DE FUNCIONAMIENTO DE BOTIQUIN.</t>
  </si>
  <si>
    <t>SJUR</t>
  </si>
  <si>
    <t>010052</t>
  </si>
  <si>
    <t>AUTORIZACION DE TRASLADO, MODIFICACION O CIERRE DE BOTIQUIN.</t>
  </si>
  <si>
    <t>SJUU</t>
  </si>
  <si>
    <t>010054</t>
  </si>
  <si>
    <t>AUTORIZACION DE HORARIO DE APERTURA DE BOTIQUIN O REDUCCION DEL HORARIO MINIMO OFICIAL EN OFICINA DE FARMACIA.</t>
  </si>
  <si>
    <t>SI6I</t>
  </si>
  <si>
    <t>010055</t>
  </si>
  <si>
    <t>PROPUESTAS DEL COLEGIO OFICIAL DE FARMACEUTICOS SOBRE OFICINAS DE FARMACIA: HORARIO MINIMO OFICIAL, PROGRAMACION DE GUARDIAS, ORGANIZACION CONJUNTA DE LOS SERVICIOS DE URGENCIA O TURNOS DE VACACIONES.</t>
  </si>
  <si>
    <t>3 MESES  REGLA GENERAL O 1 MES EN  CASOS DE PROGRAMACIÓN DE SERVICIOS DE URGENCIA DE LA PROVINCIA POR NÚCLEOS DE POBLACIÓN O ZONAS FARMACÉUTICAS O DE ORGANIZACIÓN CONJUNTA DE LOS SERVICIOS DE URGENCIA DE 2 O 3    ZONAS FARMACÉUTICAS.</t>
  </si>
  <si>
    <t>SJUV</t>
  </si>
  <si>
    <t>010056</t>
  </si>
  <si>
    <t>AUTORIZACION DE EXENCION DEL SERVICIO DE URGENCIA DE OFICINA DE FARMACIA.</t>
  </si>
  <si>
    <t>SJUW</t>
  </si>
  <si>
    <t>010058</t>
  </si>
  <si>
    <t>COMUNICACION DE ACTIVIDAD DE DISTRIBUCION DE PRODUCTOS SANITARIOS</t>
  </si>
  <si>
    <t>SI6M</t>
  </si>
  <si>
    <t>010059</t>
  </si>
  <si>
    <t>AUTORIZACION DE INSTALACION DE ESTABLECIMIENTO DE DISPENSACION DE MEDICAMENTOS VETERINARIOS</t>
  </si>
  <si>
    <t>SI6H</t>
  </si>
  <si>
    <t>010060</t>
  </si>
  <si>
    <t>AUTORIZACION DE INSTALACION DE ENTIDAD DE DISTRIBUCION DE MEDICAMENTOS DE USO HUMANO</t>
  </si>
  <si>
    <t>90 DÍAS</t>
  </si>
  <si>
    <t>SI6G</t>
  </si>
  <si>
    <t>010062</t>
  </si>
  <si>
    <t>AUTORIZACION PREVIA DE LOS MENSAJES PUBLICITARIOS DE PRODUCTOS SANITARIOS</t>
  </si>
  <si>
    <t>SI6O</t>
  </si>
  <si>
    <t>010361</t>
  </si>
  <si>
    <t>AUTORIZACION TRASLADO DE CADAVERES Y RESTOS CADAVERICOS</t>
  </si>
  <si>
    <t>24 HORAS</t>
  </si>
  <si>
    <t>DIRECCION GENERAL SALUD PUBLICA - CONSEJERIA DE SANIDAD</t>
  </si>
  <si>
    <t>S275</t>
  </si>
  <si>
    <t>010366</t>
  </si>
  <si>
    <t>AUTORIZACION DE ESTUDIOS OBSERVACIONALES POST-AUTORIZACION EN CASTILLA-LA MANCHA</t>
  </si>
  <si>
    <t>SIRG</t>
  </si>
  <si>
    <t>010368</t>
  </si>
  <si>
    <t>COMUNICACION DE LA VARIACION DE DATOS O CESE DE LA ACTIVIDAD DE LOS VEHICULOS DE TRANSPORTE SANITARIO</t>
  </si>
  <si>
    <t>MJ6I</t>
  </si>
  <si>
    <t>010387</t>
  </si>
  <si>
    <t>CONSULTA PREVIA SOBRE AUTORIZACIONES DE CENTROS, SERVICIOS Y ESTABLECIMIENTOS SANITARIOS</t>
  </si>
  <si>
    <t>SJTI</t>
  </si>
  <si>
    <t>010394</t>
  </si>
  <si>
    <t>AUTORIZACION DE FUNCIONAMIENTO DE ESTABLECIMIENTO DE DISPENSACION DE MEDICAMENTOS VETERINARIOS</t>
  </si>
  <si>
    <t>SJV0</t>
  </si>
  <si>
    <t>010395</t>
  </si>
  <si>
    <t>AUTORIZACION DE CIERRE DE ESTABLECIMIENTO DE DISPENSACION DE MEDICAMENTOS VETERINARIOS</t>
  </si>
  <si>
    <t>SJV1</t>
  </si>
  <si>
    <t>010468</t>
  </si>
  <si>
    <t>NOTIFICACION DE COMPLEMENTOS ALIMENTICIOS</t>
  </si>
  <si>
    <t>SK21</t>
  </si>
  <si>
    <t>010494</t>
  </si>
  <si>
    <t>COMUNICACION DE LA CELEBRACION DE CACERIA CUYAS PIEZAS SE DESTINEN AL CONSUMO</t>
  </si>
  <si>
    <t>NK5L</t>
  </si>
  <si>
    <t>010545</t>
  </si>
  <si>
    <t>COMUNICACION DE CAMBIO DE DIRECTOR TECNICO, DENOMINACION O TITULARIDAD DE ENTIDAD DE DISTRIBUCION DE MEDICAMENTOS DE USO HUMANO</t>
  </si>
  <si>
    <t>Actividad de control</t>
  </si>
  <si>
    <t>SKPS</t>
  </si>
  <si>
    <t>010546</t>
  </si>
  <si>
    <t>AUTORIZACION DE FUNCIONAMIENTO DE ENTIDAD DE DISTRIBUCION DE MEDICAMENTOS DE USO HUMANO</t>
  </si>
  <si>
    <t>SKPT</t>
  </si>
  <si>
    <t>010547</t>
  </si>
  <si>
    <t>AUTORIZACION DE MODIFICACION DE ENTIDAD DE DISTRIBUCION DE MEDICAMENTOS DE USO HUMANO</t>
  </si>
  <si>
    <t>SKPU</t>
  </si>
  <si>
    <t>010548</t>
  </si>
  <si>
    <t>AUTORIZACION DE CIERRE DE ENTIDAD DE DISTRIBUCION DE MEDICAMENTOS DE USO HUMANO</t>
  </si>
  <si>
    <t>SKPV</t>
  </si>
  <si>
    <t>010550</t>
  </si>
  <si>
    <t>COMUNICACION DE REINICIO DE ACTIVIDAD DE OFICINA DE FARMACIA TRAS CIERRE TEMPORAL.</t>
  </si>
  <si>
    <t>MKQO</t>
  </si>
  <si>
    <t>010560</t>
  </si>
  <si>
    <t>AUTORIZACION DE ACTIVIDADES DE PROMOCION Y PUBLICIDAD EN APOYO DE LA  DONACION-OBTENCION DE TEJIDOS Y CELULAS DE ORIGEN HUMANO EN CASTILLA-LA MANCHA.</t>
  </si>
  <si>
    <t>SKSC</t>
  </si>
  <si>
    <t>010562</t>
  </si>
  <si>
    <t>COMUNICACION PREVIA DE VENTA A DISTANCIA AL PUBLICO DE MEDICAMENTOS VETERINARIOS NO SUJETOS A PRESCRIPCION VETERINARIA</t>
  </si>
  <si>
    <t>MKTI</t>
  </si>
  <si>
    <t>010570</t>
  </si>
  <si>
    <t>AUTORIZACION DE MODIFICACION DE INSTALACIONES O TRASLADO DE ESTABLECIMIENTO DE DISPENSACION DE MEDICAMENTOS VETERINARIOS</t>
  </si>
  <si>
    <t>SKXD</t>
  </si>
  <si>
    <t>010584</t>
  </si>
  <si>
    <t>COMUNICACION BOTIQUIN CLINICO VETERINARIO</t>
  </si>
  <si>
    <t>ML0F</t>
  </si>
  <si>
    <t>010588</t>
  </si>
  <si>
    <t>AUTORIZACION COMO VETERINARIO ACTUANTE PARA INSPECCIONES "IN SITU" EN UNA ACTIVIDAD CINEGETICA O INSPECCIONES DE PIEZAS DE CAZA PARA AUTOCONSUMO.</t>
  </si>
  <si>
    <t>15 DÍAS HÁBILES.</t>
  </si>
  <si>
    <t>SL1Y</t>
  </si>
  <si>
    <t>010596</t>
  </si>
  <si>
    <t>COMUNICACION DE ELABORACION DE SISTEMAS PERSONALIZADOS DE DOSIFICACION EN OFICINA DE FARMACIA.</t>
  </si>
  <si>
    <t>ML43</t>
  </si>
  <si>
    <t>010597</t>
  </si>
  <si>
    <t>SOLICITUD AUTORIZACION DE LIBROS OFICIALES DE OFICINA DE FARMACIA</t>
  </si>
  <si>
    <t>SL4M</t>
  </si>
  <si>
    <t>010598</t>
  </si>
  <si>
    <t>DESIGNACION DE LOCAL DE UNA NUEVA OFICINA DE FARMACIA</t>
  </si>
  <si>
    <t>ML4L</t>
  </si>
  <si>
    <t>010599</t>
  </si>
  <si>
    <t>AUTORIZACION DE INSTALACION DE CARTEL DE LA OFICINA DE FARMACIA EN UBICACION EXTRAORDINARIA</t>
  </si>
  <si>
    <t>SL4O</t>
  </si>
  <si>
    <t>010600</t>
  </si>
  <si>
    <t>COMUNICACION DE BUSQUEDA DE FARMACEUTICO ADJUNTO PARA LA OFICINA DE FARMACIA</t>
  </si>
  <si>
    <t>ML4N</t>
  </si>
  <si>
    <t>010601</t>
  </si>
  <si>
    <t>SOLICITUD DE INSTALACION DE UN BOTIQUIN POR AYUNTAMIENTOS</t>
  </si>
  <si>
    <t>SL4P</t>
  </si>
  <si>
    <t>010609</t>
  </si>
  <si>
    <t>COMUNICACION DEL COLEGIO OFICIAL DE FARMACEUTICOS SOBRE HORARIO SUPERIOR AL MINIMO OFICIAL DE OFICINAS DE FARMACIA O SOBRE SUSTITUTO EN CASO DE AUSENCIA POR VACACIONES.</t>
  </si>
  <si>
    <t>ML7S</t>
  </si>
  <si>
    <t>010610</t>
  </si>
  <si>
    <t>COMUNICACION DE GUARDIAS LOCALIZADAS, PERMUTA DEL SERVICIO DE URGENCIA Y PRESTACION DEL HORARIO MINIMO OFICIAL CONTINUADO EN OFICINAS DE FARMACIA.</t>
  </si>
  <si>
    <t>ML7T</t>
  </si>
  <si>
    <t>010611</t>
  </si>
  <si>
    <t>COMUNICACION DE CIERRE DE OFICINA DE FARMACIA POR ASUNTOS PARTICULARES O POR CAUSAS INVOLUNTARIAS.</t>
  </si>
  <si>
    <t>ML7U</t>
  </si>
  <si>
    <t>010619</t>
  </si>
  <si>
    <t>AUTORIZACION COMO VETERINARIO COLABORADOR EN MATANZAS DOMICILIARIAS DE CERDOS.</t>
  </si>
  <si>
    <t>SLAV</t>
  </si>
  <si>
    <t>015086</t>
  </si>
  <si>
    <t>COMUNICACION DE CESE TOTAL O PARCIAL DE ACTIVIDADES DE CENTROS, SERVICIOS Y ESTABLECIMIENTOS SANITARIOS SIN INTERNAMIENTO</t>
  </si>
  <si>
    <t>ML05</t>
  </si>
  <si>
    <t>015087</t>
  </si>
  <si>
    <t>AUTORIZACION DE INSTALACION DE CENTROS, SERVICIOS Y ESTABLECIMIENTOS SANITARIOS SIN INTERNAMIENTO</t>
  </si>
  <si>
    <t>SJTE</t>
  </si>
  <si>
    <t>015088</t>
  </si>
  <si>
    <t>AUTORIZACION DE MODIFICACION DE ACTIVIDADES DE CENTROS, SERVICIOS Y ESTABLECIMIENTOS SANITARIOS SIN INTERNAMIENTO</t>
  </si>
  <si>
    <t>SJRE</t>
  </si>
  <si>
    <t>015089</t>
  </si>
  <si>
    <t>AUTORIZACION DE MODIFICACION QUE REQUIERE LA REALIZACION DE OBRAS O INSTALACIONES DE CENTROS, SERVICIOS Y ESTABLECIMIENTOS SANITARIOS SIN INTERNAMIENTO</t>
  </si>
  <si>
    <t>SJRD</t>
  </si>
  <si>
    <t>015090</t>
  </si>
  <si>
    <t>AUTORIZACION DE PUESTA EN FUNCIONAMIENTO DE CENTROS, SERVICIOS Y ESTABLECIMIENTOS SANITARIOS SIN INTERNAMIENTO</t>
  </si>
  <si>
    <t>SJRC</t>
  </si>
  <si>
    <t>015091</t>
  </si>
  <si>
    <t>AUTORIZACION DE CESE TOTAL O PARCIAL DE CENTROS Y SERVICIOS SANITARIOS SIN INTERNAMIENTO</t>
  </si>
  <si>
    <t>SJTF</t>
  </si>
  <si>
    <t>015092</t>
  </si>
  <si>
    <t>AUTORIZACION DE RENOVACION DE LA AUTORIZACION DE PUESTA EN FUNCIONAMIENTO DE CENTROS, SERVICIOS Y ESTABLECIMIENTOS SANITARIOS SIN INTERNAMIENTO</t>
  </si>
  <si>
    <t>SJRF</t>
  </si>
  <si>
    <t>015099</t>
  </si>
  <si>
    <t>CONCESION DE  LICENCIAS DE FUNCIONAMIENTO A LOS FABRICANTES DE PRODUCTOS SANITARIOS A MEDIDA</t>
  </si>
  <si>
    <t>SJRG</t>
  </si>
  <si>
    <t>015100</t>
  </si>
  <si>
    <t>RENOVACION DE LA CONCESION DE LICENCIAS DE FUNCIONAMIENTO A LOS FABRICANTES DE PRODUCTOS SANITARIOS A MEDIDA</t>
  </si>
  <si>
    <t>SJTN</t>
  </si>
  <si>
    <t>015101</t>
  </si>
  <si>
    <t>COMUNICACION RELATIVA A PERSONAL DE OFICINA DE FARMACIA (SUSTITUTOS, ADJUNTOS O TECNICOS EN FARMACIA Y PARAFARMACIA).</t>
  </si>
  <si>
    <t>SJUP</t>
  </si>
  <si>
    <t>015102</t>
  </si>
  <si>
    <t>DESIGNACION COMO SUSTITUTO A OTRO TITULAR DE UNA OFICINA DE FARMACIA PROXIMA.</t>
  </si>
  <si>
    <t>ML7R</t>
  </si>
  <si>
    <t>015380</t>
  </si>
  <si>
    <t>AUTORIZACION DE MODIFICACION DE ACTIVIDADES DE CENTROS SANITARIOS CON INTERNAMIENTO</t>
  </si>
  <si>
    <t>SJRN</t>
  </si>
  <si>
    <t>015381</t>
  </si>
  <si>
    <t>AUTORIZACION DE INSTALACION DE CENTROS SANITARIOS CON INTERNAMIENTO</t>
  </si>
  <si>
    <t>SJTJ</t>
  </si>
  <si>
    <t>015382</t>
  </si>
  <si>
    <t>AUTORIZACION DE MODIFICACION QUE REQUIERE LA REALIZACION DE OBRAS O INSTALACIONES DE CENTROS SANITARIOS CON INTERNAMIENTO</t>
  </si>
  <si>
    <t>SJRM</t>
  </si>
  <si>
    <t>015383</t>
  </si>
  <si>
    <t>AUTORIZACION DE PUESTA EN FUNCIONAMIENTO DE CENTROS SANITARIOS CON INTERNAMIENTO</t>
  </si>
  <si>
    <t>SJRL</t>
  </si>
  <si>
    <t>015384</t>
  </si>
  <si>
    <t>CESE TOTAL O PARCIAL  DE CENTROS SANITARIOS CON INTERNAMIENTO</t>
  </si>
  <si>
    <t>SJTL</t>
  </si>
  <si>
    <t>015385</t>
  </si>
  <si>
    <t>AUTORIZACION DE RENOVACION DE LA AUTORIZACION DE PUESTA EN FUNCIONAMIENTO DE CENTROS SANITARIOS CON INTERNAMIENTO</t>
  </si>
  <si>
    <t>SJTK</t>
  </si>
  <si>
    <t>015446</t>
  </si>
  <si>
    <t>AUTORIZACION DE INSTALACION DE CENTROS Y SERVICIOS SIN INTERNAMIENTO DE CIRUGIA MAYOR AMBULATORIA, HEMODIALISIS, RADIOTERAPIA Y MEDICINA NUCLEAR</t>
  </si>
  <si>
    <t>SKXM</t>
  </si>
  <si>
    <t>015447</t>
  </si>
  <si>
    <t>AUTORIZACION DE MODIFICACION DE ACTIVIDADES DE CENTROS Y SERVICIOS SIN INTERNAMIENTO DE CIRUGIA MAYOR AMBULATORIA, HEMODIALISIS, RADIOTERAPIA Y MEDICINA NUCLEAR</t>
  </si>
  <si>
    <t>SKXN</t>
  </si>
  <si>
    <t>015448</t>
  </si>
  <si>
    <t>AUTORIZACION DE MODIFICACION QUE REQUIERE REALIZACION DE OBRAS O INSTALACIONES DE CENTROS Y SERVICIOS SIN INTERNAMIENTO DE CIRUGIA MAYOR AMBULATORIA, HEMODIALISIS, RADIOTERAPIA Y MEDICINA NUCLEAR</t>
  </si>
  <si>
    <t>SKXO</t>
  </si>
  <si>
    <t>015449</t>
  </si>
  <si>
    <t>AUTORIZACION DE PUESTA EN FUNCIONAMIENTO DE CENTROS Y SERVICIOS SIN INTERNAMIENTO DE CIRUGIA MAYOR AMBULATORIA, HEMODIALISIS, RADIOTERAPIA Y MEDICINA NUCLEAR</t>
  </si>
  <si>
    <t>SKXL</t>
  </si>
  <si>
    <t>015450</t>
  </si>
  <si>
    <t>AUTORIZACION DE RENOVACION DE LA AUTORIZACION DE PUESTA EN FUNCIONAMIENTO DE CENTROS Y SERVICIOS SIN INTERNAMIENTO DE CIRUGIA MAYOR AMBULATORIA, HEMODIALISIS, RADIOTERAPIA Y MEDICINA NUCLEAR</t>
  </si>
  <si>
    <t>SKXP</t>
  </si>
  <si>
    <t>015451</t>
  </si>
  <si>
    <t>AUTORIZACION DE CESE TOTAL O PARCIAL DE CENTROS Y SERVICIOS SIN INTERNAMIENTO DE HEMODIALISIS</t>
  </si>
  <si>
    <t>SKXJ</t>
  </si>
  <si>
    <t>015769</t>
  </si>
  <si>
    <t>COMUNICACION DE MODIFICACION O CESE DE ACTIVIDADES DE DONACION-TRASPLANTE DE ORGANOS, TEJIDOS Y CELULAS EN CENTROS CON INTERNAMIENTO.</t>
  </si>
  <si>
    <t>MKS9</t>
  </si>
  <si>
    <t>015770</t>
  </si>
  <si>
    <t>AUTORIZACION DE ACTIVIDADES DE DONACION-TRASPLANTE DE ORGANOS, TEJIDOS Y CELULAS EN CENTROS CON INTERNAMIENTO.</t>
  </si>
  <si>
    <t>SKS8</t>
  </si>
  <si>
    <t>015771</t>
  </si>
  <si>
    <t>COMUNICACION DE MODIFICACION O CESE DE ACTIVIDADES DE DONACION-TRASPLANTE DE  TEJIDOS Y CELULAS EN CENTROS SIN INTERNAMIENTO.</t>
  </si>
  <si>
    <t>MKSB</t>
  </si>
  <si>
    <t>015772</t>
  </si>
  <si>
    <t>AUTORIZACION DE ACTIVIDADES DE DONACION-TRASPLANTE DE TEJIDOS Y CELULAS EN CENTROS SIN INTERNAMIENTO.</t>
  </si>
  <si>
    <t>SKSA</t>
  </si>
  <si>
    <t>015855</t>
  </si>
  <si>
    <t>AUTORIZACION DE INSTALACION DE ALMACEN MAYORISTA DE DISTRIBUCION DE MEDICAMENTOS VETERINARIOS</t>
  </si>
  <si>
    <t>SKXH</t>
  </si>
  <si>
    <t>015856</t>
  </si>
  <si>
    <t>AUTORIZACION DE FUNCIONAMIENTO DE ALMACEN MAYORISTA DE DISTRIBUCION DE MEDICAMENTOS VETERINARIOS</t>
  </si>
  <si>
    <t>SKXG</t>
  </si>
  <si>
    <t>015857</t>
  </si>
  <si>
    <t>AUTORIZACION DE MODIFICACION DE INSTALACIONES DE ALMACEN MAYORISTA DE DISTRIBUCION DE MEDICAMENTOS VETERINARIOS</t>
  </si>
  <si>
    <t>SKXI</t>
  </si>
  <si>
    <t>015858</t>
  </si>
  <si>
    <t>AUTORIZACION DE CIERRE DE ALMACEN MAYORISTA DE DISTRIBUCION DE MEDICAMENTOS VETERINARIOS</t>
  </si>
  <si>
    <t>SKXF</t>
  </si>
  <si>
    <t>020185</t>
  </si>
  <si>
    <t>INSCRIPCION EN EL REGISTRO OFICIAL DE ESTABLECIMIENTOS Y SERVICIOS BIOCIDAS DE CASTILLA-LA MANCHA</t>
  </si>
  <si>
    <t>S716</t>
  </si>
  <si>
    <t>020246</t>
  </si>
  <si>
    <t>REGISTRO REGIONAL DE CENTROS DE RECOGIDA Y TENERIAS QUE SUMINISTRAN MATERIA PRIMA PARA LA FABRICACION DE COLAGENO Y GELATINA DESTINADO AL CONSUMO HUMANO, ASI COMO DE LAS EMPRESAS DE TRANSPORTE Y/O DISTRIBUCION DESDE MATADEROS AUTORIZADOS</t>
  </si>
  <si>
    <t>SKQU</t>
  </si>
  <si>
    <t>020278</t>
  </si>
  <si>
    <t>REGISTRO SANITARIO DE EMPRESAS Y ESTABLECIMIENTOS ALIMENTARIOS  DE CASTILLA-LA MANCHA</t>
  </si>
  <si>
    <t>MLI0</t>
  </si>
  <si>
    <t>020279</t>
  </si>
  <si>
    <t>REGISTRO DE SOLICITUDES DE VACUNACION COVID-19 PARA PERSONAL DE PRIMERA LINEA EN EL AMBITO SANITARIO Y SOCIOSANITARIO</t>
  </si>
  <si>
    <t>SLID</t>
  </si>
  <si>
    <t>025132</t>
  </si>
  <si>
    <t>COMUNICACION DE MODIFICACION, SUSPENSION O CESE DE DESFIBRILADORES EXTERNOS AUTOMATIZADOS (DEA) FUERA DEL AMBITO SANITARIO</t>
  </si>
  <si>
    <t>MKU5</t>
  </si>
  <si>
    <t>025133</t>
  </si>
  <si>
    <t>DECLARACION RESPONSABLE DE INSTALACION DE DESFIBRILADORES EXTERNOS AUTOMATIZADOS (DEA) FUERA DEL AMBITO SANITARIO.</t>
  </si>
  <si>
    <t>SJCB</t>
  </si>
  <si>
    <t>025165</t>
  </si>
  <si>
    <t>INSCRIPCION DEL DOCUMENTO DE DECLARACION DE VOLUNTADES ANTICIPADAS EN MATERIA DE LA PROPIA SALUD EN EL REGISTRO DE VOLUNTADES ANTICIPADAS DE CASTILLA-LA MANCHA</t>
  </si>
  <si>
    <t>"20 DÍAS PARA LA INSCRIPCIÓN DEL DOCUMENTO DE D.V.A.
3 MESES PARA LA VISITA A DOMICILIO"</t>
  </si>
  <si>
    <t>DIRECCION GENERAL HUMANIZACION Y ATENCION SOCIOSANITARIA - CONSEJERIA DE SANIDAD</t>
  </si>
  <si>
    <t>SIUY</t>
  </si>
  <si>
    <t>025166</t>
  </si>
  <si>
    <t>SOLICITUD DE VISITA A DOMICILIO PARA EL OTORGAMIENTO DEL DOCUMENTO DE DECLARACION DE VOLUNTADES ANTICIPADAS EN MATERIA DE LA PROPIA SALUD</t>
  </si>
  <si>
    <t>SL2J</t>
  </si>
  <si>
    <t>025740</t>
  </si>
  <si>
    <t>REGISTRO GENERAL SANITARIO DE EMPRESAS ALIMENTARIAS Y ALIMENTOS. COMUNICACION PREVIA.</t>
  </si>
  <si>
    <t>M514</t>
  </si>
  <si>
    <t>025741</t>
  </si>
  <si>
    <t>REGISTRO GENERAL SANITARIO DE EMPRESAS ALIMENTARIAS Y ALIMENTOS. SOLICITUD DE AUTORIZACION E INSCRIPCION.</t>
  </si>
  <si>
    <t>SKAA</t>
  </si>
  <si>
    <t>030045</t>
  </si>
  <si>
    <t>AYUDAS A ASOCIACIONES Y ENTIDADES PRIVADAS SIN ANIMO DE LUCRO PARA EL DESARROLLO DE ACTIVIDADES Y PRESTACIONES DE SERVICIOS EN MATERIA SOCIOSANITARIA</t>
  </si>
  <si>
    <t>4 MESES ( AMPLIADO EN 30 DÍAS HÁBILES, RESOLUCIÓN 11/10/2022), VER MARCO LEGAL.</t>
  </si>
  <si>
    <t>SG52</t>
  </si>
  <si>
    <t>030450</t>
  </si>
  <si>
    <t>SUBVENCIONES A  ASOCIACIONES Y ENTIDADES PRIVADAS SIN ANIMO DE LUCRO PARA EL FUNCIONAMIENTO DE CENTROS Y DESARROLLO DE PROGRAMAS DE ATENCION A PERSONAS CON ADICCIONES EN CASTILLA-LA MANCHA.</t>
  </si>
  <si>
    <t>SJ38</t>
  </si>
  <si>
    <t>030527</t>
  </si>
  <si>
    <t>SUBVENCIONES PARA AYUNTAMIENTOS DE CASTILLA-LA MANCHA PARA EL DESARROLLO DE PROGRAMAS DE PREVENCION SELECTIVA E INDICADA DEL CONSUMO DE DROGAS O DE OTRAS CONDUCTAS ADICTIVAS Y PROGRAMAS DE EDUCACION DE CALLE PARA PERSONAS CON DROGODEPENDENCIA</t>
  </si>
  <si>
    <t>S120</t>
  </si>
  <si>
    <t>031021</t>
  </si>
  <si>
    <t>SUBVENCIONES DESTINADAS A LA ATENCION ADECUADA A UNIDADES FAMILIARES CON ALGUN MIEMBRO DIAGNOSTICADO CON UNA ENFERMEDAD RARA</t>
  </si>
  <si>
    <t>SLOF</t>
  </si>
  <si>
    <t>031175</t>
  </si>
  <si>
    <t>SUBVENCIONES A ASOCIACIONES Y ENTIDADES PRIVADAS SIN ANIMO DE LUCRO QUE DESARROLLEN SU ACTIVIDAD EN CLM PARA  FINANCIACION DE GASTOS DE MEJORA DE EQUIPAMIENTOS, FORMACION, Y MATERIAL QUE CONTRIBUYAN A LA SOSTENIBILIDAD Y CALIDAD DE LA PRESTACION SOCIOSANITARIA EN EL AMBITO DE LA CRONICIDAD.</t>
  </si>
  <si>
    <t>SLWV</t>
  </si>
  <si>
    <t>031194</t>
  </si>
  <si>
    <t>ALEGACIONES AL PROCEDIMIENTO DE EXIGENCIA DE  REINTEGRO DE SUBVENCIONES CONCEDIDAS POR LA FUNDACION SOCIOSANITARIA DE CASTILLA - LA MANCHA.</t>
  </si>
  <si>
    <t>RLXW</t>
  </si>
  <si>
    <t>040010</t>
  </si>
  <si>
    <t>OBTENCION INICIAL DE LA CERTIFICACION TECNICO-SANITARIA DE TRANSPORTE POR CARRETERA</t>
  </si>
  <si>
    <t>S350</t>
  </si>
  <si>
    <t>040014</t>
  </si>
  <si>
    <t>ACREDITACION DE OFICINAS DE FARMACIA PARA ELABORAR, CONSERVAR Y DISPENSAR AGONISTAS OPIACEOS</t>
  </si>
  <si>
    <t>SI6B</t>
  </si>
  <si>
    <t>040020</t>
  </si>
  <si>
    <t>DECLARACION DE INTERES SANITARIO O SOCIOSANITARIO EN ACTIVIDADES DE CARACTER CIENTIFICO Y TECNICO.</t>
  </si>
  <si>
    <t>TREINTA DÍAS DESDE LA RECEPCIÓN DE LA SOLICITUD O , EN SU CASO, DE LA INFORMACIÓN COMPLEMENTARIA REQUERIDA.</t>
  </si>
  <si>
    <t>SIHP</t>
  </si>
  <si>
    <t>040191</t>
  </si>
  <si>
    <t>RENOVACION DE LA CERTIFICACION TECNICO-SANITARIA DEL TRANSPORTE SANITARIO POR CARRETERA</t>
  </si>
  <si>
    <t>SJ6H</t>
  </si>
  <si>
    <t>040228</t>
  </si>
  <si>
    <t>CONSULTA PREVIA A LA SOLICITUD DE LA CERTIFICACION TECNICO-SANITARIA DEL TRANSPORTE SANITARIO POR CARRETERA</t>
  </si>
  <si>
    <t>SJ6J</t>
  </si>
  <si>
    <t>040236</t>
  </si>
  <si>
    <t>APLICACION DEL INDICE CORRECTOR DEL MARGEN DE DISPENSACION DE LAS OFICINAS DE FARMACIA</t>
  </si>
  <si>
    <t>30 DÍAS HÁBILES</t>
  </si>
  <si>
    <t>SJYQ</t>
  </si>
  <si>
    <t>040238</t>
  </si>
  <si>
    <t>CERTIFICADO DE LIBRE VENTA DE PRODUCTOS ALIMENTARIOS</t>
  </si>
  <si>
    <t>SK0H</t>
  </si>
  <si>
    <t>040314</t>
  </si>
  <si>
    <t>CERTIFICACION DE CUMPLIMIENTO DE BUENAS PRACTICAS DE DISTRIBUCION DE MEDICAMENTOS DE USO HUMANO</t>
  </si>
  <si>
    <t>90 DÍAS DESDE LA VISITA DE INSPECCIÓN</t>
  </si>
  <si>
    <t>SKQV</t>
  </si>
  <si>
    <t>040315</t>
  </si>
  <si>
    <t>CERTIFICACION DE CUMPLIMIENTO DE BUENAS PRACTICAS DE DISTRIBUCION DE PRINCIPIOS ACTIVOS PARA MEDICAMENTOS DE USO HUMANO</t>
  </si>
  <si>
    <t>SKQW</t>
  </si>
  <si>
    <t>040316</t>
  </si>
  <si>
    <t>ACREDITACION DE CENTROS Y SERVICIOS PARA REALIZAR TRATAMIENTOS DE DESHABITUACION CON OPIACEOS</t>
  </si>
  <si>
    <t>SKSK</t>
  </si>
  <si>
    <t>040317</t>
  </si>
  <si>
    <t>RENOVACION DE LA ACREDITACION DE CENTROS Y SERVICIOS PARA REALIZAR TRATAMIENTOS DE DESHABITUACION CON OPIACEOS</t>
  </si>
  <si>
    <t>SKSL</t>
  </si>
  <si>
    <t>040318</t>
  </si>
  <si>
    <t>RENOVACION DE LA ACREDITACION DE OFICINAS DE FARMACIA PARA ELABORAR, CONSERVAR Y DISPENSAR AGONISTAS OPIACEOS</t>
  </si>
  <si>
    <t>SKSN</t>
  </si>
  <si>
    <t>040339</t>
  </si>
  <si>
    <t>COMUNICACION DE RENUNCIA A LA ACREDITACION DE OFICINAS DE FARMACIA PARA ELABORAR, CONSERVAR Y DISPENSAR AGONISTAS OPIACEOS.</t>
  </si>
  <si>
    <t>MKSM</t>
  </si>
  <si>
    <t>040340</t>
  </si>
  <si>
    <t>COMUNICACION DE MEMORIA FINAL DE ACTIVIDAD FORMATIVA DE PRIMEROS INTERVINIENTES PARA EL USO DE DESFIBRILADORES AUTOMATIZADOS (DEAS)</t>
  </si>
  <si>
    <t>ML7M</t>
  </si>
  <si>
    <t>040341</t>
  </si>
  <si>
    <t>SOLICITUD DE INSCRIPCION EN EL REGISTRO DE PERSONA AUTORIZADA PARA EL USO DE DESFIBRILADORES EXTERNOS AUTOMATIZADOS (DEA) FUERA DEL AMBITO SANITARIO</t>
  </si>
  <si>
    <t>SL7N</t>
  </si>
  <si>
    <t>040358</t>
  </si>
  <si>
    <t>ACREDITACION DE ENFERMERAS Y ENFERMEROS PARA LA INDICACION, USO Y AUTORIZACION DE LA DISPENSACION DE MEDICAMENTOS Y PRODUCTOS SANITARIOS DE USO HUMANO.</t>
  </si>
  <si>
    <t>SLHD</t>
  </si>
  <si>
    <t>040359</t>
  </si>
  <si>
    <t>CERTIFICADO COVID DIGITAL UE.</t>
  </si>
  <si>
    <t>SLM7</t>
  </si>
  <si>
    <t>045305</t>
  </si>
  <si>
    <t>SOLICITUD DE ACREDITACION DE ENTIDADES PARA IMPARTIR  FORMACION PARA EL USO DE DESFIBRILADORES EXTERNOS AUTOMATIZADOS (DEA).</t>
  </si>
  <si>
    <t>SJCA</t>
  </si>
  <si>
    <t>045306</t>
  </si>
  <si>
    <t>COMUNICACION DE ACREDITACION DE ENTIDADES SIN SEDE EN CASTILLA-LA MANCHA PARA IMPARTIR  FORMACION PARA EL USO DE DESFIBRILADORES EXTERNOS AUTOMATIZADOS (DEA).</t>
  </si>
  <si>
    <t>MKU6</t>
  </si>
  <si>
    <t>045307</t>
  </si>
  <si>
    <t>CERTIFICACION DE CUMPLIMIENTO DE NORMAS DE CORRECTA ELABORACION Y CONTROL DE CALIDAD DE FORMULAS MAGISTRALES Y PREPARADOS OFICINALES EN OFICINAS DE FARMACIA Y SERVICIOS FARMACEUTICOS</t>
  </si>
  <si>
    <t>SJRJ</t>
  </si>
  <si>
    <t>045308</t>
  </si>
  <si>
    <t>AUTORIZACION PARA ELABORACION DE FORMULAS MAGISTRALES Y PREPARADOS OFICINALES A TERCEROS EN OFICINAS DE FARMACIA Y SERVICIOS FARMACEUTICOS</t>
  </si>
  <si>
    <t>SJRH</t>
  </si>
  <si>
    <t>045734</t>
  </si>
  <si>
    <t>DECLARACION RESPONSABLE PARA LA EXENCION DE SOCORRISTA EN PISCINAS DE USO PUBLICO</t>
  </si>
  <si>
    <t>DKOH</t>
  </si>
  <si>
    <t>045735</t>
  </si>
  <si>
    <t>COMUNICACION PREVIA DE REAPERTURA DE PISCINAS DE USO PUBLICO</t>
  </si>
  <si>
    <t>MKOG</t>
  </si>
  <si>
    <t>120043</t>
  </si>
  <si>
    <t>PRECIOS PUBLICOS EN LOS LABORATORIOS DE SALUD PUBLICA DE LA CONSEJERIA DE SANIDAD Y ASUNTOS SOCIALES</t>
  </si>
  <si>
    <t>SJZW</t>
  </si>
  <si>
    <t>120054</t>
  </si>
  <si>
    <t>INFORMACION Y ACOMPAÑAMIENTO A PERSONAS AFECTADAS POR UNA ENFERMEDAD RARA</t>
  </si>
  <si>
    <t>SL5X</t>
  </si>
  <si>
    <t>150027</t>
  </si>
  <si>
    <t>JUSTIFICACION DEL GASTO EN EL CONVENIO DE COLABORACION EN MATERIA DE DROGODEPENDENCIA CON EL CONSEJO DE COLEGIOS OFICIALES DE FARMACEUTICOS DE CASTILLA-LA MANCHA</t>
  </si>
  <si>
    <t>PL8X</t>
  </si>
  <si>
    <t>170016</t>
  </si>
  <si>
    <t>RECONOCIMIENTO DE APLICACION DE DEDUCCIONES EN LAS TASAS POR INSPECCION Y CONTROL SANITARIO DE CARNES FRESCAS</t>
  </si>
  <si>
    <t>SK0B</t>
  </si>
  <si>
    <t>180102</t>
  </si>
  <si>
    <t>PROVISION DE PUESTOS POR EL PROCEDIMIENTO DE LIBRE DESIGNACION (CONSEJERIA DE SANIDAD)</t>
  </si>
  <si>
    <t>SECRETARIA GENERAL SANIDAD - CONSEJERIA DE SANIDAD</t>
  </si>
  <si>
    <t>SKFC</t>
  </si>
  <si>
    <t>180186</t>
  </si>
  <si>
    <t>INSCRIPCION EN BOLSA DE PERSONAL FUNCIONARIO DE LA ESCALA SUPERIOR DE SANITARIOS LOCALES (ESPECIALIDADES DE VETERINARIA Y FARMACIA)</t>
  </si>
  <si>
    <t>3 M.</t>
  </si>
  <si>
    <t>SLF2</t>
  </si>
  <si>
    <t>180233</t>
  </si>
  <si>
    <t>PROVISION DE PUESTOS POR EL PROCEDIMIENTO DE LIBRE DESIGNACION (CONSEJERIA DE SANIDAD) RESERVADOS A LA ESCALA SUPERIOR DE SANITARIOS LOCALES, ESPECIALIDAD VETERINARIA</t>
  </si>
  <si>
    <t>SLTQ</t>
  </si>
  <si>
    <t>180257</t>
  </si>
  <si>
    <t>PROVISION DE PUESTOS DE TRABAJO EN LA ADMINISTRACION DE LA JCCM POR EL SISTEMA DE CONCURSO SINGULARIZADO DE MERITOS (CMS SANIDAD 1/2022).</t>
  </si>
  <si>
    <t>SLZ1</t>
  </si>
  <si>
    <t>010087</t>
  </si>
  <si>
    <t>AUTORIZACION DE ESTACIONES DE INSPECCION TECNICA DE VEHICULOS (ITV) FIJAS</t>
  </si>
  <si>
    <t>APROBACIÓN DE PROYECTO: 6 MESES_x000D_
PUESTA EN FUNCIONAMIENTO: 3 MESES</t>
  </si>
  <si>
    <t>CONSEJERIA DE DESARROLLO SOSTENIBLE</t>
  </si>
  <si>
    <t>DIRECCION GENERAL TRANSICION ENERGETICA - CONSEJERIA DE DESARROLLO SOSTENIBLE</t>
  </si>
  <si>
    <t>SIO4</t>
  </si>
  <si>
    <t>010088</t>
  </si>
  <si>
    <t>COMUNICACION DE AUSENCIA DEL/LA JEFE/ A DE EQUIPO DE LA UNIDAD MOVIL DE LA ESTACION DE ITV</t>
  </si>
  <si>
    <t>SJF1</t>
  </si>
  <si>
    <t>010089</t>
  </si>
  <si>
    <t>SOLICITUD DE AUTORIZACION DE LA DELEGACION DE FIRMA DE LA DIRECCION TECNICA DE ESTACION DE ITV O DEL/LA JEFE/A DE EQUIPO DE LA UNIDAD MOVIL</t>
  </si>
  <si>
    <t>SJF2</t>
  </si>
  <si>
    <t>010090</t>
  </si>
  <si>
    <t>AUTORIZACION DE CENTRO TECNICO DE TACOGRAFOS</t>
  </si>
  <si>
    <t>SJEM</t>
  </si>
  <si>
    <t>010093</t>
  </si>
  <si>
    <t>AUTORIZACION DE TALLER DE DISPOSITIVOS DE LIMITACION DE VELOCIDAD</t>
  </si>
  <si>
    <t>SJEQ</t>
  </si>
  <si>
    <t>010097</t>
  </si>
  <si>
    <t>BAJA DE ORGANISMO AUTORIZADO DE VERIFICACION METROLOGICA.</t>
  </si>
  <si>
    <t>SJD3</t>
  </si>
  <si>
    <t>010099</t>
  </si>
  <si>
    <t>BAJA DE ENTIDAD FABRICANTE / COMERCIALIZADORA / IMPORTADORA/ ARRENDADORA DE INSTRUMENTOS DE MEDIDA SOMETIDOS A CONTROL METROLOGICO DEL ESTADO.</t>
  </si>
  <si>
    <t>SJD6</t>
  </si>
  <si>
    <t>010103</t>
  </si>
  <si>
    <t>BAJA DE ORGANISMO NOTIFICADO U ORGANISMO DE CONTROL METROLOGICO</t>
  </si>
  <si>
    <t>SJEJ</t>
  </si>
  <si>
    <t>010108</t>
  </si>
  <si>
    <t>AUTORIZACION ADMINISTRATIVA PREVIA  DE NUEVA INSTALACION  O MODIFICACION SUSTANCIAL DE INSTALACION  ELECTRICA DEL GRUPO PRIMERO.</t>
  </si>
  <si>
    <t>SJ9E</t>
  </si>
  <si>
    <t>010109</t>
  </si>
  <si>
    <t>AUTORIZACION ADMINISTRATIVA DE CONSTRUCCION DE NUEVA INSTALACION  O MODIFICACION SUSTANCIAL DE INSTALACION  ELECTRICA DEL GRUPO PRIMERO.</t>
  </si>
  <si>
    <t>SJ9H</t>
  </si>
  <si>
    <t>010110</t>
  </si>
  <si>
    <t>AUTORIZACION ADMINISTRATIVA PREVIA  Y DE CONSTRUCCION DE NUEVA INSTALACION  O MODIFICACION SUSTANCIAL DE INSTALACION  ELECTRICA DEL GRUPO SEGUNDO.</t>
  </si>
  <si>
    <t>SJ9M</t>
  </si>
  <si>
    <t>010111</t>
  </si>
  <si>
    <t>COMUNICACION DE INSTALACIONES ELECTRICAS DEL GRUPO TERCERO</t>
  </si>
  <si>
    <t>NO PRECISA RESOLUCIÓN</t>
  </si>
  <si>
    <t>MIZ5</t>
  </si>
  <si>
    <t>010112</t>
  </si>
  <si>
    <t>AUTORIZACION  DE TRANSMISION DE INSTALACIONES ELECTRICAS AUTORIZADAS</t>
  </si>
  <si>
    <t>SIZ4</t>
  </si>
  <si>
    <t>010114</t>
  </si>
  <si>
    <t>AUTORIZACION  DE CIERRE DE INSTALACIONES ELECTRICAS AUTORIZADAS</t>
  </si>
  <si>
    <t>SIZ3</t>
  </si>
  <si>
    <t>010115</t>
  </si>
  <si>
    <t>AUTORIZACION ADMINISTRATIVA PARA LA CONSTRUCCION, AMPLIACION O MODIFICACION SUSTANCIAL DE INSTALACION DE TRASPORTE SECUNDARIO DE GAS DE COMPETENCIA AUTONOMICA</t>
  </si>
  <si>
    <t>SJ9S</t>
  </si>
  <si>
    <t>010116</t>
  </si>
  <si>
    <t>AUTORIZACION ADMINISTRATIVA PARA LA CONSTRUCCION AMPLIACION O MODIFICACION SUSTANCIAL DE INSTALACIONES DE DISTRIBUCION DE GAS DE COMPETENCIA AUTONOMICA</t>
  </si>
  <si>
    <t>SJ9R</t>
  </si>
  <si>
    <t>010117</t>
  </si>
  <si>
    <t>AUTORIZACION ADMINISTRATIVA PARA LA TRANSMISION DE INSTALACIONES GASISTAS DE COMPETENCIA AUTONOMICA</t>
  </si>
  <si>
    <t>SJ9P</t>
  </si>
  <si>
    <t>010118</t>
  </si>
  <si>
    <t>AUTORIZACION ADMINISTRATIVA PARA EL CIERRE DE INSTALACIONES GASISTAS DE COMPETENCIA AUTONOMICA</t>
  </si>
  <si>
    <t>SJ9L</t>
  </si>
  <si>
    <t>010124</t>
  </si>
  <si>
    <t>AUTORIZACION SECCIONES A)</t>
  </si>
  <si>
    <t>SJ93</t>
  </si>
  <si>
    <t>010125</t>
  </si>
  <si>
    <t>AUTORIZACION SECCIONES B) (EXCEPTO AGUAS)</t>
  </si>
  <si>
    <t>SJ94</t>
  </si>
  <si>
    <t>010126</t>
  </si>
  <si>
    <t>OTORGAMIENTO DE CONCESION DIRECTA DE SECCION C) Y D)</t>
  </si>
  <si>
    <t>SI5O</t>
  </si>
  <si>
    <t>010128</t>
  </si>
  <si>
    <t>OTORGAMIENTO DE CONCESION DERIVADA DE SECCION C) Y D)</t>
  </si>
  <si>
    <t>SJ8S</t>
  </si>
  <si>
    <t>010129</t>
  </si>
  <si>
    <t>OTORGAMIENTO DE DEMASIAS</t>
  </si>
  <si>
    <t>SJ8Y</t>
  </si>
  <si>
    <t>010130</t>
  </si>
  <si>
    <t>OTORGAMIENTO PERMISO DE INVESTIGACION SECCION C) Y D)</t>
  </si>
  <si>
    <t>SI5N</t>
  </si>
  <si>
    <t>010131</t>
  </si>
  <si>
    <t>OTORGAMIENTO PERMISO DE EXPLORACION DE RECURSOS DE LA SECCION C) O D)</t>
  </si>
  <si>
    <t>SI5M</t>
  </si>
  <si>
    <t>010132</t>
  </si>
  <si>
    <t>AUTORIZACION DE PRORROGAS DE DERECHOS MINEROS</t>
  </si>
  <si>
    <t>SJ91</t>
  </si>
  <si>
    <t>010133</t>
  </si>
  <si>
    <t>AUTORIZACION DE ESTABLECIMIENTOS DE BENEFICIO</t>
  </si>
  <si>
    <t>SJ8Z</t>
  </si>
  <si>
    <t>010134</t>
  </si>
  <si>
    <t>APROBACION PROYECTOS ALUMBRAMIENTO DE AGUAS SUBTERRANEAS</t>
  </si>
  <si>
    <t>SJ8Q</t>
  </si>
  <si>
    <t>010136</t>
  </si>
  <si>
    <t>AUTORIZACION DE SUSPENSION TEMPORAL, ABANDONO DEFINITIVO Y REAPERTURA DE LABORES</t>
  </si>
  <si>
    <t>SJ95</t>
  </si>
  <si>
    <t>010137</t>
  </si>
  <si>
    <t>AUTORIZACION TRANSMISION DE DERECHOS MINEROS</t>
  </si>
  <si>
    <t>SJ96</t>
  </si>
  <si>
    <t>010195</t>
  </si>
  <si>
    <t>SOLICITUD AUTORIZACION DE SUELTA DE PIEZAS DE CAZA VIVA</t>
  </si>
  <si>
    <t>DIRECCION GENERAL MEDIO NATURAL Y BIODIVERSIDAD - CONSEJERIA DE DESARROLLO SOSTENIBLE</t>
  </si>
  <si>
    <t>S261</t>
  </si>
  <si>
    <t>010197</t>
  </si>
  <si>
    <t>AUTORIZACION /MODIFICACION DE CERRAMIENTO CINEGETICO</t>
  </si>
  <si>
    <t>SIJV</t>
  </si>
  <si>
    <t>010199</t>
  </si>
  <si>
    <t>AUTORIZACIONES EXCEPCIONALES DE METODOS PROHIBIDOS</t>
  </si>
  <si>
    <t>SK0V</t>
  </si>
  <si>
    <t>010200</t>
  </si>
  <si>
    <t>COMUNICACION DE LA CELEBRACION DE MONTERIAS, GANCHOS, BATIDAS, JABALI EN MANO, OJEOS DE PERDIZ Y TIRADAS CONTEMPLADAS EN EL PLAN DE ORDENACION CINEGETICA</t>
  </si>
  <si>
    <t>SE PODRÁ DENEGAR LA CELEBRACIÓN CON UNA ANTELACIÓN MÍNIMA DE TRES DÍAS HÁBILES A LA FECHA DE CELEBRACIÓN</t>
  </si>
  <si>
    <t>SJF4</t>
  </si>
  <si>
    <t>010201</t>
  </si>
  <si>
    <t>AUTORIZACION PARA LA CAPTURA DE ESPECIES CINEGETICAS CON FINES CIENTIFICOS</t>
  </si>
  <si>
    <t>S584</t>
  </si>
  <si>
    <t>010211</t>
  </si>
  <si>
    <t>AUTORIZACION DE INSTALACIONES DE ACUICULTURA</t>
  </si>
  <si>
    <t>3 MESES (SI EL PROYECTO DEBE SOMETERSE AL PROCEDIMIENTO DE EVALUACIÓN DE IMPACTO AMBIENTAL, EL PLAZO QUEDARÁ SUSPENDIDO EN TANTO SE RESUELVA)</t>
  </si>
  <si>
    <t>SIJS</t>
  </si>
  <si>
    <t>010213</t>
  </si>
  <si>
    <t>AUTORIZACION DE PESCA CIENTIFICA</t>
  </si>
  <si>
    <t>SJFC</t>
  </si>
  <si>
    <t>010214</t>
  </si>
  <si>
    <t>CONCESION DE COTOS DE PESCA A SOCIEDADES COLABORADORAS</t>
  </si>
  <si>
    <t>SJKV</t>
  </si>
  <si>
    <t>010215</t>
  </si>
  <si>
    <t>AUTORIZACION PARA EL APROVECHAMIENTO DE LA PESCA EN AGUAS DE REGIMEN PRIVADO</t>
  </si>
  <si>
    <t>SJFD</t>
  </si>
  <si>
    <t>010216</t>
  </si>
  <si>
    <t>AUTORIZACION DE ACTUACIONES QUE MODIFIQUEN LA COMPOSICION O ESTRUCTURA DE LA VEGETACION DE LAS ORILLAS Y MARGENES EN ZONAS DE SERVIDUMBRE DE LAS AGUAS PUBLICAS, EMBALSES, CAUCES Y CANALES DE DERIVACION Y RIEGO ASI COMO EXTRACCION DE PLANTAS ACUATICAS</t>
  </si>
  <si>
    <t>SJGB</t>
  </si>
  <si>
    <t>010217</t>
  </si>
  <si>
    <t>AUTORIZACION PARA REPOBLACIONES POR PARTICULARES O PERSONAS CONCESIONARIAS EN SUS COTOS DE PESCA</t>
  </si>
  <si>
    <t>SJFE</t>
  </si>
  <si>
    <t>010224</t>
  </si>
  <si>
    <t>AUTORIZACION PARA EL TRANSPORTE DE PECES Y CANGREJOS EN VIVO</t>
  </si>
  <si>
    <t>S270</t>
  </si>
  <si>
    <t>010233</t>
  </si>
  <si>
    <t>AUTORIZACION EXCEPCIONAL DE CAPTURA CIENTIFICA</t>
  </si>
  <si>
    <t>SJ7L</t>
  </si>
  <si>
    <t>010238</t>
  </si>
  <si>
    <t>AUTORIZACION DE OCUPACIONES TEMPORALES EN MONTES DEMANIALES</t>
  </si>
  <si>
    <t>SJFQ</t>
  </si>
  <si>
    <t>010239</t>
  </si>
  <si>
    <t>AUTORIZACION DE APROVECHAMIENTO FORESTAL</t>
  </si>
  <si>
    <t>SI7P</t>
  </si>
  <si>
    <t>010240</t>
  </si>
  <si>
    <t>MODIFICACION DE LA CUBIERTA VEGETAL</t>
  </si>
  <si>
    <t>SJFR</t>
  </si>
  <si>
    <t>010241</t>
  </si>
  <si>
    <t>TRANSFORMACION EN AGRICOLA DE UN TERRENO FORESTAL EN REGIMEN GENERAL ADMINISTRATIVO</t>
  </si>
  <si>
    <t>SG88</t>
  </si>
  <si>
    <t>010243</t>
  </si>
  <si>
    <t>AUTORIZACION DE OCUPACIONES DE CARACTER TEMPORAL EN VIAS PECUARIAS</t>
  </si>
  <si>
    <t>S244</t>
  </si>
  <si>
    <t>010244</t>
  </si>
  <si>
    <t>AUTORIZACION DE  MODIFICACION DEL TRAZADO DE VIAS PECUARIAS</t>
  </si>
  <si>
    <t>S248</t>
  </si>
  <si>
    <t>010258</t>
  </si>
  <si>
    <t>NOTIFICACION PREVIA DE TRASLADO DE RESIDUOS</t>
  </si>
  <si>
    <t>DIRECCION GENERAL ECONOMIA CIRCULAR - CONSEJERIA DE DESARROLLO SOSTENIBLE</t>
  </si>
  <si>
    <t>NJMU</t>
  </si>
  <si>
    <t>010264</t>
  </si>
  <si>
    <t>ETIQUETA ECOLOGICA DE LA UNION EUROPEA (EEE)</t>
  </si>
  <si>
    <t>SIM6</t>
  </si>
  <si>
    <t>010267</t>
  </si>
  <si>
    <t>NOTIFICACION DE ACTIVIDADES DE VALORIZACION DE RESIDUOS DE CONSTRUCCION Y DEMOLICION EN EL LUGAR DE PRODUCCION MEDIANTE PLANTAS MOVILES</t>
  </si>
  <si>
    <t>SJAS</t>
  </si>
  <si>
    <t>010272</t>
  </si>
  <si>
    <t>APROBACION DEL PLAN EMPRESARIAL DE PREVENCION DE RESIDUOS DE ENVASES.</t>
  </si>
  <si>
    <t>3 MESES (ARTÍCULO 21 DE LA LEY 39/2015, DE 1 DE OCTUBRE)</t>
  </si>
  <si>
    <t>VICECONSEJERIA MEDIO AMBIENTE - CONSEJERIA DE DESARROLLO SOSTENIBLE</t>
  </si>
  <si>
    <t>SJAU</t>
  </si>
  <si>
    <t>010273</t>
  </si>
  <si>
    <t>COMUNICACION DEL INFORME ANUAL DE SEGUIMIENTO DEL PLAN EMPRESARIAL DE PREVENCION DE RESIDUOS DE ENVASES</t>
  </si>
  <si>
    <t>MJAT</t>
  </si>
  <si>
    <t>010274</t>
  </si>
  <si>
    <t>NOTIFICACION ADHESION A LA DISPOSICION ADICIONAL PRIMERA DE LA LEY 11/1997 DE ENVASES Y RESIDUOS DE ENVASES</t>
  </si>
  <si>
    <t>NJAR</t>
  </si>
  <si>
    <t>010275</t>
  </si>
  <si>
    <t>DECLARACION ANUAL DE ENVASES Y RESIDUOS DE ENVASES</t>
  </si>
  <si>
    <t>DJAQ</t>
  </si>
  <si>
    <t>010278</t>
  </si>
  <si>
    <t>AUTORIZACION AMBIENTAL INTEGRADA Y MODIFICACIONES SUSTANCIALES</t>
  </si>
  <si>
    <t>6 MESES PARA SOLICITUD Y 4 PARA MODIFICACIÓN</t>
  </si>
  <si>
    <t>SJB6</t>
  </si>
  <si>
    <t>010279</t>
  </si>
  <si>
    <t>COMUNICACION DE MODIFICACION NO SUSTANCIAL DE AUTORIZACION AMBIENTAL INTEGRADA</t>
  </si>
  <si>
    <t>MJB8</t>
  </si>
  <si>
    <t>010304</t>
  </si>
  <si>
    <t>MODIFICACION DE LA DURACION DEL ALMACENAMIENTO DE RESIDUOS PELIGROSOS</t>
  </si>
  <si>
    <t>SI83</t>
  </si>
  <si>
    <t>010331</t>
  </si>
  <si>
    <t>CONCESION DE LICENCIA PARA LA PRESTACION DEL SERVICIO PUBLICO DE COMUNICACION AUDIOVISUAL RADIOFONICA DE EXPLOTACION MUNICIPAL.</t>
  </si>
  <si>
    <t>DIRECCION GENERAL COHESION TERRITORIAL - CONSEJERIA DE DESARROLLO SOSTENIBLE</t>
  </si>
  <si>
    <t>SIH6</t>
  </si>
  <si>
    <t>010333</t>
  </si>
  <si>
    <t>AUTORIZACION DE UNIDADES MOVILES DE INSPECCION TECNICA DE VEHICULOS (ITV).</t>
  </si>
  <si>
    <t>SIO5</t>
  </si>
  <si>
    <t>010334</t>
  </si>
  <si>
    <t>AUTORIZACION DE ORGANISMOS PARA LA REALIZACION DE REVISIONES DE APARATOS DE BRONCEADO MEDIANTE RADIACIONES ULTRAVIOLETA</t>
  </si>
  <si>
    <t>SIRN</t>
  </si>
  <si>
    <t>010336</t>
  </si>
  <si>
    <t>CAMBIO DE TITULARIDAD DE LAS ESTACIONES DE INSPECCION TECNICA DE VEHICULOS (ITV)</t>
  </si>
  <si>
    <t>SJ6E</t>
  </si>
  <si>
    <t>010341</t>
  </si>
  <si>
    <t>AUTORIZACION DE CONCENTRACION DE TRABAJOS</t>
  </si>
  <si>
    <t>SJ8W</t>
  </si>
  <si>
    <t>010344</t>
  </si>
  <si>
    <t>DECLARACION RESPONSABLE DE ORGANISMOS DE CONTROL EN MATERIA DE SEGURIDAD INDUSTRIAL</t>
  </si>
  <si>
    <t>SJEK</t>
  </si>
  <si>
    <t>010352</t>
  </si>
  <si>
    <t>COMUNICACION DE CORTA.</t>
  </si>
  <si>
    <t>SJNW</t>
  </si>
  <si>
    <t>010357</t>
  </si>
  <si>
    <t>REGIMEN DE PUNTOS LIMPIOS FIJOS EN CASTILLA-LA MANCHA</t>
  </si>
  <si>
    <t>10 MESES A CONTAR DESDE LA RECEPCIÓN DE LA SOLICITUD</t>
  </si>
  <si>
    <t>SJL5</t>
  </si>
  <si>
    <t>010358</t>
  </si>
  <si>
    <t>COMUNICACION DE INICIO DE ACTIVIDAD DE PUNTO LIMPIO MOVIL EN CASTILLA-LA MANCHA</t>
  </si>
  <si>
    <t>MJL6</t>
  </si>
  <si>
    <t>010382</t>
  </si>
  <si>
    <t>AUTORIZACION PARA LA CESION DE ESPECIES SILVESTRES PROVENIENTES DE CENTROS DE FAUNA</t>
  </si>
  <si>
    <t>SJSG</t>
  </si>
  <si>
    <t>010383</t>
  </si>
  <si>
    <t>AUTORIZACION PARA LA TOMA DE IMAGENES EN EL MEDIO NATURAL</t>
  </si>
  <si>
    <t>SJSD</t>
  </si>
  <si>
    <t>010399</t>
  </si>
  <si>
    <t>REMISION DEL INFORME PRELIMINAR DE SITUACION DEL SUELO E INFORME PERIODICO DE SEGUIMIENTO</t>
  </si>
  <si>
    <t>BJVL</t>
  </si>
  <si>
    <t>010404</t>
  </si>
  <si>
    <t>AUTORIZACION COTOS MINEROS</t>
  </si>
  <si>
    <t>SJWE</t>
  </si>
  <si>
    <t>010405</t>
  </si>
  <si>
    <t>CADUCIDAD DE DERECHOS MINEROS</t>
  </si>
  <si>
    <t>SJWF</t>
  </si>
  <si>
    <t>010439</t>
  </si>
  <si>
    <t>AMPLIACION DEL PLAZO ESTABLECIDO POR RESOLUCION PARA INSTALACIONES ELECTRICAS O GASISTICAS AUTORIZADAS</t>
  </si>
  <si>
    <t>SJYA</t>
  </si>
  <si>
    <t>010440</t>
  </si>
  <si>
    <t>COMUNICACION DE INICIO DE ACTIVIDAD EN EL  REGISTRO PRODUCCION Y GESTION DE RESIDUOS DE CASTILLA-LA MANCHA. AGENTES Y NEGOCIANTES</t>
  </si>
  <si>
    <t>MJNX</t>
  </si>
  <si>
    <t>010441</t>
  </si>
  <si>
    <t>NOTIFICACION DE ACTIVIDADES POTENCIAMENTE CONTAMINADORAS DE LA ATMOSFERA PERTENECIENTES AL GRUPO C</t>
  </si>
  <si>
    <t>NJYS</t>
  </si>
  <si>
    <t>010442</t>
  </si>
  <si>
    <t>COMUNICACION DE APORTACION DE MEMORIA ANUAL DE ACTIVIDADES DE ESTACIONES DE ITV</t>
  </si>
  <si>
    <t>SJYT</t>
  </si>
  <si>
    <t>010443</t>
  </si>
  <si>
    <t>COMUNICACION DE APORTACION DE MEMORIA ANUAL DE ACTIVIDADES DE ORGANISMOS AUTORIZADOS DE VERIFICACION METROLOGICA</t>
  </si>
  <si>
    <t>SJYU</t>
  </si>
  <si>
    <t>010444</t>
  </si>
  <si>
    <t>COMUNICACION DE APORTACION DE MEMORIA ANUAL DE ACTIVIDADES DE ORGANISMOS DE CONTROL (OCAS)</t>
  </si>
  <si>
    <t>SJZ1</t>
  </si>
  <si>
    <t>010445</t>
  </si>
  <si>
    <t>AUTORIZACION, MODIFICACION Y/O RENOVACION  DE ENTIDADES Y PROFESIONALES PARA EL SEGUIMIENTO Y CONTROL DE ACTIVIDADES SOMETIDAS A EVALUACION DE IMPACTO AMBIENTAL.</t>
  </si>
  <si>
    <t>SIRS</t>
  </si>
  <si>
    <t>010446</t>
  </si>
  <si>
    <t>NOTIFICACION DE INICIO DE ACTUACION DE ORGANISMOS DE CONTROL AUTORIZADOS EN EL AREA DE ATMOSFERA EN EL AMBITO TERRITORIAL DE CASTILLA-LA MANCHA.</t>
  </si>
  <si>
    <t>NJZD</t>
  </si>
  <si>
    <t>010451</t>
  </si>
  <si>
    <t>CONCURSO PUBLICO DE DERECHOS MINEROS</t>
  </si>
  <si>
    <t>SJZT</t>
  </si>
  <si>
    <t>010458</t>
  </si>
  <si>
    <t>COMUNICACION DE REALIZACION DE ACCIONES EXCEPCIONALES PARA EL CONTROL DE DAÑOS PRODUCIDOS POR ESPECIES CINEGETICAS AUTORIZADAS EN LA RESOLUCION APROBATORIA DEL PLAN DE ORDENACION CINEGETICA</t>
  </si>
  <si>
    <t>SJF3</t>
  </si>
  <si>
    <t>010463</t>
  </si>
  <si>
    <t>HOMOLOGACION DE METODOS DE CAPTURA DE ESPECIES CINEGETICAS DEPREDADORAS, PERROS Y GATOS DOMESTICOS ASILVESTRADOS.</t>
  </si>
  <si>
    <t>SK17</t>
  </si>
  <si>
    <t>010469</t>
  </si>
  <si>
    <t>AUTORIZACION DE EMISION DE GASES DE EFECTO INVERNADERO</t>
  </si>
  <si>
    <t>SJBE</t>
  </si>
  <si>
    <t>010500</t>
  </si>
  <si>
    <t>APROBACION O REVISION DEL PLAN TECNICO DE PESCA</t>
  </si>
  <si>
    <t>SJH1</t>
  </si>
  <si>
    <t>010508</t>
  </si>
  <si>
    <t>COMUNICACION DE APROVECHAMIENTO FORESTAL (MONTES CON INSTRUMENTO DE GESTION FORESTAL SOSTENIBLE -IGFS-)</t>
  </si>
  <si>
    <t>MKAU</t>
  </si>
  <si>
    <t>010512</t>
  </si>
  <si>
    <t>COMUNICACION DE PRODUCTORES DE LODO DE EDAR</t>
  </si>
  <si>
    <t>MJAY</t>
  </si>
  <si>
    <t>010513</t>
  </si>
  <si>
    <t>ASIGNACION GRATUITA DE DERECHOS DE EMISION DE GASES DE EFECTO INVERNADERO PARA NUEVOS ENTRANTES PARA EL PERIODO 2021-2030.</t>
  </si>
  <si>
    <t>SK2B</t>
  </si>
  <si>
    <t>010514</t>
  </si>
  <si>
    <t>MODIFICACION DEL PLAN DE SEGUIMIENTO DE EMISIONES DE GASES DE EFECTO INVERNADERO.</t>
  </si>
  <si>
    <t>SKDD</t>
  </si>
  <si>
    <t>010516</t>
  </si>
  <si>
    <t>COMUNICACION PARA LA REALIZACION DE REPOBLACIONES EN COTOS DE PESCA</t>
  </si>
  <si>
    <t>MKDH</t>
  </si>
  <si>
    <t>010519</t>
  </si>
  <si>
    <t>LICENCIA DE CAZA Y PESCA</t>
  </si>
  <si>
    <t>SKEE</t>
  </si>
  <si>
    <t>010525</t>
  </si>
  <si>
    <t>ACTIVIDADES DEPORTIVAS DE AVENTURA EN EL PARQUE NATURAL CALARES DEL MUNDO Y DE LA SIMA</t>
  </si>
  <si>
    <t>APLICABLE SÓLO A AUTORIZACIONES: 3 MESES</t>
  </si>
  <si>
    <t>SKGZ</t>
  </si>
  <si>
    <t>010542</t>
  </si>
  <si>
    <t>RECOLECCION DE SETAS SILVESTRES EN LOS MONTES DE LA COMUNIDAD AUTONOMA DE CASTILLA-LA MANCHA</t>
  </si>
  <si>
    <t>SKOB</t>
  </si>
  <si>
    <t>010544</t>
  </si>
  <si>
    <t>COMUNICACION DE AUDITORIA ENERGETICA</t>
  </si>
  <si>
    <t>MKP8</t>
  </si>
  <si>
    <t>010549</t>
  </si>
  <si>
    <t>COMUNICACION SOBRE EL CONTROL DE DAÑOS POR CONEJO DE MONTE</t>
  </si>
  <si>
    <t>MKQD</t>
  </si>
  <si>
    <t>010552</t>
  </si>
  <si>
    <t>AUTORIZACION DE VUELO PARA EJEMPLARES PROGENITORES INCLUIDOS EN PROGRAMA DE CRIA DE AVES RAPACES AUTORIZADO</t>
  </si>
  <si>
    <t>SKRE</t>
  </si>
  <si>
    <t>010576</t>
  </si>
  <si>
    <t>VALORIZACION DE MATERIALES NATURALES EXCAVADOS PARA SU UTILIZACION EN OPERACIONES DE RELLENO Y OBRAS DISTINTAS A AQUELLAS EN LAS QUE SE GENERARON</t>
  </si>
  <si>
    <t>MKY7</t>
  </si>
  <si>
    <t>010582</t>
  </si>
  <si>
    <t>AUTORIZACION Y SEGUIMIENTO DE SISTEMAS COLECTIVOS DE RESPONSABILIDAD AMPLIADA DEL PRODUCTOR</t>
  </si>
  <si>
    <t>6 MESES (PRORROGABLES DE MANERA MOTIVADA, POR RAZONES DERIVADAS DE LA COMPLEJIDAD DEL EXPEDIENTE)</t>
  </si>
  <si>
    <t>SL0B</t>
  </si>
  <si>
    <t>010583</t>
  </si>
  <si>
    <t>COMUNICACION PREVIA Y SEGUIMIENTO DE SISTEMAS INDIVIDUALES DE RESPONSABILIDAD AMPLIADA DEL PRODUCTOR</t>
  </si>
  <si>
    <t>ML0C</t>
  </si>
  <si>
    <t>010587</t>
  </si>
  <si>
    <t>SORTEO DE PERMISOS DE CAZA DE COTOS SOCIALES.</t>
  </si>
  <si>
    <t>SL1E</t>
  </si>
  <si>
    <t>010589</t>
  </si>
  <si>
    <t>COMUNICACION PREVIA PLATAFORMAS LOGISTICAS DE LA DISTRIBUCION RAEE</t>
  </si>
  <si>
    <t>ML1Z</t>
  </si>
  <si>
    <t>010595</t>
  </si>
  <si>
    <t>COMUNICACION DE AMENAZA INMINENTE DE DAÑOS Y/O DAÑOS, Y DE LAS MEDIDAS DE PREVENCION Y DE EVITACION DE NUEVOS DAÑOS ADOPTADAS E INICIO DEL PROCEDIMIENTO DE EXIGENCIA DE RESPONSABILIDAD MEDIOAMBIENTAL</t>
  </si>
  <si>
    <t>EL ÓRGANO COMPETENTE SE PRONUNCIARÁ SOBRE LA ADMISIÓN DE LA SOLICITUD DE INICIO DEL PROCEDIMIENTO DE EXIGENCIA DE RESPONSABILIDAD MEDIOAMBIENTAL EN UN PLAZO DE 10 DÍAS HÁBILES DESDE LA RECEPCIÓN DE LA SOLICITUD</t>
  </si>
  <si>
    <t>ML3Y</t>
  </si>
  <si>
    <t>010602</t>
  </si>
  <si>
    <t>AUTORIZACION DE MATERIALES DE BASE PARA LA PRODUCCION DE MATERIALES FORESTALES DE REPRODUCCION DESTINADOS A LA COMERCIALIZACION EN LAS CATEGORIAS IDENTIFICADO Y CONTROLADO.</t>
  </si>
  <si>
    <t>SL4Q</t>
  </si>
  <si>
    <t>010603</t>
  </si>
  <si>
    <t>APROBACION DEL PLAN DE PRODUCCION Y/O GESTION DE ESTIERCOLES GANADEROS</t>
  </si>
  <si>
    <t>SL4X</t>
  </si>
  <si>
    <t>010614</t>
  </si>
  <si>
    <t>COMPRA DE PRODUCTOS CINEGETICIOS DE GRANJAS CINEGETICAS GESTIONADAS POR LA JUNTA DE COMUNIDADES DE CASTILLA-LA MANCHA</t>
  </si>
  <si>
    <t>SL8I</t>
  </si>
  <si>
    <t>010620</t>
  </si>
  <si>
    <t>RENOVACION DE CARNET DE ESPECIALISTA ACREDITADO/A PARA EL USO DE METODOS HOMOLOGADOS DE CAPTURA DE ESPECIES CINEGETICAS DEPREDADORAS, PERROS Y GATOS DOMESTICOS ASILVESTRADOS</t>
  </si>
  <si>
    <t>SLBA</t>
  </si>
  <si>
    <t>010625</t>
  </si>
  <si>
    <t>DOCUMENTO DE IDENTIFICACION DE RESIDUOS</t>
  </si>
  <si>
    <t>NLCW</t>
  </si>
  <si>
    <t>010627</t>
  </si>
  <si>
    <t>PRECINTOS PARA LA ACTIVIDAD CINEGETICA</t>
  </si>
  <si>
    <t>SLDJ</t>
  </si>
  <si>
    <t>010632</t>
  </si>
  <si>
    <t>COMUNICACION DE RESULTADOS DE LA ACTIVIDAD CINEGETICA DURANTE EL PERIODO DE MEDIA VEDA.</t>
  </si>
  <si>
    <t>MLEC</t>
  </si>
  <si>
    <t>010647</t>
  </si>
  <si>
    <t>OBTENCION DE NIMA PARA ENTIDADES NO SUJETAS A COMUNICACION DE INICIO, NI A AUTORIZACION DE RESIDUOS. POSEEDOR.</t>
  </si>
  <si>
    <t>MLKT</t>
  </si>
  <si>
    <t>010656</t>
  </si>
  <si>
    <t>AUTORIZACION DE ALIMENTACION SUPLEMENTARIA EN TERRENOS CINEGETICOS.</t>
  </si>
  <si>
    <t>SLML</t>
  </si>
  <si>
    <t>010660</t>
  </si>
  <si>
    <t>RECONOCIMIENTO DE LA CONDICION DE TITULAR DEL APROVECHAMIENTO CINEGETICO</t>
  </si>
  <si>
    <t>MLOA</t>
  </si>
  <si>
    <t>010667</t>
  </si>
  <si>
    <t>AUTORIZACION DE INTERRUPCIONES DEL SUMINISTRO ELECTRICO PROGRAMADAS</t>
  </si>
  <si>
    <t>48 HORAS.</t>
  </si>
  <si>
    <t>SLQZ</t>
  </si>
  <si>
    <t>010670</t>
  </si>
  <si>
    <t>ACTIVIDADES RECREATIVAS, DEPORTIVAS Y DE USO PUBLICO EN LA RED DE AREAS PROTEGIDAS, MONTES DE UTILIDAD PUBLICA Y EN EL MEDIO NATURAL DE CASTILLA-LA MANCHA (EXCEPTO PARQUE NATURAL DE CALARES DEL MUNDO Y DE LA SIMA)</t>
  </si>
  <si>
    <t>VER "INFORMACIÓN ADICIONAL"</t>
  </si>
  <si>
    <t>SLTF</t>
  </si>
  <si>
    <t>010671</t>
  </si>
  <si>
    <t>COMUNICACION DE SUELTAS DE PIEZAS DE CAZA VIVA EN CUARTELES DE CAZA COMERCIAL</t>
  </si>
  <si>
    <t>MLTH</t>
  </si>
  <si>
    <t>010672</t>
  </si>
  <si>
    <t>AUTORIZACION PARA LA INSTALACION DE CAPTURADERO DE CAZA O PARQUE DE VUELO PARA LA ACLIMATACION DE ESPECIES CINEGETICAS</t>
  </si>
  <si>
    <t>SLUF</t>
  </si>
  <si>
    <t>015108</t>
  </si>
  <si>
    <t>APROBACION PLAN DE ORDENACION CINEGETICA</t>
  </si>
  <si>
    <t>SJF6</t>
  </si>
  <si>
    <t>015109</t>
  </si>
  <si>
    <t>MEMORIA ANUAL DE GESTION CINEGETICA</t>
  </si>
  <si>
    <t>MKRK</t>
  </si>
  <si>
    <t>015110</t>
  </si>
  <si>
    <t>AUTORIZACION, MODIFICACION O CAMBIO DE TITULAR DE GRANJAS CINEGETICAS.</t>
  </si>
  <si>
    <t>S204</t>
  </si>
  <si>
    <t>015111</t>
  </si>
  <si>
    <t>MEMORIA ANUAL DE GESTION (GRANJAS CINEGETICAS)</t>
  </si>
  <si>
    <t>SKKX</t>
  </si>
  <si>
    <t>015112</t>
  </si>
  <si>
    <t>AUTORIZACION DE COMPETICIONES Y CONCURSOS DE PESCA</t>
  </si>
  <si>
    <t>SKPE</t>
  </si>
  <si>
    <t>015113</t>
  </si>
  <si>
    <t>AUTORIZACION DE CONCURSOS Y COMPETICIONES DE PESCA NOCTURNA</t>
  </si>
  <si>
    <t>SJFI</t>
  </si>
  <si>
    <t>015122</t>
  </si>
  <si>
    <t>AUTORIZACION DE EXPLORACION DE HIDROCARBUROS.</t>
  </si>
  <si>
    <t>SIKQ</t>
  </si>
  <si>
    <t>015123</t>
  </si>
  <si>
    <t>AUTORIZACION DE INVESTIGACION DE HIDROCARBUROS.</t>
  </si>
  <si>
    <t>SK06</t>
  </si>
  <si>
    <t>015128</t>
  </si>
  <si>
    <t>NOTIFICACION PREVIA POR ESCRITO DE TRASLADOS TRANSFRONTERIZOS DE RESIDUOS</t>
  </si>
  <si>
    <t>30 DÍAS DESDE QUE LA AUTORIDAD COMPETENTE DE DESTINO EMITA EL ACUSE DE RECIBO DE LA NOTIFICACIÓN (ART. 9 DEL REGLAMENTO Nº 1013/2006)</t>
  </si>
  <si>
    <t>SJME</t>
  </si>
  <si>
    <t>015129</t>
  </si>
  <si>
    <t>SOLICITUD DOCUMENTOS DE NOTIFICACION Y MOVIMIENTO TRASLADOS TRANSFRONTERIZOS DE RESIDUOS</t>
  </si>
  <si>
    <t>SLF1</t>
  </si>
  <si>
    <t>015386</t>
  </si>
  <si>
    <t>TRANSMISION DE LA AUTORIZACION PARA REALIZAR OPERACIONES DE TRATAMIENTO DE RESIDUOS O MODIFICACION DE LA RAZON SOCIAL</t>
  </si>
  <si>
    <t>10 MESES.</t>
  </si>
  <si>
    <t>SK0O</t>
  </si>
  <si>
    <t>015387</t>
  </si>
  <si>
    <t>REMISION DE DOCUMENTACION COMPLEMENTARIA AL PROCEDIMIENTO DE AUTORIZACION PARA REALIZAR OPERACIONES DE TRATAMIENTO DE RESIDUOS</t>
  </si>
  <si>
    <t>SKAS</t>
  </si>
  <si>
    <t>015388</t>
  </si>
  <si>
    <t>AUTORIZACION PARA REALIZAR OPERACIONES DE TRATAMIENTO DE RESIDUOS.</t>
  </si>
  <si>
    <t>SJS0</t>
  </si>
  <si>
    <t>015437</t>
  </si>
  <si>
    <t>SOLICITUD DE AUTORIZACION DE QUEMA DE RESTOS VEGETALES EN MONTE O TERRENO FORESTAL</t>
  </si>
  <si>
    <t>10 DIAS HÁBILES EN CASO DE AUTORIZACION</t>
  </si>
  <si>
    <t>SJW9</t>
  </si>
  <si>
    <t>015767</t>
  </si>
  <si>
    <t>COMUNICACION DE CAMBIO DE PROGENITORES INCLUIDOS EN EL PLAN DE CRIA</t>
  </si>
  <si>
    <t>MKRD</t>
  </si>
  <si>
    <t>015768</t>
  </si>
  <si>
    <t>AUTORIZACION PARA LA CRIA EN CAUTIVIDAD DE AVES RAPACES PARA USO EN CETRERIA EN CASTILLA-LA MANCHA Y SOLICITUD DE INSCRIPCION EN EL REGISTRO DE CRIADORES DE CLM</t>
  </si>
  <si>
    <t>SKRB</t>
  </si>
  <si>
    <t>020014</t>
  </si>
  <si>
    <t>REGISTRO DE ASOCIACIONES DE PERSONAS CONSUMIDORAS Y USUARIAS DE CASTILLA-LA MANCHA</t>
  </si>
  <si>
    <t>DIRECCION GENERAL AGENDA 2030 Y CONSUMO - CONSEJERIA DE DESARROLLO SOSTENIBLE</t>
  </si>
  <si>
    <t>SE95</t>
  </si>
  <si>
    <t>020021</t>
  </si>
  <si>
    <t>APORTACION DE DATOS BASICOS DE UNA INDUSTRIA</t>
  </si>
  <si>
    <t>SJDB</t>
  </si>
  <si>
    <t>020023</t>
  </si>
  <si>
    <t>REGISTRO DE LA INSTALACION DE SEGURIDAD CONTRA INCENDIOS EN ESTABLECIMIENTOS INDUSTRIALES</t>
  </si>
  <si>
    <t>SJDD</t>
  </si>
  <si>
    <t>020025</t>
  </si>
  <si>
    <t>REGISTRO DE INSTALACIONES ELECTRICAS DE ALTA TENSION (EXCEPTO LINEAS) NO SUJETAS A AUTORIZACION</t>
  </si>
  <si>
    <t>SJDF</t>
  </si>
  <si>
    <t>020027</t>
  </si>
  <si>
    <t>REGISTRO DE LA INSTALACION DE LINEAS DE ALTA TENSION NO SUJETAS A AUTORIZACION</t>
  </si>
  <si>
    <t>SJDH</t>
  </si>
  <si>
    <t>020028</t>
  </si>
  <si>
    <t>REGISTRO DE UNA INSTALACION FRIGORIFICA</t>
  </si>
  <si>
    <t>SJDI</t>
  </si>
  <si>
    <t>020032</t>
  </si>
  <si>
    <t>REGISTRO DE CENTROS DE ALMACENAMIENTO Y DISTRIBUCION DE ENVASES DE GLP</t>
  </si>
  <si>
    <t>SJDO</t>
  </si>
  <si>
    <t>020033</t>
  </si>
  <si>
    <t>REGISTRO DE UNA INSTALACION DE ALMACENAMIENTO DE GLP EN DEPOSITOS FIJOS NO SUJETA A AUTORIZACION</t>
  </si>
  <si>
    <t>SJDP</t>
  </si>
  <si>
    <t>020036</t>
  </si>
  <si>
    <t>REGISTRO DE UNA INSTALACION DE PLANTA SATELITE DE GNL (GAS NATURAL LICUADO) NO SUJETA A AUTORIZACION</t>
  </si>
  <si>
    <t>SJDS</t>
  </si>
  <si>
    <t>020037</t>
  </si>
  <si>
    <t>REGISTRO DE UNA ESTACION DE SERVICIO PARA VEHICULOS A GAS</t>
  </si>
  <si>
    <t>SJDT</t>
  </si>
  <si>
    <t>020038</t>
  </si>
  <si>
    <t>REGISTRO DE UNA INSTALACION RECEPTORA DE COMBUSTIBLES GASEOSOS</t>
  </si>
  <si>
    <t>SJDU</t>
  </si>
  <si>
    <t>020040</t>
  </si>
  <si>
    <t>REGISTRO  DE UNA INSTALACION DE ALMACENAMIENTO DE PRODUCTOS QUIMICOS</t>
  </si>
  <si>
    <t>SJDW</t>
  </si>
  <si>
    <t>020041</t>
  </si>
  <si>
    <t>REGISTRO DE UNA INSTALACION DE EQUIPOS A PRESION</t>
  </si>
  <si>
    <t>SJDX</t>
  </si>
  <si>
    <t>020045</t>
  </si>
  <si>
    <t>REGISTRO DE ESTABLECIMIENTO AFECTADO POR NORMATIVA DE ACCIDENTES GRAVES</t>
  </si>
  <si>
    <t>SJE1</t>
  </si>
  <si>
    <t>020048</t>
  </si>
  <si>
    <t>REGISTRO DE UNA INSTALACION ELECTRICA DE BAJA TENSION</t>
  </si>
  <si>
    <t>SJE4</t>
  </si>
  <si>
    <t>020050</t>
  </si>
  <si>
    <t>REGISTRO DE UNA INSTALACION TERMICA</t>
  </si>
  <si>
    <t>SJE6</t>
  </si>
  <si>
    <t>020052</t>
  </si>
  <si>
    <t>REGISTRO DE GRUA TORRE PARA OBRAS U OTRAS APLICACIONES</t>
  </si>
  <si>
    <t>SJEA</t>
  </si>
  <si>
    <t>020054</t>
  </si>
  <si>
    <t>REGISTRO DE DECLARACION DE ADECUACION INDIVIDUALIZADA DE UNA GRUA MOVIL AUTOPROPULSADA</t>
  </si>
  <si>
    <t>SJEC</t>
  </si>
  <si>
    <t>020055</t>
  </si>
  <si>
    <t>REGISTRO DE UNA INSTALACION Y EQUIPOS DE RAYOS X PARA DIAGNOSTICO MEDICO</t>
  </si>
  <si>
    <t>SJED</t>
  </si>
  <si>
    <t>020058</t>
  </si>
  <si>
    <t>REGISTRO DE UNA ENTIDAD DE FORMACION PARA LA OBTENCION DEL CARNE PROFESIONAL Y CURSOS</t>
  </si>
  <si>
    <t>SJCC</t>
  </si>
  <si>
    <t>020079</t>
  </si>
  <si>
    <t>CATALOGACION DE VEHICULO HISTORICO</t>
  </si>
  <si>
    <t>SJEU</t>
  </si>
  <si>
    <t>020080</t>
  </si>
  <si>
    <t>SOLICITUD DE DESIGNACION Y REGISTRO DE ORGANISMO AUTORIZADO DE VERIFICACION METROLOGICA.</t>
  </si>
  <si>
    <t>SJD0</t>
  </si>
  <si>
    <t>020081</t>
  </si>
  <si>
    <t>ACTUALIZACION DE LOS DATOS REGISTRALES DE UN ORGANISMO AUTORIZADO DE VERIFICACION METROLOGICA</t>
  </si>
  <si>
    <t>SJD1</t>
  </si>
  <si>
    <t>020082</t>
  </si>
  <si>
    <t>REGISTRO DE ENTIDADES FABRICANTES / COMERCIALIZADORAS / IMPORTADORAS/ ARRENDADORAS DE INSTRUMENTOS DE MEDIDA SOMETIDOS A CONTROL METROLOGICO DEL ESTADO</t>
  </si>
  <si>
    <t>SIKA</t>
  </si>
  <si>
    <t>020083</t>
  </si>
  <si>
    <t>ACTUALIZACION DE DATOS REGISTRALES DE LAS INSCRIPCIONES EN EL REGISTRO DE CONTROL METROLOGICO DE ENTIDADES FABRICANTES / COMERCIALIZADORAS / IMPORTADORAS / ARRENDADORAS</t>
  </si>
  <si>
    <t>SJD4</t>
  </si>
  <si>
    <t>020084</t>
  </si>
  <si>
    <t>REGISTRO DE EMPRESA REPARADORA/MANTENEDORA DE APARATOS SOMETIDOS A CONTROL METROLOGICO</t>
  </si>
  <si>
    <t>SJD7</t>
  </si>
  <si>
    <t>020086</t>
  </si>
  <si>
    <t>REGISTRO DE ORGANISMO NOTIFICADO U ORGANISMO DE CONTROL METROLOGICO</t>
  </si>
  <si>
    <t>SJEG</t>
  </si>
  <si>
    <t>020087</t>
  </si>
  <si>
    <t>ACTUALIZACION DE LOS DATOS REGISTRALES DE ORGANISMO DE CONTROL METROLOGICO U ORGANISMO NOTIFICADO</t>
  </si>
  <si>
    <t>SJEH</t>
  </si>
  <si>
    <t>020088</t>
  </si>
  <si>
    <t>MODIFICACION DE LOS DATOS INSCRITOS EN EL REGISTRO AUTONOMICO DE INSTALACIONES DE PRODUCCION DE ENERGIA ELECTRICA</t>
  </si>
  <si>
    <t>SJ9Y</t>
  </si>
  <si>
    <t>020089</t>
  </si>
  <si>
    <t>INSCRIPCION PREVIA EN EL REGISTRO AUTONOMICO DE INSTALACIONES DE PRODUCCION DE ENERGIA ELECTRICA</t>
  </si>
  <si>
    <t>SJA1</t>
  </si>
  <si>
    <t>020090</t>
  </si>
  <si>
    <t>INSCRIPCION DEFINITIVA EN EL REGISTRO AUTONOMICO DE INSTALACIONES DE PRODUCCION DE ENERGIA ELECTRICA</t>
  </si>
  <si>
    <t>SJA0</t>
  </si>
  <si>
    <t>020091</t>
  </si>
  <si>
    <t>CANCELACION DE LA INSCRIPCION EN EL REGISTRO AUTONOMICO DE INSTALACIONES DE PRODUCCION DE ENERGIA ELECTRICA</t>
  </si>
  <si>
    <t>SJ9Z</t>
  </si>
  <si>
    <t>020101</t>
  </si>
  <si>
    <t>REGISTRO ESPECIAL DE INSTALACIONES DE RADIOCOMUNICACION</t>
  </si>
  <si>
    <t>3 MESES TRAS SU PRESENTACIÓN.</t>
  </si>
  <si>
    <t>SJX1</t>
  </si>
  <si>
    <t>020144</t>
  </si>
  <si>
    <t>COMUNICACION DE INICIO DE ACTIVIDADES DE PRODUCCION Y GESTION DE RESIDUOS. PRODUCTOR.</t>
  </si>
  <si>
    <t>SE66</t>
  </si>
  <si>
    <t>020145</t>
  </si>
  <si>
    <t>COMUNICACION DE INICIO EN EL REGISTRO DE PRODUCCION Y GESTION DE RESIDUOS DE CASTILLA LA MANCHA. TRANSPORTISTA</t>
  </si>
  <si>
    <t>SI7Z</t>
  </si>
  <si>
    <t>020149</t>
  </si>
  <si>
    <t>NOTIFICACION ANUAL DE DATOS AL REGISTRO PRTR DE CASTILLA-LA MANCHA</t>
  </si>
  <si>
    <t>SJB9</t>
  </si>
  <si>
    <t>020151</t>
  </si>
  <si>
    <t>SOLICITUD DE INFORMACION AMBIENTAL</t>
  </si>
  <si>
    <t>1 MES CON CARÁCTER GENERAL_x000D_
2 MESES SI EL VOLUMEN Y COMPLEJIDAD DE LA INFORMACIÓN ES TAL QUE IMPIDE CUMPLIR EL PLAZO INDICADO.</t>
  </si>
  <si>
    <t>SJBC</t>
  </si>
  <si>
    <t>020152</t>
  </si>
  <si>
    <t>NOTIFICACION Y REGISTRO DE CENTROS EMISORES DE COVS</t>
  </si>
  <si>
    <t>SJBF</t>
  </si>
  <si>
    <t>020173</t>
  </si>
  <si>
    <t>REGISTRO DE INSTALACIONES PETROLIFERAS</t>
  </si>
  <si>
    <t>INSTALACIÓN SIN DISTRIBUCIÓN AL POR MENOR: 3 MESES_x000D_
INSTALACIÓN DE DISTRIBUCIÓN AL POR MENOR: INSCRIPCIÓN: 6 MESES; MODIFICACIÓN O AMPLIACIÓN: 1 MES; BAJA: 1 MES.</t>
  </si>
  <si>
    <t>SIM2</t>
  </si>
  <si>
    <t>020174</t>
  </si>
  <si>
    <t>DECLARACION RESPONSABLE DE EMPRESAS DE SERVICIOS EN MATERIA DE SEGURIDAD INDUSTRIAL</t>
  </si>
  <si>
    <t>SJDV</t>
  </si>
  <si>
    <t>020175</t>
  </si>
  <si>
    <t>REGISTRO DE LA INSTALACION DE UN ASCENSOR</t>
  </si>
  <si>
    <t>SJE8</t>
  </si>
  <si>
    <t>020177</t>
  </si>
  <si>
    <t>INSTALACIONES DE LAVADO INTERIOR, DESGASIFICACION Y DESPRESURIZACION, REPARACION O MODIFICACION DE CISTERNAS DE MERCANCIAS PELIGROSAS (ALTA/BAJA Y MODIFICACION DE DATOS)</t>
  </si>
  <si>
    <t>SJNC</t>
  </si>
  <si>
    <t>020196</t>
  </si>
  <si>
    <t>REGISTRO DE ASOCIACIONES DE CONSERVACION DE LA NATURALEZA.</t>
  </si>
  <si>
    <t>SJSF</t>
  </si>
  <si>
    <t>020197</t>
  </si>
  <si>
    <t>REGISTRO DE EMPRESAS DE TURISMO EN LA NATURALEZA</t>
  </si>
  <si>
    <t>SJSE</t>
  </si>
  <si>
    <t>020200</t>
  </si>
  <si>
    <t>DECLARACION DE ACTIVIDAD EN TALLER DE REPARACION DE VEHICULOS AUTOMOVILES</t>
  </si>
  <si>
    <t>SI86</t>
  </si>
  <si>
    <t>020211</t>
  </si>
  <si>
    <t>REGISTRO DE RADIO Y TELEVISION DE CASTILLA- LA MANCHA</t>
  </si>
  <si>
    <t>SILA</t>
  </si>
  <si>
    <t>020241</t>
  </si>
  <si>
    <t>RECONOCIMIENTO DE LA CONDICION DE TITULAR PROFESIONAL CINEGETICO.</t>
  </si>
  <si>
    <t>SKPK</t>
  </si>
  <si>
    <t>020245</t>
  </si>
  <si>
    <t>REGISTRO DE EXPLOTACIONES CINEGETICAS EXTERIORES</t>
  </si>
  <si>
    <t>SKQG</t>
  </si>
  <si>
    <t>020251</t>
  </si>
  <si>
    <t>REGISTRO DE INSTALACIONES DE PROTECCION CONTRA INCENDIOS EN (EXCEPTO EN ESTABLECIMIENTOS INDUSTRIALES)</t>
  </si>
  <si>
    <t>SKWD</t>
  </si>
  <si>
    <t>020277</t>
  </si>
  <si>
    <t>COMUNICACION PARA LA INSCRIPCION EN EL REGISTRO ADMINISTRATIVO DE AUTOCONSUMO DE ENERGIA ELECTRICA.</t>
  </si>
  <si>
    <t>NO PROCEDE.</t>
  </si>
  <si>
    <t>MLG8</t>
  </si>
  <si>
    <t>022954</t>
  </si>
  <si>
    <t>REGISTRO DE OPERADORES-COLABORADORES DEL PROGRAMA DE EMISION DE BONOS DIGITALES PARA COLECTIVOS VULNERABLES, EN EL MARCO DEL PLAN DE RECUPERACION, TRANSFORMACION Y RESILIENCIA.</t>
  </si>
  <si>
    <t>SLVN</t>
  </si>
  <si>
    <t>022957</t>
  </si>
  <si>
    <t>REGISTRO DE ESPECIES CINEGETICAS EN CAUTIVIDAD (ALECTORIS)</t>
  </si>
  <si>
    <t>SL3P</t>
  </si>
  <si>
    <t>025143</t>
  </si>
  <si>
    <t>INSCRIPCION, MODIFICACION Y/O BAJA EN EL REGISTRO DE AVES RAPACES Y DE CETRERIA.</t>
  </si>
  <si>
    <t>S265</t>
  </si>
  <si>
    <t>025144</t>
  </si>
  <si>
    <t>COMUNICACION DE CESION TEMPORAL O DEFINITIVA   EN EL REGISTRO DE AVES RAPACES Y DE CETRERIA.</t>
  </si>
  <si>
    <t>SK7Q</t>
  </si>
  <si>
    <t>025145</t>
  </si>
  <si>
    <t>COMUNICACION DE PERDIDA, SUSTRACCION, RECUPERACION Y MUERTE  EN EL REGISTRO DE AVES RAPACES Y DE CETRERIA.</t>
  </si>
  <si>
    <t>MK7P</t>
  </si>
  <si>
    <t>025146</t>
  </si>
  <si>
    <t>INSCRIPCION EN EL SISTEMA COMUNITARIO DE GESTION Y AUDITORIA MEDIOAMBIENTALES DE CASTILLA-LA MANCHA (REGISTRO EMAS)</t>
  </si>
  <si>
    <t>SJBA</t>
  </si>
  <si>
    <t>025147</t>
  </si>
  <si>
    <t>RENOVACION EN EL SISTEMA COMUNITARIO DE GESTION Y AUDITORIA MEDIOAMBIENTALES  DE CASTILLA-LA MANCHA (REGISTRO EMAS)</t>
  </si>
  <si>
    <t>SJBB</t>
  </si>
  <si>
    <t>025148</t>
  </si>
  <si>
    <t>COMUNICACION DE CAMBIOS SUSTANCIALES DE UNA ORGANIZACION INSCRITA EN EL SISTEMA COMUNITARIO DE GESTION Y AUDITORIA MEDIOAMBIENTALES DE CASTILLA-LA MANCHA (REGISTRO EMAS).</t>
  </si>
  <si>
    <t>SK1X</t>
  </si>
  <si>
    <t>025149</t>
  </si>
  <si>
    <t>MANTENIMIENTO  EN EL SISTEMA COMUNITARIO DE GESTION Y AUDITORIA MEDIOAMBIENTALES  DE CASTILLA-LA MANCHA (REGISTRO EMAS)</t>
  </si>
  <si>
    <t>SK1Y</t>
  </si>
  <si>
    <t>025162</t>
  </si>
  <si>
    <t>INSCRIPCION DE CERTIFICADOS DE EFICIENCIA ENERGETICA EN EL REGISTRO AUTONOMICO DE CERTIFICADOS DE EFICIENCIA ENERGETICA DE EDIFICIOS DE CASTILLA-LA MANCHA. (EDIFICIO TERMINADO)</t>
  </si>
  <si>
    <t>SJM4</t>
  </si>
  <si>
    <t>025163</t>
  </si>
  <si>
    <t>INSCRIPCION DE CERTIFICADOS DE EFICIENCIA ENERGETICA EN EL REGISTRO AUTONOMICO DE CERTIFICADOS DE EFICIENCIA ENERGETICA DE EDIFICIOS DE CASTILLA-LA MANCHA. (FASE DE PROYECTO)</t>
  </si>
  <si>
    <t>SJM3</t>
  </si>
  <si>
    <t>025164</t>
  </si>
  <si>
    <t>INSCRIPCION DE CERTIFICADOS DE EFICIENCIA ENERGETICA EN EL REGISTRO AUTONOMICO DE CERTIFICADOS DE EFICIENCIA ENERGETICA DE EDIFICIOS DE CASTILLA-LA MANCHA. (EDIFICIO EXISTENTE)</t>
  </si>
  <si>
    <t>NK0W, SK0W</t>
  </si>
  <si>
    <t>025588</t>
  </si>
  <si>
    <t>INSCRIPCION  DE TECNICOS COMPETENTES PARA LA SUSCRIPCION DE CERTIFICACIONES DE EFICIENCIA ENERGETICA DE EDIFICIOS</t>
  </si>
  <si>
    <t>SJM2</t>
  </si>
  <si>
    <t>025589</t>
  </si>
  <si>
    <t>INSCRIPCION DE EMPRESAS QUE PROPORCIONAN SERVICIOS DE CERTIFICACION DE EFICIENCIA ENERGETICA DE EDIFICIOS</t>
  </si>
  <si>
    <t>SK9M</t>
  </si>
  <si>
    <t>025590</t>
  </si>
  <si>
    <t>CANCELACION DE INSCRIPCION EN LA SECCION PRIMERA DEL REGISTRO AUTONOMICO DE CERTIFICADOS DE EFICIENCIA ENERGETICA DE EDIFICIOS DE CASTILLA-LA MANCHA</t>
  </si>
  <si>
    <t>SK9O</t>
  </si>
  <si>
    <t>025591</t>
  </si>
  <si>
    <t>CANCELACION DE INSCRIPCION EN LA SECCION SEGUNDA DEL REGISTRO AUTONOMICO DE CERTIFICADOS DE EFICIENCIA ENERGETICA DE EDIFICIOS DE CASTILLA-LA MANCHA</t>
  </si>
  <si>
    <t>SK9P</t>
  </si>
  <si>
    <t>030054</t>
  </si>
  <si>
    <t>CONCESION O RENOVACION DE DISTINTIVOS A LAS MEJORES PRACTICAS EN MATERIA DE CONSUMO.</t>
  </si>
  <si>
    <t>SIQ4</t>
  </si>
  <si>
    <t>030062</t>
  </si>
  <si>
    <t>CONCURSO ESCOLAR CONSUMOPOLIS</t>
  </si>
  <si>
    <t>2 M.</t>
  </si>
  <si>
    <t>SITU</t>
  </si>
  <si>
    <t>030289</t>
  </si>
  <si>
    <t>CURSOS DE FORMACION DE JOVENES PESCADORES(ESCUELA REGIONAL DE PESCA FLUVIAL)</t>
  </si>
  <si>
    <t>S485</t>
  </si>
  <si>
    <t>030305</t>
  </si>
  <si>
    <t>DECLARACION/MODIFICACION/PERDIDA DE CONDICION DE MONTE PROTECTOR.</t>
  </si>
  <si>
    <t>S496</t>
  </si>
  <si>
    <t>030516</t>
  </si>
  <si>
    <t>DECLARACION/MODIFICACION/PERDIDA DE CONDICION DE MONTE SINGULAR</t>
  </si>
  <si>
    <t>SJJJ</t>
  </si>
  <si>
    <t>030719</t>
  </si>
  <si>
    <t>MODIFICACION RESOLUCION AYUDA EN INVERSIONES EN TECNOLOGIAS FORESTALES Y EN LA TRANSFORMACION, MOVILIZACION Y COMERCIALIZACION DE PRODUCTOS FORESTALES</t>
  </si>
  <si>
    <t>SKV3</t>
  </si>
  <si>
    <t>030751</t>
  </si>
  <si>
    <t>EXPRESION DE INTERES EN AHORRO Y EFICIENCIA ENERGETICA PARA ALUMBRADO PUBLICO EXTERIOR</t>
  </si>
  <si>
    <t>SKZ4</t>
  </si>
  <si>
    <t>030752</t>
  </si>
  <si>
    <t>EXPRESION DE INTERES PARA AHORRO Y EFICIENCIA ENERGETICA EN EDIFICACIONES DE LA ADMINISTRACION LOCAL</t>
  </si>
  <si>
    <t>SKZ5</t>
  </si>
  <si>
    <t>030757</t>
  </si>
  <si>
    <t>AYUDAS A CENTROS DOCENTES PARA LA REALIZACION DE VISITAS DE EDUCACION AMBIENTAL EN LA COMUNIDAD AUTONOMA DE CASTILLA-LA MANCHA</t>
  </si>
  <si>
    <t>TRES MESES DESDE EL MOMENTO EN QUE FINALICE EL PLAZO DE SOLICITUD</t>
  </si>
  <si>
    <t>SKZG</t>
  </si>
  <si>
    <t>030789</t>
  </si>
  <si>
    <t>SUBVENCIONES PARA LA PARTICIPACION DE LAS ASOCIACIONES DE PERSONAS CONSUMIDORAS EN EL DESARROLLO DE ACTIVIDADES EN MATERIA DE CONSUMO Y GESTION ORDINARIA DE LAS ASOCIACIONES DE PERSONAS CONSUMIDORAS.</t>
  </si>
  <si>
    <t>SL2X</t>
  </si>
  <si>
    <t>030813</t>
  </si>
  <si>
    <t>MODIFICACION RESOLUCION  DE LAS AYUDAS PARA LA EJECUCION DE TRATAMIENTOS SELVICOLAS EN  EL  MARCO  DEL  PROGRAMA  DE  DESARROLLO  RURAL  DE  CASTILLA-LA  MANCHA  2014-2020</t>
  </si>
  <si>
    <t>SK64</t>
  </si>
  <si>
    <t>030839</t>
  </si>
  <si>
    <t>AYUDAS MOVES II</t>
  </si>
  <si>
    <t>SL8R</t>
  </si>
  <si>
    <t>030846</t>
  </si>
  <si>
    <t>AYUDAS PARA ACTUACIONES DE EFICIENCIA ENERGETICA EN PYME Y GRAN EMPRESA DEL SECTOR INDUSTRIAL</t>
  </si>
  <si>
    <t>SL9V</t>
  </si>
  <si>
    <t>030979</t>
  </si>
  <si>
    <t>PREMIO REGIONAL DE MEDIO AMBIENTE DE CASTILLA-LA MANCHA</t>
  </si>
  <si>
    <t>6  MESES</t>
  </si>
  <si>
    <t>SLKJ</t>
  </si>
  <si>
    <t>031011</t>
  </si>
  <si>
    <t>SUBVENCIONES PARA EL DESARROLLO DE PROYECTOS EN MATERIA DE CONSUMO RESPONSABLE REALIZADOS POR ENTIDADES SIN ANIMO DE LUCRO.</t>
  </si>
  <si>
    <t>SLNZ</t>
  </si>
  <si>
    <t>031022</t>
  </si>
  <si>
    <t>AYUDAS PARA ADAPTACION DE LINEAS ELECTRICAS DE ALTA TENSION A LOS REQUISITOS ESTABLECIDOS POR EL REAL DECRETO 1432/2008 PARA PERSONAS QUE NO TIENEN LA CONDICION DE EMPRESA DE DISTRIBUCION</t>
  </si>
  <si>
    <t>SLOI</t>
  </si>
  <si>
    <t>031039</t>
  </si>
  <si>
    <t>REFUERZO DE LA CONECTIVIDAD DIGITAL PARA REDES DE BANDA ANCHA DE MUY ALTA VELOCIDAD EN POLIGONOS INDUSTRIALES, CENTROS LOGISTICOS, ZONAS DE ALTA CONCENTRACION EMPRESARIAL Y ZONAS DE INTERES ECONOMICO</t>
  </si>
  <si>
    <t>6 MESES DESDE FINALIZACIÓN DE PLAZO DE PRESENTACIÓN DE SOLICITUDES</t>
  </si>
  <si>
    <t>SLPP</t>
  </si>
  <si>
    <t>031054</t>
  </si>
  <si>
    <t>SUBVENCIONES PARA PROYECTOS DE IMPLANTACION DE NUEVAS RECOGIDAS DE RESIDUOS SEPARADAS Y MEJORA DE LAS EXISTENTES EN MUNICIPIOS DE CASTILLA-LA MANCHA.</t>
  </si>
  <si>
    <t>SLQO</t>
  </si>
  <si>
    <t>031060</t>
  </si>
  <si>
    <t>SUBVENCIONES PARA PROYECTOS DE CONSTRUCCION Y MEJORA DE INSTALACIONES ESPECIFICAS PARA EL TRATAMIENTO DE LOS BIORRESIDUOS RECOGIDOS SEPARADAMENTE EN MUNICIPIOS DE CASTILLA-LA MANCHA.</t>
  </si>
  <si>
    <t>SLQX</t>
  </si>
  <si>
    <t>031085</t>
  </si>
  <si>
    <t>SUBVENCIONES PARA ACTUACIONES DE CONSTRUCCION Y MEJORA DE INSTALACIONES DE RECOGIDA (PUNTOS LIMPIOS) EN MUNICIPIOS DE CASTILLA-LA MANCHA CON MAS DE 5.000 HABITANTES.</t>
  </si>
  <si>
    <t>SEIS MESES</t>
  </si>
  <si>
    <t>SLRY</t>
  </si>
  <si>
    <t>031088</t>
  </si>
  <si>
    <t>SUBVENCIONES PARA PROYECTOS DE CONSTRUCCION DE NUEVAS INSTALACIONES DE PREPARACION PARA LA REUTILIZACION Y EL RECICLADO DE OTROS FLUJOS DE RESIDUOS RECOGIDOS SEPARADAMENTE.</t>
  </si>
  <si>
    <t>SLS2</t>
  </si>
  <si>
    <t>031109</t>
  </si>
  <si>
    <t>SUBVENCIONES DESTINADAS A LA IMPLEMENTACION DE PROYECTOS DE ECONOMIA CIRCULAR EN EL AMBITO DEL SECTOR TURISTICO DE CASTILLA-LA MANCHA</t>
  </si>
  <si>
    <t>SLTP</t>
  </si>
  <si>
    <t>031111</t>
  </si>
  <si>
    <t>SUBVENCIONES PARA PROGRAMAS DE ACTIVIDADES EN MATERIA DE CONSUMO QUE SE REALICEN POR ENTIDADES LOCALES</t>
  </si>
  <si>
    <t>3 MESES CONTADO DESDE LA FECHA DE FINALIZACIÓN DEL PLAZO DE PRESENTACIÓN DE SOLICITUDES</t>
  </si>
  <si>
    <t>SLTV</t>
  </si>
  <si>
    <t>031129</t>
  </si>
  <si>
    <t>AYUDA EN AREAS DE INFLUENCIA SOCIOECONOMICA DE PARQUES NACIONALES EN EL MARCO DEL PLAN DE RECUPERACION, TRANSFORMACION Y RESILIENCIA, FINANCIADO POR LA UNION EUROPEA NEXT GENERATION EU</t>
  </si>
  <si>
    <t>SLUL</t>
  </si>
  <si>
    <t>031145</t>
  </si>
  <si>
    <t>INSTALACION DE REDES INTERNAS DE COMUNICACIONES ELECTRONICAS DE ALTA VELOCIDAD EN FABRICAS, CENTROS Y DEPENDENCIAS SITAS EN POLIGONOS INDUSTRIALES, CENTROS LOGISTICOS Y OTRAS AREAS DE ALTA CONCENTRACION EMPRESARIAL</t>
  </si>
  <si>
    <t>SLVI</t>
  </si>
  <si>
    <t>031152</t>
  </si>
  <si>
    <t>PROGRAMAS DE INCENTIVOS PARA LA IMPLANTACION DE INSTALACIONES DE ENERGIAS RENOVABLES TERMICAS EN DIFERENTES SECTORES DE LA ECONOMIA</t>
  </si>
  <si>
    <t>6 MESES A CONTAR DESDE LA FECHA DE PRESENTACIÓN DE LAS SOLICITUDES.</t>
  </si>
  <si>
    <t>SLVS</t>
  </si>
  <si>
    <t>031180</t>
  </si>
  <si>
    <t>SUBVENCIONES PARA EL DESARROLLO DE PROYECTOS DE SENSIBILIZACION Y FORMACION EN MATERIA DE AGENDA 2030 Y LOS OBJETIVOS DE DESARROLLO SOSTENIBLE</t>
  </si>
  <si>
    <t>SLX4</t>
  </si>
  <si>
    <t>031182</t>
  </si>
  <si>
    <t>AYUDAS DEL PROGRAMA DE EMISION DE BONOS DIGITALES PARA COLECTIVOS VULNERABLES, EN EL MARCO DEL PLAN DE RECUPERACION, TRANSFORMACION Y RESILIENCIA</t>
  </si>
  <si>
    <t>SLX7</t>
  </si>
  <si>
    <t>035247</t>
  </si>
  <si>
    <t>AYUDAS PARA EL FOMENTO DE LA ACUICULTURA EN CASTILLA LA MANCHA</t>
  </si>
  <si>
    <t>S025</t>
  </si>
  <si>
    <t>035248</t>
  </si>
  <si>
    <t>PAGO DE LA AYUDA PARA EL FOMENTO DE LA ACUICULTURA EN CASTILLA LA MANCHA</t>
  </si>
  <si>
    <t>SK6I</t>
  </si>
  <si>
    <t>035249</t>
  </si>
  <si>
    <t>MODIFICACION DE LA RESOLUCION DE LA CONCESION DE AYUDAS PARA EL FOMENTO DE LA ACUICULTURA EN LA COMUNIDAD AUTONOMA DE CASTILLA LA MANCHA.</t>
  </si>
  <si>
    <t>SKV5</t>
  </si>
  <si>
    <t>035253</t>
  </si>
  <si>
    <t>SOLICITUD DE PAGO DE LA AYUDA PARA LA EJECUCION DE TRATAMIENTOS SELVICOLAS.</t>
  </si>
  <si>
    <t>SK62</t>
  </si>
  <si>
    <t>035254</t>
  </si>
  <si>
    <t>COMUNICACION DE CAMBIO DE TITULARIDAD Y ACEPTACION EXPRESA POR EL NUEVO TITULAR DE LAS CONDICIONES DE LA AYUDA PARA LA EJECUCION DE TRATAMIENTOS SELVICOLAS.</t>
  </si>
  <si>
    <t>MK65</t>
  </si>
  <si>
    <t>035255</t>
  </si>
  <si>
    <t>AYUDAS PARA LA EJECUCION DE TRATAMIENTOS SELVICOLAS.</t>
  </si>
  <si>
    <t>SJ11</t>
  </si>
  <si>
    <t>035276</t>
  </si>
  <si>
    <t>APORTACION DE DOCUMENTACION EN EL TRAMITE DE AUDIENCIA</t>
  </si>
  <si>
    <t>SJTG</t>
  </si>
  <si>
    <t>035277</t>
  </si>
  <si>
    <t>MODIFICACION DE LAS CONDICIONES DE TIEMPO O DE LA ESTRUCTURA DEL PROYECTO INICIAL APROBADO</t>
  </si>
  <si>
    <t>SL34</t>
  </si>
  <si>
    <t>035278</t>
  </si>
  <si>
    <t>SOLICITUD DE ABONO DE AYUDAS EN AREAS DE INFLUENCIA SOCIOECONOMICA DE PARQUES NACIONALES EN CASTILLA-LA MANCHA</t>
  </si>
  <si>
    <t>SJTH</t>
  </si>
  <si>
    <t>035721</t>
  </si>
  <si>
    <t>JUSTIFICACION DE UNA SUBVENCION A LA CONFEDERACION REGIONAL DE EMPRESARIOS DE CASTILLA-LA MANCHA PARA LA REALIZACION DE ACTUACIONES EN EL MARCO DEL PLAN INTEGRADO DE GESTION DE RESIDUOS DE CLM</t>
  </si>
  <si>
    <t>PKNV</t>
  </si>
  <si>
    <t>035723</t>
  </si>
  <si>
    <t>JUSTIFICACION DE SUBVENCION A COOPERATIVAS AGRO-ALIMENTARIAS DE CASTILLA-LA MANCHA PARA LA REALIZACION DE ACTUACIONES EN EL MARCO DEL PLAN INTEGRADO DE GESTION DE RESIDUOS DE CLM 2016-2022</t>
  </si>
  <si>
    <t>PKNX</t>
  </si>
  <si>
    <t>035806</t>
  </si>
  <si>
    <t>COMUNICACION DE CAMBIO DE TITULARIDAD Y ACEPTACION EXPRESA POR EL NUEVO TITULAR DE LAS CONDICIONES DE LA AYUDA PARA LA ELABORACION Y REVISION DE INSTRUMENTOS DE GESTION FORESTAL.</t>
  </si>
  <si>
    <t>MKUE</t>
  </si>
  <si>
    <t>035821</t>
  </si>
  <si>
    <t>CAMBIO DE TITULARIDAD Y ACEPTACION EXPRESA DE LAS CONDICIONES DE LA AYUDA EN INVERSIONES EN TEC. FORESTALES Y EN LA TRANSFORMACION, MOVILIZACION Y COMERCIALIZACION DE PRODUCTOS FORESTALES</t>
  </si>
  <si>
    <t>MKV1</t>
  </si>
  <si>
    <t>035822</t>
  </si>
  <si>
    <t>SOLICITUD DE PAGO DE AYUDA EN INVERSIONES EN TECNOLOGIAS FORESTALES Y EN LA TRANSFORMACION, MOVILIZACION Y COMERCIALIZACION DE PRODUCTOS FORESTALES</t>
  </si>
  <si>
    <t>PKV2</t>
  </si>
  <si>
    <t>035823</t>
  </si>
  <si>
    <t>SOLICITUD DE AYUDAS EN INVERSIONES EN TECNOLOGIAS FORESTALES Y EN LA TRANSFORMACION, MOVILIZACION Y COMERCIALIZACION DE PRODUCTOS FORESTALES</t>
  </si>
  <si>
    <t>SKV0</t>
  </si>
  <si>
    <t>035851</t>
  </si>
  <si>
    <t>SOLICITUD MODIFICACION DE RESOLUCION DE AYUDAS DE PAGOS POR COMPROMISOS SILVOAMBIENTALES Y CLIMATICOS.</t>
  </si>
  <si>
    <t>SKWZ</t>
  </si>
  <si>
    <t>035852</t>
  </si>
  <si>
    <t>CAMBIO DE TITULARIDAD Y ACEPTACION EXPRESA DE LAS CONDICIONES DE LA AYUDA PARA LA SUBMEDIDA 15.1 DE PAGOS COMPENSATORIOS POR COMPROMISOS SILVOAMBIENTALES Y CLIMATICOS.</t>
  </si>
  <si>
    <t>MKX0</t>
  </si>
  <si>
    <t>035874</t>
  </si>
  <si>
    <t>SOLICITUD PARA LA CONVOCATORIA DE EXPRESIONES DE INTERES RELATIVA A ACTUACIONES DE MEJORA DE LA GESTION DE RESIDUOS EN EL MARCO DEL PO FEDER CLM 2014-2020.</t>
  </si>
  <si>
    <t>SKZ3</t>
  </si>
  <si>
    <t>035913</t>
  </si>
  <si>
    <t>SOLICITUD DE AYUDA PARA EL MANTENIMIENTO Y MEJORA DE LA BIODIVERSIDAD EN ACCIONES QUE REPERCUTEN EN EL ESTADO DE CONSERVACION DE LA RED NATURA 2000</t>
  </si>
  <si>
    <t>SL25</t>
  </si>
  <si>
    <t>035914</t>
  </si>
  <si>
    <t>COMUNICACION DE CAMBIO DE TITULARIDAD Y ACEPTACION EXPRESA DE LAS CONDICIONES DE LAS AYUDAS PARA EL MANTENIMIENTO Y MEJORA DE LA BIODIVERSIDAD EN ACCIONES SOBRE RED NATURA 2000</t>
  </si>
  <si>
    <t>ML26</t>
  </si>
  <si>
    <t>035915</t>
  </si>
  <si>
    <t>SOLICITUD DE PAGO AYUDAS PARA EL MANTENIMIENTO Y MEJORA DE LA BIODIVERSIDAD EN ACCIONES QUE REPERCUTEN EN EL ESTADO DE CONSERVACION DE LA RED NATURA 2000</t>
  </si>
  <si>
    <t>PL27</t>
  </si>
  <si>
    <t>035916</t>
  </si>
  <si>
    <t>SOLICITUD MODIFICACION DE LA RESOLUCION DE LA AYUDA PARA EL MANTENIMIENTO Y MEJORA DE LA BIODIVERSIDAD EN ACCIONES QUE REPERCUTEN EN EL ESTADO DE CONSERVACION DE LA RED NATURA 2000.</t>
  </si>
  <si>
    <t>SL28</t>
  </si>
  <si>
    <t>035917</t>
  </si>
  <si>
    <t>SOLICITUD AMPLIACION DE PLAZO DE EJECUCION DE LAS AYUDAS PARA EL MANTENIMIENTO Y MEJORA DE LA BIODIVERSIDAD EN ACCIONES QUE REPERCUTEN EN EL ESTADO DE CONSERVACION DE LA RED NATURA 2000</t>
  </si>
  <si>
    <t>SL29</t>
  </si>
  <si>
    <t>035942</t>
  </si>
  <si>
    <t>MODELO DE ACEPTACION/RENUNCIA PROPUESTA RESOLUCION.</t>
  </si>
  <si>
    <t>SL4S</t>
  </si>
  <si>
    <t>035943</t>
  </si>
  <si>
    <t>SL4T</t>
  </si>
  <si>
    <t>035944</t>
  </si>
  <si>
    <t>SOLICITUD DE ABONO DE AYUDAS PARA AYUNTAMIENTOS EN AREAS DE INFLUENCIA SOCIOECONOMICA DE PARQUES NACIONALES EN CASTILLA-LA MANCHA</t>
  </si>
  <si>
    <t>PL4U</t>
  </si>
  <si>
    <t>035945</t>
  </si>
  <si>
    <t>SUBVENCIONES EN REGIMEN DE CONCESION DIRECTA PARA AYUNTAMIENTOS EN AREAS DE INFLUENCIA SOCIOECONOMICA DE PARQUES NACIONALES EN CASTILLA-LA MANCHA</t>
  </si>
  <si>
    <t>SL4R</t>
  </si>
  <si>
    <t>035986</t>
  </si>
  <si>
    <t>SUBVENCIONES PARA PROYECTOS Y ACTIVIDADES DE EDUCACION AMBIENTAL PROMOVIDOS POR ENTIDADES PRIVADAS SIN ANIMO DE LUCRO DE CASTILLA-LA MANCHA</t>
  </si>
  <si>
    <t>SL92</t>
  </si>
  <si>
    <t>036084</t>
  </si>
  <si>
    <t>REMISION DE INFORME ANUAL DE ACTUACIONES DE LAS AYUDAS PIMA-CC PARA EL DISEÑO E IMPLANTACION DE ZONAS DE BAJAS EMISIONES EN MUNICIPIOS DE CASTILLA-LA MANCHA.</t>
  </si>
  <si>
    <t>BLL3</t>
  </si>
  <si>
    <t>036085</t>
  </si>
  <si>
    <t>ALEGACIONES Y ACEPTACION O RENUNCIA DE LA PROPUESTA DE RESOLUCION DE AYUDAS PIMA-CC PARA EL DISEÑO E IMPLANTACION DE ZONAS DE BAJAS EMISIONES EN MUNICIPIOS DE CASTILLA-LA MANCHA.</t>
  </si>
  <si>
    <t>SLL4</t>
  </si>
  <si>
    <t>036086</t>
  </si>
  <si>
    <t>MODIFICACION DE RESOLUCION DE CONCESION DE AYUDAS PIMA-CC PARA EL DISEÑO E IMPLANTACION DE ZONAS DE BAJAS EMISIONES EN MUNICIPIOS DE CASTILLA-LA MANCHA</t>
  </si>
  <si>
    <t>SLL6</t>
  </si>
  <si>
    <t>036087</t>
  </si>
  <si>
    <t>AYUDAS PIMA-CC PARA EL DISEÑO E IMPLANTACION DE ZONAS DE BAJAS EMISIONES EN MUNICIPIOS DE CASTILLA-LA MANCHA.</t>
  </si>
  <si>
    <t>SLL2</t>
  </si>
  <si>
    <t>036088</t>
  </si>
  <si>
    <t>PRESENTACION MEMORIA TECNICA, ECONOMICA Y SOLICITUD DE PAGO FINAL DE ACTUACIONES DE AYUDAS PIMA-CC PARA EL DISEÑO E IMPLANTACION DE ZONAS DE BAJAS EMISIONES EN MUNICIPIOS DE CASTILLA-LA MANCHA.</t>
  </si>
  <si>
    <t>PLL5</t>
  </si>
  <si>
    <t>036100</t>
  </si>
  <si>
    <t>ALEGACIONES Y ACEPTACION O RENUNCIA DE LA PROPUESTA DE RESOLUCION DE AYUDAS  PARA ACTUACIONES PILOTO DE CARACTER INNOVADOR PARA ADAPTACION AL CAMBIO CLIMATICO EN ESPACIOS URBANOS Y PERIURBANOS.</t>
  </si>
  <si>
    <t>SLMA</t>
  </si>
  <si>
    <t>036101</t>
  </si>
  <si>
    <t>REMISION DE INFORME ANUAL DE ACTUACIONES DE LAS AYUDAS PIMA-CC  PARA LA ADAPTACION AL CAMBIO CLIMATICO EN ESPACIOS URBANOS Y PERIURBANOS.</t>
  </si>
  <si>
    <t>BLMB</t>
  </si>
  <si>
    <t>036102</t>
  </si>
  <si>
    <t>AYUDAS PIMA-CC PARA ACTUACIONES PILOTO DE CARACTER INNOVADOR PARA LA ADAPTACION AL CAMBIO CLIMATICO EN ESPACIOS URBANOS Y PERIURBANOS.</t>
  </si>
  <si>
    <t>SLM9</t>
  </si>
  <si>
    <t>036103</t>
  </si>
  <si>
    <t>PRESENTACION MEMORIA TECNICA, ECONOMICA Y SOLICITUD DE PAGO FINAL DE ACTUACIONES DE AYUDAS PIMA-CC PARA LA ADAPTACION AL CAMBIO CLIMATICO EN ESPACIOS URBANOS Y PERIURBANOS.</t>
  </si>
  <si>
    <t>PLMC</t>
  </si>
  <si>
    <t>036104</t>
  </si>
  <si>
    <t>MODIFICACION DE RESOLUCION DE CONCESION DE AYUDAS PIMA-CC PARA ACTUCACIONES PILOTO DE CARACTER INNOVADOR PARA LA ADAPTACION AL CAMBIO CLIMATICO DE ESPACIOS URBANOS Y PERIURBANOS.</t>
  </si>
  <si>
    <t>SLMD</t>
  </si>
  <si>
    <t>036119</t>
  </si>
  <si>
    <t>SOLICITUD DE AYUDA MOVES III PARA ADQUISICION DE VEHICULOS ELECTRICOS</t>
  </si>
  <si>
    <t>SLN5</t>
  </si>
  <si>
    <t>036120</t>
  </si>
  <si>
    <t>SOLICITUD DE AYUDA MOVES III PARA IMPLANTACION DE INFRAESTRUCTURA DE RECARGA DE VEHICULOS ELECTRICOS</t>
  </si>
  <si>
    <t>SLN6</t>
  </si>
  <si>
    <t>036142</t>
  </si>
  <si>
    <t>CONVOCATORIA DE LOS PROGRAMAS DE INCENTIVOS 4 Y 5 PARA ACTUACIONES DE AUTOCONSUMO, CON FUENTES DE ENERGIAS RENOVABLES, EN EL SECTOR RESIDENCIAL, LAS ADMINISTRACIONES PUBLICAS Y EL TERCER SECTOR.</t>
  </si>
  <si>
    <t>SLPT</t>
  </si>
  <si>
    <t>036143</t>
  </si>
  <si>
    <t>CONVOCATORIA DE LOS PROGRAMAS DE INCENTIVOS 1, 2 Y 3 PARA ACTUACIONES DE AUTOCONSUMO, CON FUENTES DE ENERGIAS RENOVABLES, PARA EL SECTOR SERVICIOS Y OTROS SECTORES PRODUCTIVOS.</t>
  </si>
  <si>
    <t>SLPS</t>
  </si>
  <si>
    <t>036144</t>
  </si>
  <si>
    <t>CONVOCATORIA DEL PROGRAMA DE INCENTIVOS 6 PARA LA REALIZACION DE INSTALACIONES DE ENERGIAS RENOVABLES TERMICAS EN EL SECTOR RESIDENCIAL</t>
  </si>
  <si>
    <t>SLPU</t>
  </si>
  <si>
    <t>040040</t>
  </si>
  <si>
    <t>ADMISION A EXAMENES DE APTITUD PARA LA OBTENCION DEL CERTIFICADO DE CUALIFICACION INDIVIDUAL</t>
  </si>
  <si>
    <t>S978</t>
  </si>
  <si>
    <t>040042</t>
  </si>
  <si>
    <t>OBTENCION Y EXPEDICION DEL CERTIFICADO DE CUALIFICACION INDIVIDUAL</t>
  </si>
  <si>
    <t>SJCH</t>
  </si>
  <si>
    <t>040046</t>
  </si>
  <si>
    <t>OBTENCION DE CARNES DE PROFESIONALES EN MATERIA DE SEGURIDAD INDUSTRIAL</t>
  </si>
  <si>
    <t>SJCZ</t>
  </si>
  <si>
    <t>040047</t>
  </si>
  <si>
    <t>DECLARACION EN CONCRETO DE LA UTILIDAD PUBLICA DE INSTALACIONES ELECTRICAS</t>
  </si>
  <si>
    <t>SI5Y</t>
  </si>
  <si>
    <t>040048</t>
  </si>
  <si>
    <t>AUTORIZACION DE EXPLOTACION DE INSTALACIONES ELECTRICAS</t>
  </si>
  <si>
    <t>SJ9T</t>
  </si>
  <si>
    <t>040051</t>
  </si>
  <si>
    <t>APROBACION DE PROYECTO DE EJECUCION DE INSTALACIONES GASISTAS DE COMPETENCIA AUTONOMICA.</t>
  </si>
  <si>
    <t>SJ9Q</t>
  </si>
  <si>
    <t>040052</t>
  </si>
  <si>
    <t>AUTORIZACION DE EXPLOTACION  DE INSTALACIONES GASISTAS DE COMPETENCIA AUTONOMICA.</t>
  </si>
  <si>
    <t>SJ9O</t>
  </si>
  <si>
    <t>040053</t>
  </si>
  <si>
    <t>DECLARACION EN CONCRETO DE LA UTILIDAD PUBLICA DE INSTALACIONES GASISTAS DE COMPETENCIA AUTONOMICA</t>
  </si>
  <si>
    <t>SJ9K</t>
  </si>
  <si>
    <t>040055</t>
  </si>
  <si>
    <t>RECLASIFICACION DE RECURSOS MINERALES</t>
  </si>
  <si>
    <t>SJ92</t>
  </si>
  <si>
    <t>040056</t>
  </si>
  <si>
    <t>APROBACION DE PLAN DE LABORES</t>
  </si>
  <si>
    <t>TRES MESES PARA CONCESIONES DE LAS SECCIONES C) Y D): DOS MESES PARA SECCIONES A) Y PERMISOS DE INVESTIGACIÓN</t>
  </si>
  <si>
    <t>SI5Z</t>
  </si>
  <si>
    <t>040065</t>
  </si>
  <si>
    <t>OTORGAMIENTO DE CONCESION DE APROVECHAMIENTO DE AGUAS  MINERALES O TERMALES</t>
  </si>
  <si>
    <t>SJ8R</t>
  </si>
  <si>
    <t>040066</t>
  </si>
  <si>
    <t>APROBACION DE PLAN ANUAL DE APROVECHAMIENTO DE AGUAS MINERALES O TERMALES</t>
  </si>
  <si>
    <t>SI7J</t>
  </si>
  <si>
    <t>040120</t>
  </si>
  <si>
    <t>DECLARACION DE ASOCIACIONES DE PESCADORES COMO SOCIEDADES COLABORADORAS</t>
  </si>
  <si>
    <t>SJFH</t>
  </si>
  <si>
    <t>040122</t>
  </si>
  <si>
    <t>DESLINDE DE MONTES DEMANIALES</t>
  </si>
  <si>
    <t>S062</t>
  </si>
  <si>
    <t>040123</t>
  </si>
  <si>
    <t>AMOJONAMIENTO DE MONTES DEMANIALES</t>
  </si>
  <si>
    <t>SJFP</t>
  </si>
  <si>
    <t>040124</t>
  </si>
  <si>
    <t>CATALOGACION DE MONTES PUBLICOS</t>
  </si>
  <si>
    <t>SJMR</t>
  </si>
  <si>
    <t>040125</t>
  </si>
  <si>
    <t>DESAFECTACION/DESCATALOGACION  DE MONTES DEMANIALES</t>
  </si>
  <si>
    <t>SJMN</t>
  </si>
  <si>
    <t>040127</t>
  </si>
  <si>
    <t>EJERCICIO DE LA ACCION DE ADQUISICION PREFERENTE (TANTEO Y RETRACTO)</t>
  </si>
  <si>
    <t>SJKS</t>
  </si>
  <si>
    <t>040128</t>
  </si>
  <si>
    <t>DECLARACION DE PREVALENCIA DE UTILIDAD PUBLICA</t>
  </si>
  <si>
    <t>SJMO</t>
  </si>
  <si>
    <t>040132</t>
  </si>
  <si>
    <t>DESLINDE/DELIMITACION DE VIA PECUARIA</t>
  </si>
  <si>
    <t>SJNF</t>
  </si>
  <si>
    <t>040133</t>
  </si>
  <si>
    <t>AMOJONAMIENTO DE VIA PECUARIA</t>
  </si>
  <si>
    <t>SJNG</t>
  </si>
  <si>
    <t>040136</t>
  </si>
  <si>
    <t>AUTORIZACION PARA EL ACONDICIONAMIENTO, MANTENIMIENTO Y MEJORA DE VIA PECUARIA</t>
  </si>
  <si>
    <t>SJNI</t>
  </si>
  <si>
    <t>040137</t>
  </si>
  <si>
    <t>AUTORIZACION/DECLARACION RESPONSABLE DE USOS COMPATIBLES/COMPLEMENTARIOS EN VIAS PECUARIAS</t>
  </si>
  <si>
    <t>SJNK</t>
  </si>
  <si>
    <t>040138</t>
  </si>
  <si>
    <t>AUTORIZACION DE APROVECHAMIENTOS SOBRANTES EN VIAS PECUARIAS</t>
  </si>
  <si>
    <t>SJNL</t>
  </si>
  <si>
    <t>040147</t>
  </si>
  <si>
    <t>MEMORIAS DE RESIDUOS</t>
  </si>
  <si>
    <t>SJLD</t>
  </si>
  <si>
    <t>040148</t>
  </si>
  <si>
    <t>CONVALIDACION POR INVERSION DE CARACTER MEDIOAMBIENTAL</t>
  </si>
  <si>
    <t>SI84</t>
  </si>
  <si>
    <t>040150</t>
  </si>
  <si>
    <t>AUTORIZACION ADMINISTRATIVA DE ACTIVIDADES POTENCIALMENTE CONTAMINADORAS DE LA ATMOSFERA.</t>
  </si>
  <si>
    <t>SJBD</t>
  </si>
  <si>
    <t>040152</t>
  </si>
  <si>
    <t>EVALUACION AMBIENTAL ESTRATEGICA DE PLANES Y PROGRAMAS</t>
  </si>
  <si>
    <t>VER EN "INFORMACIÓN ADICIONAL".</t>
  </si>
  <si>
    <t>SIY3</t>
  </si>
  <si>
    <t>040153</t>
  </si>
  <si>
    <t>EVALUACION DE IMPACTO AMBIENTAL DE PROYECTOS</t>
  </si>
  <si>
    <t>VER REQUISITOS.</t>
  </si>
  <si>
    <t>S478</t>
  </si>
  <si>
    <t>040179</t>
  </si>
  <si>
    <t>DECLARACION DE AGUA MINERAL, MODIFICACION O AMPLIACION DE UNA DECLARACION</t>
  </si>
  <si>
    <t>SJ8X</t>
  </si>
  <si>
    <t>040181</t>
  </si>
  <si>
    <t>CERTIFICADO DE EMPRESA PARA LA MANIPULACION DE GASES FLUORADOS</t>
  </si>
  <si>
    <t>SJNT</t>
  </si>
  <si>
    <t>040182</t>
  </si>
  <si>
    <t>CERTIFICADO PERSONAL PARA LA MANIPULACION DE GASES FLUORADOS</t>
  </si>
  <si>
    <t>SJNU</t>
  </si>
  <si>
    <t>040233</t>
  </si>
  <si>
    <t>HOMOLOGACION DE TROFEOS DE CAZA</t>
  </si>
  <si>
    <t>SJX9</t>
  </si>
  <si>
    <t>040237</t>
  </si>
  <si>
    <t>COMUNICACION DE APORTACION DE ACTAS O CERTIFICADOS DE INSPECCION, REVISION O CONTROL, DE INSTALACIONES O ESTABLECIMIENTOS SOMETIDOS A REGLAMENTACION DE SEGURIDAD INDUSTRIAL</t>
  </si>
  <si>
    <t>SJYR</t>
  </si>
  <si>
    <t>040246</t>
  </si>
  <si>
    <t>VALIDACION DE INFORMES ANUALES DE EMISION DE GASES DE GASES DE EFECTO INVERNADERO</t>
  </si>
  <si>
    <t>SK2C</t>
  </si>
  <si>
    <t>040280</t>
  </si>
  <si>
    <t>DESIGNACION COMO VOCAL DEL CONSEJO REGIONAL DE PESCA Y DE LOS CONSEJOS PROVINCIALES DE PESCA</t>
  </si>
  <si>
    <t>SKBO</t>
  </si>
  <si>
    <t>040283</t>
  </si>
  <si>
    <t>APROBACION DE INFORME DE MEJORAS DE INSTALACIONES INCLUIDAS EN EL REGIMEN DE COMERCIO DE GASES DE EFECTO INVERNADERO</t>
  </si>
  <si>
    <t>SKD7</t>
  </si>
  <si>
    <t>040288</t>
  </si>
  <si>
    <t>REMISION DE INFORMACION DE INSTALACIONES DE PRODUCCION DE ENERGIA ELECTRICA CON REGIMEN RETRIBUTIVO ESPECIFICO</t>
  </si>
  <si>
    <t>SKE6</t>
  </si>
  <si>
    <t>040291</t>
  </si>
  <si>
    <t>PRUEBAS DE APTITUD PARA OBTENER POR PRIMERA VEZ LA LICENCIA DE CAZA DE CASTILLA-LA MANCHA</t>
  </si>
  <si>
    <t>SKFR</t>
  </si>
  <si>
    <t>040292</t>
  </si>
  <si>
    <t>DECLARACION RESPONSABLE DEL NUMERO DE INSPECCIONES ITV REALIZADAS Y LIQUIDACION DE LA TASA CORRESPONDIENTE</t>
  </si>
  <si>
    <t>SKG5</t>
  </si>
  <si>
    <t>040296</t>
  </si>
  <si>
    <t>DECLARACION DE ACTIVIDADES LABORALES EN LAS QUE EXISTAN FUENTES NATURALES DE RADIACION</t>
  </si>
  <si>
    <t>DKGQ</t>
  </si>
  <si>
    <t>040299</t>
  </si>
  <si>
    <t>DECLARACION RESPONSABLE PARA TALLERES DE TAXIDERMIA QUE TRABAJEN CON ESPECIES CINEGETICAS</t>
  </si>
  <si>
    <t>SA88</t>
  </si>
  <si>
    <t>040303</t>
  </si>
  <si>
    <t>DECLARACION RESPONSABLE PARA PERSONAS FISICAS O JURIDICAS QUE ACTUAN COMO AGENTES A LOS EFECTOS DEL REGLAMENTO (UE) N.º 995/2010</t>
  </si>
  <si>
    <t>DKKP</t>
  </si>
  <si>
    <t>040322</t>
  </si>
  <si>
    <t>CERTIFICACION ACREDITATIVA DE LA CUALIFICACION COMO OPERARIO CUALIFICADO EN LA INSTALACION Y/O MANTENIMIENTO DE SISTEMAS DE PROTECCION CONTRA INCENDIOS</t>
  </si>
  <si>
    <t>SKWE</t>
  </si>
  <si>
    <t>040326</t>
  </si>
  <si>
    <t>INFORME EN RELACION A LOS PRECIOS DE LOS SERVICIOS PUBLICOS MUNICIPALES  SUJETOS A INTERVENCION POR PARTE DE LA JUNTA DE COMUNIDADES DE CASTILLA-LA MANCHA</t>
  </si>
  <si>
    <t>SJSH</t>
  </si>
  <si>
    <t>040331</t>
  </si>
  <si>
    <t>DECLARACION RESPONSABLE DE HABER CONSTITUIDO LA GARANTIA FINANCIERA OBLIGATORIA O, EN SU CASO, DE QUEDAR EXENTOS DE SU CONSTITUCION</t>
  </si>
  <si>
    <t>DL3T</t>
  </si>
  <si>
    <t>040335</t>
  </si>
  <si>
    <t>INFORMACION SOBRE EL CARACTER AGRICOLA O FORESTAL DE UN TERRENO.</t>
  </si>
  <si>
    <t>UN MES CON CARÁCTER GENERAL, Y DOS MESES SI EL VOLUMEN Y COMPLEJIDAD DE LA INFORMACIÓN ES TAL QUE IMPIDE CUMPLIR EL PLAZO INDICADO.</t>
  </si>
  <si>
    <t>SL54</t>
  </si>
  <si>
    <t>040338</t>
  </si>
  <si>
    <t>INSTRUMENTOS DE GESTION FORESTAL SOSTENIBLE</t>
  </si>
  <si>
    <t>SL5L</t>
  </si>
  <si>
    <t>040350</t>
  </si>
  <si>
    <t>ACTUALIZACION DEL INVENTARIO DE LINEAS ELECTRICAS DE ALTA TENSION EN ZONAS DE PROTECCION QUE NO SE AJUSTAN AL REAL DECRETO 1432/2008</t>
  </si>
  <si>
    <t>SLCU</t>
  </si>
  <si>
    <t>040351</t>
  </si>
  <si>
    <t>INFORME FAVORABLE DE PLANES DE INVERSION DE EMPRESAS DISTRIBUIDORAS DE ENERGIA ELECTRICA</t>
  </si>
  <si>
    <t>HASTA EL 1 DE MAYO PARA LAS SOLICITUDES RECIBIDAS ANTES DEL 1 DE MARZO Y EL 20 DE OCT. PARA LAS NUEVOS PLANES QUE TENGAN QUE PRESENTARSE DESPUÉS POR NO HABER SIDO APROBADOS (ANTES DEL 10 DE OCT.)</t>
  </si>
  <si>
    <t>SLD4</t>
  </si>
  <si>
    <t>040361</t>
  </si>
  <si>
    <t>DESIGNACION DE VOCALES DE LOS CONSEJOS PROVINCIALES Y DEL CONSEJO REGIONAL DE CAZA.</t>
  </si>
  <si>
    <t>SLNS</t>
  </si>
  <si>
    <t>040362</t>
  </si>
  <si>
    <t>BONO SOCIAL TERMICO. APORTACION DE DATOS PARA EL ABONO DEL BONO SOCIAL TERMICO O RENUNCIA A LA CONDICION DE PERSONA BENEFICIARIA DEL BONO SOCIAL TERMICO.</t>
  </si>
  <si>
    <t>SLOJ</t>
  </si>
  <si>
    <t>040370</t>
  </si>
  <si>
    <t>OBTENCION O RENOVACION DEL CERTIFICADO DE APTITUD DE PERSONA OPERADORA DE MAQUINARIA MOVIL MINERA</t>
  </si>
  <si>
    <t>SLQD</t>
  </si>
  <si>
    <t>040373</t>
  </si>
  <si>
    <t>PRUEBAS DE CONOCIMIENTOS ESPECIFICOS PARA OBTENER LA ACREDITACION DE VIGILANTE DE PESCA</t>
  </si>
  <si>
    <t>SLRL</t>
  </si>
  <si>
    <t>045325</t>
  </si>
  <si>
    <t>APROBACION DE PLANES TERRITORIALES PARA EL DESPLIEGUE DE REDES E INSTALACIONES DE RADIOCOMUNICACION DE OPERADORES.</t>
  </si>
  <si>
    <t>3 MESES TRAS PRESENTACIÓN DE LOS PLANES.</t>
  </si>
  <si>
    <t>SJQU</t>
  </si>
  <si>
    <t>045326</t>
  </si>
  <si>
    <t>COMUNICACION DE MODIFICACION DE PLANES TERRITORIALES PARA EL DESPLIEGUE DE REDES E INSTALACIONES DE RADIOCOMUNICACION DE OPERADORES.</t>
  </si>
  <si>
    <t>SJQV</t>
  </si>
  <si>
    <t>045334</t>
  </si>
  <si>
    <t>SOLICITUD DE CONSTITUCION DE COTO DE CAZA O ZONA COLECTIVA DE CAZA.</t>
  </si>
  <si>
    <t>SA82</t>
  </si>
  <si>
    <t>045335</t>
  </si>
  <si>
    <t>SOLICITUD DE MODIFICACION DE COTO DE CAZA O ZONA COLECTIVA DE CAZA.</t>
  </si>
  <si>
    <t>SKT8</t>
  </si>
  <si>
    <t>045336</t>
  </si>
  <si>
    <t>SOLICITUD DE CAMBIO DE TITULAR DE COTO DE CAZA O ZONA COLECTIVA DE CAZA</t>
  </si>
  <si>
    <t>SKT7</t>
  </si>
  <si>
    <t>045582</t>
  </si>
  <si>
    <t>DECLARACION PARA OBTENER LA CUALIFICACION DE ESPECIALISTA ACREDITADO/A PARA LA UTILIZACION DE METODOS DE CAPTURA DE DEPREDADORES EN CASTILLA-LA MANCHA</t>
  </si>
  <si>
    <t>DK8Q</t>
  </si>
  <si>
    <t>045583</t>
  </si>
  <si>
    <t>PRUEBAS DE CONOCIMIENTOS ESPECIFICOS PARA ACCEDER A LA CUALIFICACION DE ESPECIALISTA ACREDITADO/A PARA EL USO DE METODOS HOMOLOGADOS DE CAPTURA DE DEPREDADORES</t>
  </si>
  <si>
    <t>SK8P</t>
  </si>
  <si>
    <t>050005</t>
  </si>
  <si>
    <t>EXPROPIACION FORZOSA PARA EL ESTABLECIMIENTO DE INSTALACIONES Y LA IMPOSICION DE SERVIDUMBRES DE PASO POR INSTALACIONES ENERGETICAS DECLARADAS DE UTILIDAD PUBLICA</t>
  </si>
  <si>
    <t>SLR5</t>
  </si>
  <si>
    <t>070019</t>
  </si>
  <si>
    <t>PROCEDIMIENTO SANCIONADOR DE LA CONSEJERIA DE DESARROLLO SOSTENIBLE</t>
  </si>
  <si>
    <t>EL ESTABLECIDO EN SU NORMATIVA ESPECÍFICA.</t>
  </si>
  <si>
    <t>NLE6, SLE6</t>
  </si>
  <si>
    <t>070021</t>
  </si>
  <si>
    <t>ACTUACIONES DE INSPECCION Y CONTROL EN MATERIA DE CONSUMO</t>
  </si>
  <si>
    <t>SLHP</t>
  </si>
  <si>
    <t>080001</t>
  </si>
  <si>
    <t>ADHESION AL SISTEMA ARBITRAL DE CONSUMO</t>
  </si>
  <si>
    <t>S610</t>
  </si>
  <si>
    <t>080002</t>
  </si>
  <si>
    <t>RESOLUCION ARBITRAL DE CONFLICTOS EN MATERIA DE CONSUMO</t>
  </si>
  <si>
    <t>S735</t>
  </si>
  <si>
    <t>080009</t>
  </si>
  <si>
    <t>RESOLUCION EXTRAJUDICIAL DE CONFLICTOS EN MATERIA DE TRANSPORTES TERRESTRES.</t>
  </si>
  <si>
    <t>SLRI</t>
  </si>
  <si>
    <t>090005</t>
  </si>
  <si>
    <t>HOJAS DE RECLAMACIONES DE ESTABLECIMIENTOS Y CENTROS</t>
  </si>
  <si>
    <t>S653</t>
  </si>
  <si>
    <t>090013</t>
  </si>
  <si>
    <t>INFORMACION SOBRE EL SOMETIMIENTO AL PROCEDIMIENTO DE EVALUACION AMBIENTAL</t>
  </si>
  <si>
    <t>SLEE</t>
  </si>
  <si>
    <t>090014</t>
  </si>
  <si>
    <t>CONSULTAS EN MATERIA DE CONSUMO</t>
  </si>
  <si>
    <t>SLHU</t>
  </si>
  <si>
    <t>090015</t>
  </si>
  <si>
    <t>QUEJAS, RECLAMACIONES Y DENUNCIAS EN MATERIA DE CONSUMO</t>
  </si>
  <si>
    <t>SLHV</t>
  </si>
  <si>
    <t>115954</t>
  </si>
  <si>
    <t>CONVOCATORIA  PROCESO  SELECTIVO PARA EL INGRESO POR EL SISTEMA GENERAL DE ACCESO LIBRE , EN EL CUERPO DE AGENTES  MEDIOAMBIENTALES.</t>
  </si>
  <si>
    <t>SECRETARIA GENERAL DESARROLLO SOSTENIBLE - CONSEJERIA DE DESARROLLO SOSTENIBLE</t>
  </si>
  <si>
    <t>SL5Z</t>
  </si>
  <si>
    <t>115955</t>
  </si>
  <si>
    <t>SOLICITUD DE DESTINO PARA EL INGRESO POR EL SISTEMA GENERAL DE ACCESO LIBRE EN EL CUERPO DE AGENTES MEDIOAMBIENTALES</t>
  </si>
  <si>
    <t>SLHE</t>
  </si>
  <si>
    <t>130005</t>
  </si>
  <si>
    <t>RECLAMACION DE RESPONSABILIDAD PATRIMONIAL DE LA CONSEJERIA DE DESARROLLO SOSTENIBLE</t>
  </si>
  <si>
    <t>6 MESES. EN CASO DE  TRAMITACIÓN SIMPLIFICADA 30 DÍAS.</t>
  </si>
  <si>
    <t>SLF4</t>
  </si>
  <si>
    <t>140001</t>
  </si>
  <si>
    <t>RECLAMACION  DE CONTROVERSIAS ELECTRICAS</t>
  </si>
  <si>
    <t>3 M., CON LAS EXCEPCIONES ESTABLECIDAS EN EL RD 1699/2011, DE 18 DE NOVIEMBRE</t>
  </si>
  <si>
    <t>SJ9W</t>
  </si>
  <si>
    <t>140002</t>
  </si>
  <si>
    <t>RECLAMACION  DE CONTROVERSIAS GASISTICAS</t>
  </si>
  <si>
    <t>3 MESES, Y 20 DIAS  LAS RELATIVAS A ACOMETIDAS DEMÁS ACTUACIONES NECESARIAS PARA ATENDER EL SUMINISTRO</t>
  </si>
  <si>
    <t>SJ9C</t>
  </si>
  <si>
    <t>150006</t>
  </si>
  <si>
    <t>REGIMEN A APLICAR A LOS CONSORCIOS Y CONVENIOS DE REPOBLACION FORESTAL</t>
  </si>
  <si>
    <t>SJJS</t>
  </si>
  <si>
    <t>150016</t>
  </si>
  <si>
    <t>NOMBRAMIENTO DE ENTIDAD COLABORADORA PARA LA TRAMITACION DE LICENCIAS DE CAZA Y PESCA</t>
  </si>
  <si>
    <t>SJYM</t>
  </si>
  <si>
    <t>150018</t>
  </si>
  <si>
    <t>MODIFICACION DE CARACTERISTICAS DE LOS CONSORCIOS Y CONVENIOS DE REPOBLACION FORESTAL</t>
  </si>
  <si>
    <t>SJKU</t>
  </si>
  <si>
    <t>160001</t>
  </si>
  <si>
    <t>DEVOLUCION DE FIANZAS  RELATIVAS A PARQUES EOLICOS</t>
  </si>
  <si>
    <t>SJ9A</t>
  </si>
  <si>
    <t>160003</t>
  </si>
  <si>
    <t>DEVOLUCION DE FIANZA O GARANTIA DEPOSITADA PARA LA EJECUCION DE INSTALACIONES GASISTAS.</t>
  </si>
  <si>
    <t>3 MES</t>
  </si>
  <si>
    <t>SJ9N</t>
  </si>
  <si>
    <t>165376</t>
  </si>
  <si>
    <t>DEVOLUCION DE GARANTIA DEPOSITADA PARA TRAMITAR LA SOLICITUD DE ACCESO A LA RED TRANSPORTE O DISTRIBUCION DE INSTALACIONES DE PRODUCCION DE ENERGIA ELECTRICA</t>
  </si>
  <si>
    <t>SJ9V</t>
  </si>
  <si>
    <t>165377</t>
  </si>
  <si>
    <t>PRESENTACION DEL RESGUARDO DE DEPOSITO DE GARANTIA PARA TRAMITAR LA SOLICITUD DE ACCESO A LAS REDES DE TRANSPORTE O DISTRIBUCION DE INSTALACIONES DE PRODUCCION DE ENERGIA ELECTRICA.</t>
  </si>
  <si>
    <t>SLG0</t>
  </si>
  <si>
    <t>170011</t>
  </si>
  <si>
    <t>DECLARACION ALTA, MODIFICACION, BAJA CANON EOLICO</t>
  </si>
  <si>
    <t>SJNB</t>
  </si>
  <si>
    <t>170012</t>
  </si>
  <si>
    <t>AUTOLIQUIDACION CANON EOLICO</t>
  </si>
  <si>
    <t>SJPJ</t>
  </si>
  <si>
    <t>180093</t>
  </si>
  <si>
    <t>CONCURSO SINGULARIZADO DE MERITOS PARA LA PROVISION DE PUESTOS DE TRABAJO VACANTES EN EL CUERPO DE AGENTES MEDIOAMBIENTALES DE LA ADMINISTRACION DE LA JUNTA DE COMUNIDADES DE CASTILLA-LA MANCHA.</t>
  </si>
  <si>
    <t>RJWZ, SJWZ</t>
  </si>
  <si>
    <t>180182</t>
  </si>
  <si>
    <t>PROVISION POR EL PROCEDIMIENTO DE LIBRE DESIGNACION DE PUESTOS DE TRABAJO VACANTES EN LA CONSEJERIA DE DESARROLLO SOSTENIBLE DE LA JUNTA DE COMUNIDADES DE CASTILLA-LA MANCHA.</t>
  </si>
  <si>
    <t>SLCJ</t>
  </si>
  <si>
    <t>180222</t>
  </si>
  <si>
    <t>CONCURSO GENERAL DE MERITOS (CGM AAMM F1/2021), PARA LA PROVISION DE PUESTOS DE TRABAJO, ADSDRITOS AL CUERPO DE AGENTES MEDIOAMBIENTALES, EN LA ADMINISTRACION DE LA JUNTA DE COMUNIDADES DE CASTILLA-LA MANCHA.</t>
  </si>
  <si>
    <t>OCHO MESES DESDE LA PUBLICACIÓN DE LA CONVOCATORIA.</t>
  </si>
  <si>
    <t>RLPX, SLPX</t>
  </si>
  <si>
    <t>180242</t>
  </si>
  <si>
    <t>CONCURSO SINGULARIZADO DE MERITOS (CSM DS 1/2022), PARA LA PROVISION DE PUESTOS DE TRABAJO VACANTES EN LA ADMINISTRACION DE LA JUNTA DE COMUNIDADES DE CASTILLA-LA MANCHA.</t>
  </si>
  <si>
    <t>6 MESES (4 MESES Y APLIADO 2 MAS )</t>
  </si>
  <si>
    <t>SLW0</t>
  </si>
  <si>
    <t>190002</t>
  </si>
  <si>
    <t>PERMUTAS DE MONTES DEMANIALES</t>
  </si>
  <si>
    <t>SJMP</t>
  </si>
  <si>
    <t>036161</t>
  </si>
  <si>
    <t>SOLICITUD DE PAGO Y JUSTIFICACION DE LA AYUDA DE PROYECTOS RELATIVOS A LA MEJORA DEL ABASTECIMIENTO Y REDUCCION DE PERDIDAS EN REDES DE AGUA POTABLE MUNICIPIOS MENORES DE 20.000 HABITANTES PRTR</t>
  </si>
  <si>
    <t>AGENCIA DEL AGUA DE CASTILLA-LA MANCHA</t>
  </si>
  <si>
    <t>PLSP</t>
  </si>
  <si>
    <t>036162</t>
  </si>
  <si>
    <t>SOLICITUD AYUDA PARA LA SELECCION Y EJECUCION DE PROYECTOS RELATIVOS A LA MEJORA DEL ABASTECIMIENTO Y REDUCCION DE PERDIDAS EN REDES DE AGUA POTABLE MUNICIPIOS MENORES DE 20.000 HABITANTES PRTR</t>
  </si>
  <si>
    <t>SLSO</t>
  </si>
  <si>
    <t>180194</t>
  </si>
  <si>
    <t>PROVISION, POR EL PROCEDIMIENTO DE LIBRE DESIGNACION DE PUESTOS DE TRABAJO VACANTES EN LA AGENCIA DEL AGUA DE CASTILLA-LA MANCHA</t>
  </si>
  <si>
    <t>SLJ9</t>
  </si>
  <si>
    <t>180235</t>
  </si>
  <si>
    <t>PROVISION, POR EL PROCEDIMIENTO DE LIBRE DESIGNACION DE PUESTO DE TRABAJO VACANTE EN LA ADMINISTRACION DE LA JUNTA DE COMUNIDADES DE CASTILLA-LA MANCHA.</t>
  </si>
  <si>
    <t>SLU2</t>
  </si>
  <si>
    <t>010189</t>
  </si>
  <si>
    <t>AUTORIZACION PARA SEGREGACION DE FINCAS RUSTICAS</t>
  </si>
  <si>
    <t>CONSEJERIA DE AGRICULTURA, AGUA Y DESARROLLO RURAL</t>
  </si>
  <si>
    <t>DIRECCION GENERAL DESARROLLO RURAL - CONSEJERIA DE AGRICULTURA, AGUA Y DESARROLLO RURAL</t>
  </si>
  <si>
    <t>S258</t>
  </si>
  <si>
    <t>010192</t>
  </si>
  <si>
    <t>AUTORIZACION DE TRANSMISIONES DE FINCAS RUSTICAS EN ZONAS CUYA TRANSFORMACION EN REGADIO HAYA SIDO DECLARADA DE INTERES REGIONAL O NACIONAL</t>
  </si>
  <si>
    <t>SJF8</t>
  </si>
  <si>
    <t>010193</t>
  </si>
  <si>
    <t>AUTORIZACION DE PERMUTA DE FINCAS DE REEMPLAZO ENTRE PROPIETARIOS EN CONCENTRACIONES PARCELARIAS PUBLICAS</t>
  </si>
  <si>
    <t>S247</t>
  </si>
  <si>
    <t>010252</t>
  </si>
  <si>
    <t>AUTORIZACION DE VETERINARIOS PARA LA EXPEDICION DE CERTIFICADOS O DOCUMENTOS DE ACOMPAÑAMIENTO</t>
  </si>
  <si>
    <t>DIRECCION GENERAL AGRICULTURA Y GANADERIA - CONSEJERIA DE AGRICULTURA, AGUA Y DESARROLLO RURAL</t>
  </si>
  <si>
    <t>SE19</t>
  </si>
  <si>
    <t>010253</t>
  </si>
  <si>
    <t>AUTORIZACION PARA EXPEDICION DE PASAPORTES FITOSANITARIOS</t>
  </si>
  <si>
    <t>SJ6T</t>
  </si>
  <si>
    <t>010299</t>
  </si>
  <si>
    <t>AUTORIZACION DE PRODUCTOR DE SEMILLAS E INCLUSION EN REGISTRO DE PRODUCTORES DE SEMILLAS DE CASTILLA-LA MANCHA</t>
  </si>
  <si>
    <t>SJGL</t>
  </si>
  <si>
    <t>010301</t>
  </si>
  <si>
    <t>ACTIVIDADES DE ACONDICIONAMIENTO DE GRANO DESTINADO A LA SIEMBRA</t>
  </si>
  <si>
    <t>SJGN</t>
  </si>
  <si>
    <t>010303</t>
  </si>
  <si>
    <t>AUTORIZACION PARA LA REALIZACION DE CERTAMENES GANADEROS</t>
  </si>
  <si>
    <t>SJIA</t>
  </si>
  <si>
    <t>010353</t>
  </si>
  <si>
    <t>BAJA DE ANIMAL DE LA ESPECIE BOVINA POR MUERTE EN LA EXPLOTACIÓN</t>
  </si>
  <si>
    <t>SJMK</t>
  </si>
  <si>
    <t>010355</t>
  </si>
  <si>
    <t>ALTA DE ANIMAL DE LA ESPECIE BOVINA</t>
  </si>
  <si>
    <t>SJOG</t>
  </si>
  <si>
    <t>010356</t>
  </si>
  <si>
    <t>ACCESO A UNIDAD GANADERA VIRTUAL</t>
  </si>
  <si>
    <t>SJOH</t>
  </si>
  <si>
    <t>010392</t>
  </si>
  <si>
    <t>AUTORIZACION DE COSECHA EN VERDE DE PLANTACIONES ILEGALES</t>
  </si>
  <si>
    <t>ANTES DEL 31 DE MAYO DE LA CAMPAÑA A LA QUE SE REFIERA LA SOLICITUD.</t>
  </si>
  <si>
    <t>SJTY</t>
  </si>
  <si>
    <t>010396</t>
  </si>
  <si>
    <t>CONCENTRACION DE CANIDOS, FELIDOS Y HURONES PARA SU VACUNACION DE RABIA</t>
  </si>
  <si>
    <t>DJV4</t>
  </si>
  <si>
    <t>010400</t>
  </si>
  <si>
    <t>SOLICITUD DE AUTORIZACIÓN PARA CENTROS Y ACTIVIDADES DE REPRODUCCIÓN ANIMAL</t>
  </si>
  <si>
    <t>SJVU</t>
  </si>
  <si>
    <t>010402</t>
  </si>
  <si>
    <t>NOTIFICACION DE ENSAYOS CON PRODUCTOS FITOSANITARIOS</t>
  </si>
  <si>
    <t>NJW7</t>
  </si>
  <si>
    <t>010410</t>
  </si>
  <si>
    <t>ENAJENACION O PERMUTA DE FINCAS DE MASA COMUN EN ZONAS DE CONCENTRACION PARCELARIA</t>
  </si>
  <si>
    <t>S871</t>
  </si>
  <si>
    <t>010412</t>
  </si>
  <si>
    <t>AUTORIZACION DE VACIO SANITARIO POR MOTIVOS EPIDEMIOLOGICOS</t>
  </si>
  <si>
    <t>SJWM</t>
  </si>
  <si>
    <t>010420</t>
  </si>
  <si>
    <t>AUTORIZACION MATADEROS PARA EL SACRIFICIO DE ANIMALES REACCIONANTES POSITIVOS EN CAMPAÑAS DE SANEAMIENTO GANADERO</t>
  </si>
  <si>
    <t>SJXB</t>
  </si>
  <si>
    <t>010421</t>
  </si>
  <si>
    <t>AUTORIZACIÓN DE ESTABLECIMIENTOS, TRANSPORTISTAS Y USUARIOS ESPECÍFICOS DE SUBPRODUCTOS ANIMALES NO DESTINADOS A CONSUMO HUMANO (SANDACH)</t>
  </si>
  <si>
    <t>SJXC</t>
  </si>
  <si>
    <t>010423</t>
  </si>
  <si>
    <t>APROBACIÓN DE PLIEGOS DE CONDICIONES DE ETIQUETADO FACULTATIVO CONDICIONADO A LA AUTORIZACIÓN DEL ORGANISMO INDEPENDIENTE DE CONTROL</t>
  </si>
  <si>
    <t>DIRECCION GENERAL ALIMENTACION - CONSEJERIA DE AGRICULTURA, AGUA Y DESARROLLO RURAL</t>
  </si>
  <si>
    <t>SJXE</t>
  </si>
  <si>
    <t>010424</t>
  </si>
  <si>
    <t>SOLICITUD PARA DESIGNAR ORGANISMOS, INSTITUCIONES Y ENTIDADES ORGANIZADORAS DE CURSOS DE MANIPULADOR DE PRODUCTOS FITOSANITARIOS Y SUS MODIFICACIONES.</t>
  </si>
  <si>
    <t>SJXF</t>
  </si>
  <si>
    <t>010447</t>
  </si>
  <si>
    <t>SOLICITUD DE ACREDITACIÓN DE ASESOR EN GESTIÓN INTEGRADA DE PLAGAS</t>
  </si>
  <si>
    <t>SJZG</t>
  </si>
  <si>
    <t>010452</t>
  </si>
  <si>
    <t>SOLICITUD GUÍA DE ORIGEN Y SANIDAD PECUARIA</t>
  </si>
  <si>
    <t>SJZZ</t>
  </si>
  <si>
    <t>010464</t>
  </si>
  <si>
    <t>SOLICITUD PARA AUTORIZACIÓN DE TRATAMIENTOS AÉREOS CON PRODUCTOS FITOSANITARIOS</t>
  </si>
  <si>
    <t>SK18</t>
  </si>
  <si>
    <t>010465</t>
  </si>
  <si>
    <t>AUTORIZACIÓN A VETERINARIOS Y TERCEROS PARA REALIZAR TRÁMITES EN LA UNIDAD GANADERA VIRTUAL.</t>
  </si>
  <si>
    <t>30 DÍAS.</t>
  </si>
  <si>
    <t>SK1D</t>
  </si>
  <si>
    <t>010473</t>
  </si>
  <si>
    <t>AUTORIZACION DE LOS ORGANOS HABILITADOS PARA LA EVALUACION DE PROYECTOS DE INVESTIGACION QUE UTILICEN ANIMALES CON FINES EXPERIMENTALES</t>
  </si>
  <si>
    <t>SK3C</t>
  </si>
  <si>
    <t>010474</t>
  </si>
  <si>
    <t>AUTORIZACION DE PROYECTOS DE INVESTIGACION QUE UTILICEN ANIMALES CON FINES EXPERIMENTALES</t>
  </si>
  <si>
    <t>CUARENTA DIAS HABILES, PUDIENDO AMPLIAR ESTE PLAZO UNA VEZ POR UN PERIODO ADICIONAL DE 15 DIAS HABILES: LA AMPLIACION Y SU DURACION DEBEN MOTIVARSE DEBIDAMENTE Y SE NOTIFICARA AL SOLICITANTE ANTES DE QUE FINALICE EL PLAZO</t>
  </si>
  <si>
    <t>SK3D</t>
  </si>
  <si>
    <t>010475</t>
  </si>
  <si>
    <t>CESIÓN DE LOS DERECHOS DE COBRO DE SUBVENCIONES CUYO PAGO COMPETE AL ORGANISMO PAGADOR DE CASTILLA-LA MANCHA.</t>
  </si>
  <si>
    <t>SECRETARIA GENERAL AGRICULTURA, AGUA Y DESARROLLO RURAL - CONSEJERIA DE AGRICULTURA, AGUA Y DESARROLLO RURAL</t>
  </si>
  <si>
    <t>SK3F</t>
  </si>
  <si>
    <t>010496</t>
  </si>
  <si>
    <t>CONCESION DE AYUDAS A LOS PLANES DE REESTRUCTURACION Y RECONVERSION DE VIÑEDO DE CASTILLA LA MANCHA</t>
  </si>
  <si>
    <t>MK5N</t>
  </si>
  <si>
    <t>010497</t>
  </si>
  <si>
    <t>COMUNICACION DE LAS EDICIONES DE CURSOS DE MANIPULADOR DE PRODUCTOS FITOSANITARIOS Y SUS MODIFICACIONES</t>
  </si>
  <si>
    <t>MK5Z</t>
  </si>
  <si>
    <t>010499</t>
  </si>
  <si>
    <t>AUTORIZACION/RENOVACION DE ENTIDADES DE CONTROL DE PRODUCTOS AGROALIMENTARIOS DE CASTILLA-LA MANCHA</t>
  </si>
  <si>
    <t>SK7G</t>
  </si>
  <si>
    <t>010502</t>
  </si>
  <si>
    <t>AUTORIZACION Y CONTROL OFICIAL DE SISTEMAS DE HIDROLISIS CADAVERICA EN LAS EXPLOTACIONES GANADERAS DE CASTILLA-LA MANCHA.</t>
  </si>
  <si>
    <t>SK9V</t>
  </si>
  <si>
    <t>010503</t>
  </si>
  <si>
    <t>COMUNICACION PREVIA DE RECOGIDA DE MATERIAL DENTRO DEL SISTEMAS DE HIDROLISIS CADAVERICA EN LAS EXPLOTACIONES GANADERAS DE CASTILLA-LA MANCHA.</t>
  </si>
  <si>
    <t>MK9W</t>
  </si>
  <si>
    <t>010507</t>
  </si>
  <si>
    <t>AUTORIZACION DE ACCESO A SIEMBRA WEB</t>
  </si>
  <si>
    <t>SKAK</t>
  </si>
  <si>
    <t>010509</t>
  </si>
  <si>
    <t>PRUEBAS PARA EL DIAGNOSTICO DE LA LEISHMANIOSIS</t>
  </si>
  <si>
    <t>SKB0</t>
  </si>
  <si>
    <t>010520</t>
  </si>
  <si>
    <t>AUTORIZACION DE LA ACTIVIDAD DE INSPECCION Y/O ALTA EN EL REGISTRO OFICIAL DE ESTACIONES DE INSPECCION TECNICA DE EQUIPOS DE APLICACION DE PRODUCTOS FITOSANITARIOS</t>
  </si>
  <si>
    <t>SKEY</t>
  </si>
  <si>
    <t>010524</t>
  </si>
  <si>
    <t>COMUNICACION DE DATOS PARA LA INSCRIPCION EN EL REGISTRO GENERAL DE LA PRODUCCION AGRICOLA (REGEPA)</t>
  </si>
  <si>
    <t>MKGY</t>
  </si>
  <si>
    <t>010526</t>
  </si>
  <si>
    <t>COMUNICACION ANUAL DE DOCUMENTACION AL REGISTRO DE EAPIR DE CLM</t>
  </si>
  <si>
    <t>MKHA</t>
  </si>
  <si>
    <t>010534</t>
  </si>
  <si>
    <t>AUTORIZACION PARA NUEVAS PLANTACIONES DE VIÑEDO</t>
  </si>
  <si>
    <t>SKJX</t>
  </si>
  <si>
    <t>010536</t>
  </si>
  <si>
    <t>RENUNCIA A AUTORIZACION PARA NUEVAS PLANTACIONES DE VIÑEDO</t>
  </si>
  <si>
    <t>MKK9</t>
  </si>
  <si>
    <t>010537</t>
  </si>
  <si>
    <t>MKL4</t>
  </si>
  <si>
    <t>010538</t>
  </si>
  <si>
    <t>PROGRAMAS DE TRASLADO DE COLMENAS.</t>
  </si>
  <si>
    <t>MKLC</t>
  </si>
  <si>
    <t>010566</t>
  </si>
  <si>
    <t>SOLICITUD DE AUTORIZACION PROGRAMA RETIRADA DE SUBPRODUCTOS BAJO CONTROL</t>
  </si>
  <si>
    <t>SKW1</t>
  </si>
  <si>
    <t>010579</t>
  </si>
  <si>
    <t>NOTIFICACION DE CASOS DE ABORTOS EN GANADO BOVINO, OVINO Y CAPRINO POR PARTE DEL VETERINARIO DE EXPLOTACION</t>
  </si>
  <si>
    <t>NKZB</t>
  </si>
  <si>
    <t>010590</t>
  </si>
  <si>
    <t>CONCESION DE LA EXENCION  DE MARCADO HUEVOS</t>
  </si>
  <si>
    <t>SL20</t>
  </si>
  <si>
    <t>010607</t>
  </si>
  <si>
    <t>COMUNICACION DE RECINTOS EN LOS QUE SE SOLICITA LA AYUDA A LA AGRICULTURA ECOLOGICA TRATADOS CON PRODUCTOS FITOSANITARIOS.</t>
  </si>
  <si>
    <t>DIRECCION GENERAL POLITICAS AGROAMBIENTALES - CONSEJERIA DE AGRICULTURA, AGUA Y DESARROLLO RURAL</t>
  </si>
  <si>
    <t>ML75</t>
  </si>
  <si>
    <t>010608</t>
  </si>
  <si>
    <t>AUTORIZACION EXCEPCIONAL USO PRODUCTOS FITOSANITARIOS</t>
  </si>
  <si>
    <t>SL7D</t>
  </si>
  <si>
    <t>010621</t>
  </si>
  <si>
    <t>COMUNICACION DESINFECCION DE SUELOS CON PRODUCTOS FITOSANITARIOS FORMULADOS A BASE DE 1,3 DICLOROPROPENO</t>
  </si>
  <si>
    <t>.</t>
  </si>
  <si>
    <t>MLC9</t>
  </si>
  <si>
    <t>010630</t>
  </si>
  <si>
    <t>COMUNICACION DE TRATAMIENTO CON FOSFURO DE ALUMINIO</t>
  </si>
  <si>
    <t>MLE9</t>
  </si>
  <si>
    <t>010635</t>
  </si>
  <si>
    <t>DESAFECTACION DE PARCELAS DE USO RUSTICO DECLARADAS DE INTERES GENERAL O REGIONAL</t>
  </si>
  <si>
    <t>SLEY</t>
  </si>
  <si>
    <t>010636</t>
  </si>
  <si>
    <t>AUTORIZACIONES EXPRESAS DEL REGLAMENTO (CE) Nº 834/2007</t>
  </si>
  <si>
    <t>SLEZ</t>
  </si>
  <si>
    <t>010637</t>
  </si>
  <si>
    <t>DESIGNACION DE LABORATORIO PARA CONTROL OFICIAL PROGRAMAS PRODUCCION ECOLOGICA Y CALIDAD DIFERENCIADA</t>
  </si>
  <si>
    <t>SLFB</t>
  </si>
  <si>
    <t>010638</t>
  </si>
  <si>
    <t>ALTA COMO REPRESENTANTE EN UVITI.</t>
  </si>
  <si>
    <t>SLFJ</t>
  </si>
  <si>
    <t>010640</t>
  </si>
  <si>
    <t>SOLICITUD DE RECONOCIMIENTO E INSCRIPCION, MODIFICACION Y BAJA EN EL REGISTRO DE EXPLOTACION CON VENTA DIRECTA DE PRODUCTOS LIGADOS A LA ACTIVIDAD AGRICOLA Y GANADERA (PRODUCTOS TRANSFORMADOS SIN RGSEAA)</t>
  </si>
  <si>
    <t>SLG7</t>
  </si>
  <si>
    <t>010642</t>
  </si>
  <si>
    <t>SOLICITUD DE AUTORIZACION PARA RECIBIR FRUTAS Y HORTALIZAS PROCEDENTES DE RETIRADAS DEL MERCADO CON DESTINO A LA ALIMENTACION ANIMAL</t>
  </si>
  <si>
    <t>10 DIAS</t>
  </si>
  <si>
    <t>SLHT</t>
  </si>
  <si>
    <t>010645</t>
  </si>
  <si>
    <t>AUTORIZACION CONCENTRACION PARCELARIA CASTILLA-LA MANCHA</t>
  </si>
  <si>
    <t>SLK4</t>
  </si>
  <si>
    <t>010648</t>
  </si>
  <si>
    <t>COMUNICACION DE EDICIONES DE CURSOS DE BIENESTAR ANIMAL, BIOSEGURIDAD, HIGIENE Y SANIDAD ANIMAL Y SUS MODIFICACIONES.</t>
  </si>
  <si>
    <t>CADA UNA DE LAS EDICIONES DE LOS CURSOS QUE SE VAYAN A IMPARTIR DEBERÁN COMUNICARSE CON UN PLAZO DE ANTELACIÓN DE AL MENOS 20 DÍAS.</t>
  </si>
  <si>
    <t>MKFH</t>
  </si>
  <si>
    <t>010649</t>
  </si>
  <si>
    <t>EXPEDICION DEL CERTIFICADO DE COMPETENCIA, RENOVACION O DUPLICADO  EN MATERIA DE BIENESTAR ANIMAL, BIOSEGURIDAD, HIGIENE Y SANIDAD ANIMAL</t>
  </si>
  <si>
    <t>SKFG</t>
  </si>
  <si>
    <t>010650</t>
  </si>
  <si>
    <t>SOLICITUD DE ACOGIMIENTO A LA EXCEPCION DEL ARTICULO 4.4.A DEL REAL DECRETO 306/2020, DE 11 DE FEBRERO, RELATIVA A LA CERTIFICACION DE COMPETENCIA EN GANADO PORCINO.</t>
  </si>
  <si>
    <t>SLL9</t>
  </si>
  <si>
    <t>010655</t>
  </si>
  <si>
    <t>CATEGORIZACION DE ESPACIOS EN LOS QUE ESTEN PRESENTES ESPECIES CINEGETICAS QUE ACTUAN COMO RESERVORIO DE LA TUBERCULOSIS (JABALI Y OTROS SUIDOS SILVESTRES Y SUS HIBRIDACIONES, CIERVO Y GAMO)</t>
  </si>
  <si>
    <t>SLLZ</t>
  </si>
  <si>
    <t>010657</t>
  </si>
  <si>
    <t>INFORMACION RELATIVA A LA TRAZABILIDAD DE MATERIAS PRIMAS Y PRODUCTOS TERMINADOS A DESTILERIAS.</t>
  </si>
  <si>
    <t>MLN9</t>
  </si>
  <si>
    <t>010658</t>
  </si>
  <si>
    <t>AUTORIZACION DEL USO DE LA MARCA DE GARANTIA "CAMPO Y ALMA".</t>
  </si>
  <si>
    <t>SLO4</t>
  </si>
  <si>
    <t>010673</t>
  </si>
  <si>
    <t>DECLARACION OPERADORES PRODUCCION ECOLOGICA</t>
  </si>
  <si>
    <t>MLVM</t>
  </si>
  <si>
    <t>010678</t>
  </si>
  <si>
    <t>SOLICITUD DE AUTORIZACION PARA LA QUEMA DE RESIDUOS AGRICOLAS POR MOTIVOS FITOSANITARIOS</t>
  </si>
  <si>
    <t>10 DÍAS</t>
  </si>
  <si>
    <t>SLYI</t>
  </si>
  <si>
    <t>015126</t>
  </si>
  <si>
    <t>DECLARACION DEL CENSO DE ANIMALES DE NUCLEOS ZOOLOGICOS</t>
  </si>
  <si>
    <t>DL2K</t>
  </si>
  <si>
    <t>015127</t>
  </si>
  <si>
    <t>DECLARACION DEL CENSO DE ANIMALES DE LA EXPLOTACION GANADERA</t>
  </si>
  <si>
    <t>SJOF</t>
  </si>
  <si>
    <t>015576</t>
  </si>
  <si>
    <t>OBTENCION ELEMENTOS DE IDENTIFICACION ANIMAL</t>
  </si>
  <si>
    <t>SK70</t>
  </si>
  <si>
    <t>015577</t>
  </si>
  <si>
    <t>OBTENCION DUPLICADOS DE ELEMENTOS DE IDENTIFICACION ANIMAL</t>
  </si>
  <si>
    <t>SK71</t>
  </si>
  <si>
    <t>015632</t>
  </si>
  <si>
    <t>COMUNICACION DE INICIO DE ACTIVIDAD DE ITEAF AUTORIZADA FUERA DE CASTILLA  LA MANCHA</t>
  </si>
  <si>
    <t>MKEZ</t>
  </si>
  <si>
    <t>015633</t>
  </si>
  <si>
    <t>COMUNICACION DE CAMBIOS EN LAS CONDICIONES Y/O REQUISITOS DE LA AUTORIZACION DE ITEAF</t>
  </si>
  <si>
    <t>MKF0</t>
  </si>
  <si>
    <t>015634</t>
  </si>
  <si>
    <t>COMUNICACION DEL CALENDARIO DE INSPECCIONES A REALIZAR POR LA ITEAF.</t>
  </si>
  <si>
    <t>MKF1</t>
  </si>
  <si>
    <t>015666</t>
  </si>
  <si>
    <t>AUTORIZACION PARA LA CONVERSION DE DERECHOS DE PLANTACION EN AUTORIZACION DE PLANTACION DE VIÑEDO</t>
  </si>
  <si>
    <t>SKIS</t>
  </si>
  <si>
    <t>015667</t>
  </si>
  <si>
    <t>AUTORIZACION DE REPLANTACION DE PARCELAS DE VIÑEDO</t>
  </si>
  <si>
    <t>SKJZ</t>
  </si>
  <si>
    <t>015668</t>
  </si>
  <si>
    <t>TRANSFERENCIA DE AUTORIZACIONES DE PLANTACION Y/O DERECHOS DE PLANTACION</t>
  </si>
  <si>
    <t>SKK1</t>
  </si>
  <si>
    <t>015669</t>
  </si>
  <si>
    <t>MODIFICACION DE LA LOCALIZACION DE LA AUTORIZACION DE PLANTACION DE PARCELAS DE VIÑEDO</t>
  </si>
  <si>
    <t>SKKA</t>
  </si>
  <si>
    <t>015670</t>
  </si>
  <si>
    <t>REPOSICION DE MARRAS EN PARCELAS DE VIÑEDO</t>
  </si>
  <si>
    <t>SKKB</t>
  </si>
  <si>
    <t>015671</t>
  </si>
  <si>
    <t>AUTORIZACION PARA REPLANTACION ANTICIPADA DE PARCELAS DE VIÑEDO</t>
  </si>
  <si>
    <t>SL2D</t>
  </si>
  <si>
    <t>015672</t>
  </si>
  <si>
    <t>COMUNICACION DE PLANTACION DE VIÑEDO</t>
  </si>
  <si>
    <t>MKJV</t>
  </si>
  <si>
    <t>015673</t>
  </si>
  <si>
    <t>COMUNICACION DE PLANTACIONES PARA AUTOCONSUMO</t>
  </si>
  <si>
    <t>MKJW</t>
  </si>
  <si>
    <t>015674</t>
  </si>
  <si>
    <t>COMUNICACION DE PLANTACIONES EXPERIMENTALES</t>
  </si>
  <si>
    <t>MKJU</t>
  </si>
  <si>
    <t>015681</t>
  </si>
  <si>
    <t>COMUNICACION DE ARRANQUE DE VIÑEDO</t>
  </si>
  <si>
    <t>MKIT</t>
  </si>
  <si>
    <t>015682</t>
  </si>
  <si>
    <t>AUTORIZACION DE ARRANQUE DE VIÑEDO</t>
  </si>
  <si>
    <t>SKJY</t>
  </si>
  <si>
    <t>015835</t>
  </si>
  <si>
    <t>COMUNICACION DE VARIACIONES EN LA DESTILERIA AUTORIZADA PARA SOLICITAR AYUDAS A LA DESTILACION DE SUBPRODUCTOS DE LA VINIFICACION</t>
  </si>
  <si>
    <t>MKW3</t>
  </si>
  <si>
    <t>015836</t>
  </si>
  <si>
    <t>COMUNICACION DE LA CONTINUACION O SUSPENSION  DE LA ACTIVIDAD PARA SOLICITAR LAS AYUDAS A LA DESTILACION</t>
  </si>
  <si>
    <t>MKW2</t>
  </si>
  <si>
    <t>015837</t>
  </si>
  <si>
    <t>SOLICITUD DE AUTORIZACION DE LOS DESTILADORES PARA SOLICITAR AYUDAS A LA DESTILACION DE SUBPRODUCTOS DE LA VINIFICACION</t>
  </si>
  <si>
    <t>SJ34</t>
  </si>
  <si>
    <t>015838</t>
  </si>
  <si>
    <t>PRESENTACION CERTIFICADOS DE ENTREGAS DE SUBPRODUCTOS</t>
  </si>
  <si>
    <t>SKW4</t>
  </si>
  <si>
    <t>015839</t>
  </si>
  <si>
    <t>PRESENTACION DE DOCUMENTACION DE MATERIAS PRIMAS DESTILADAS Y ALCOHOL OBTENIDO</t>
  </si>
  <si>
    <t>SKW5</t>
  </si>
  <si>
    <t>015972</t>
  </si>
  <si>
    <t>SOLICITUD DE CESE COMO LABORATORIO AUTORIZADO PARA REALIZAR CONTROLES ANALITICOS DE SALMONELLA EN EL MARCO DE LOS PROGRAMAS DE AUTOCONTROL</t>
  </si>
  <si>
    <t>SL85</t>
  </si>
  <si>
    <t>015973</t>
  </si>
  <si>
    <t>SOLICITUD DE MODIFICACION DE DATOS EN LOS LABORATORIOS AUTORIZADOS PARA REALIZAR CONTROLES ANALITICOS DE SALMONELLA EN EL MARCO DE LOS PROGRAMAS DE AUTOCONTROL</t>
  </si>
  <si>
    <t>SL84</t>
  </si>
  <si>
    <t>015974</t>
  </si>
  <si>
    <t>SOLICITUD DE REGISTRO DE LABORATORIOS PARA REALIZAR CONTROLES ANALITICOS DE SALMONELLA EN EL MARCO DE LOS PROGRAMAS DE AUTOCONTROL</t>
  </si>
  <si>
    <t>SL83</t>
  </si>
  <si>
    <t>016095</t>
  </si>
  <si>
    <t>COMUNICACION PREVIA A LA GESTION DE RESTOS CINEGETICOS.</t>
  </si>
  <si>
    <t>MLLU</t>
  </si>
  <si>
    <t>016096</t>
  </si>
  <si>
    <t>COMUNICACION PREVIA AL FUNCIONAMIENTO DE UN PUNTO DE DEPOSITO DE RESTOS CINEGETICOS.</t>
  </si>
  <si>
    <t>MLLV</t>
  </si>
  <si>
    <t>020121</t>
  </si>
  <si>
    <t>RECONOCIMIENTO Y REGISTRO DE ORGANIZACIONES INTERPROFESIONALES AGROALIMENTARIAS</t>
  </si>
  <si>
    <t>SJHO</t>
  </si>
  <si>
    <t>020122</t>
  </si>
  <si>
    <t>RECONOCIMIENTO Y REGISTRO DE AGRUPACIONES DE PRODUCTORES DEL SECTOR VITIVINICOLA</t>
  </si>
  <si>
    <t>SJHR</t>
  </si>
  <si>
    <t>020125</t>
  </si>
  <si>
    <t>TRAMITES ADMINISTRATIVOS DEL REGISTRO DE SOCIEDADES AGRARIAS DE TRANSFORMACION (S.A.T)</t>
  </si>
  <si>
    <t>S720</t>
  </si>
  <si>
    <t>020126</t>
  </si>
  <si>
    <t>REGISTRO DE ENTIDADES DE CONTROL DE PRODUCTOS AGROALIMENTARIOS DE CASTILLA-LA MANCHA</t>
  </si>
  <si>
    <t>SJ6Q</t>
  </si>
  <si>
    <t>020127</t>
  </si>
  <si>
    <t>REGISTRO DE INDUSTRIAS AGROALIMENTARIAS</t>
  </si>
  <si>
    <t>S707</t>
  </si>
  <si>
    <t>020134</t>
  </si>
  <si>
    <t>REGISTRO DE EMPRESAS Y ESTABLECIMIENTOS PARA ALIMENTACION (PIENSOS)</t>
  </si>
  <si>
    <t>SJ6W</t>
  </si>
  <si>
    <t>020136</t>
  </si>
  <si>
    <t>ALTA/MODIFICACION EN EL REGISTRO DE EXPLOTACIONES GANADERAS Y NUCLEOS ZOOLOGICOS</t>
  </si>
  <si>
    <t>SJ6V</t>
  </si>
  <si>
    <t>020137</t>
  </si>
  <si>
    <t>INSCRIPCION EN EL REGISTRO DE EMPRESAS DE TRANSPORTE DE ANIMALES VIVOS</t>
  </si>
  <si>
    <t>S161</t>
  </si>
  <si>
    <t>020138</t>
  </si>
  <si>
    <t>REGISTRO DE CENTROS DE LIMPIEZA Y DESINFECCION DE VEHICULOS DESTINADOS AL TRANSPORTE DE GANADO</t>
  </si>
  <si>
    <t>SIO1</t>
  </si>
  <si>
    <t>020139</t>
  </si>
  <si>
    <t>DISPOSICIONES DE APLICACION RELATIVAS A LOS REGISTROS QUE SE HAN DE LLEVAR EN EL SECTOR VITIVINICOLA</t>
  </si>
  <si>
    <t>SJIT</t>
  </si>
  <si>
    <t>020140</t>
  </si>
  <si>
    <t>REGISTRO OFICIAL DE MAQUINARIA AGRICOLA</t>
  </si>
  <si>
    <t>SJO6</t>
  </si>
  <si>
    <t>020141</t>
  </si>
  <si>
    <t>SOLICITUD DE INSCRIPCION EN EL REGISTRO OFICIAL DE PRODUCTORES Y OPERADORES DE MEDIOS DE DEFENSA FITOSANITARIOS</t>
  </si>
  <si>
    <t>S717</t>
  </si>
  <si>
    <t>020198</t>
  </si>
  <si>
    <t>REGISTRO DE TITULARIDAD COMPARTIDA DE EXPLOTACIONES AGRARIAS DE CASTILLA LA MANCHA</t>
  </si>
  <si>
    <t>SJSJ</t>
  </si>
  <si>
    <t>020203</t>
  </si>
  <si>
    <t>ACTUALIZACION DE DATOS DE REGISTRO VITICOLA</t>
  </si>
  <si>
    <t>SJTR</t>
  </si>
  <si>
    <t>020204</t>
  </si>
  <si>
    <t>SANDACH PARA ALIMENTACION DE NECROFAGAS EN MULADARES O COMEDEROS Y DE EXPLOTACIONES GANADERAS</t>
  </si>
  <si>
    <t>SJUB</t>
  </si>
  <si>
    <t>020210</t>
  </si>
  <si>
    <t>REGISTRO DE MERCADOS AMBULANTES (MERCADILLOS) DE AMBITO MUNICIPAL PARA LA VENTA DE ANIMALES</t>
  </si>
  <si>
    <t>SJWY</t>
  </si>
  <si>
    <t>020233</t>
  </si>
  <si>
    <t>ENTIDADES ASOCIATIVAS PRIORITARIAS DE INTERES REGIONAL - EAPIR</t>
  </si>
  <si>
    <t>SKH9</t>
  </si>
  <si>
    <t>020234</t>
  </si>
  <si>
    <t>REGISTRO DE PRIMEROS COMPRADORES DE LECHE DE VACA, OVEJA Y CABRA.</t>
  </si>
  <si>
    <t>SKI0</t>
  </si>
  <si>
    <t>020235</t>
  </si>
  <si>
    <t>ALTA, BAJA O MODIFICACION DEL REGISTRO GENERAL DE OPERADORES E INSTALACIONES DEL SECTOR VITIVINICOLA (REOVI)</t>
  </si>
  <si>
    <t>SKIW</t>
  </si>
  <si>
    <t>020237</t>
  </si>
  <si>
    <t>INSCRIPCION, BAJA Y MODIFICACION  DE EXPLOTACIONES APICOLAS</t>
  </si>
  <si>
    <t>SKLB</t>
  </si>
  <si>
    <t>020249</t>
  </si>
  <si>
    <t>REGISTRO DE AGRUPACIONES DE PRODUCTORES DE PRODUCTOS AGROALIMENTARIOS</t>
  </si>
  <si>
    <t>SKS1</t>
  </si>
  <si>
    <t>020253</t>
  </si>
  <si>
    <t>CATALOGO DE EXPLOTACIONES PRIORITARIAS</t>
  </si>
  <si>
    <t>SKZH</t>
  </si>
  <si>
    <t>020259</t>
  </si>
  <si>
    <t>PROGRAMA SANITARIO VOLUNTARIO DE PREVENCION Y CONTROL DE LA RINOTRAQUEITIS INFECCIOSA BOVINA Y LA DIARREA VIRICA BOVINA EN LA COMUNIDAD AUTONOMA DE CASTILLA LA MANCHA</t>
  </si>
  <si>
    <t>SL1O</t>
  </si>
  <si>
    <t>020260</t>
  </si>
  <si>
    <t>REALIZACION DE PRUEBAS DE TUBERCULOSIS CAPRINA EN EXPLOTACIONES NO INCLUIDAS EN EL PROGRAMA NACIONAL DE ERRADICACION DE TUBERCULOSIS BOVINA</t>
  </si>
  <si>
    <t>SL2A</t>
  </si>
  <si>
    <t>020266</t>
  </si>
  <si>
    <t>INACTIVACION/REACTIVACION/BAJA EN EL REGISTRO DE EXPLOTACIONES GANADERAS Y NUCLEOS ZOOLOGICOS</t>
  </si>
  <si>
    <t>SL4K</t>
  </si>
  <si>
    <t>020268</t>
  </si>
  <si>
    <t>INSCRIPCION, MODIFICACION Y BAJA EN EL CENSO DE INSTALACIONES Y OPERADORES OLEICOLAS</t>
  </si>
  <si>
    <t>SL6B</t>
  </si>
  <si>
    <t>020269</t>
  </si>
  <si>
    <t>COMUNICACION DE MODIFICACIONES EN LAS AGRUPACIONES DE DEFENSA SANITARIA GANADERA.</t>
  </si>
  <si>
    <t>30 DÍAS CONTADOS DESDE EL REGISTRO DE LA SOLICITUD.</t>
  </si>
  <si>
    <t>ML6P</t>
  </si>
  <si>
    <t>020270</t>
  </si>
  <si>
    <t>SOLICITUD DE PERDIDA DE LA CONDICION DE ADSG Y CANCELACION DE LA INSCRIPCION EN EL REGISTRO REGIONAL DE AGRUPACIONES DE DEFENSA SANITARIA GANADERA.</t>
  </si>
  <si>
    <t>SL6Q</t>
  </si>
  <si>
    <t>020273</t>
  </si>
  <si>
    <t>REGISTRO OFICIAL DE OPERADORES PROFESIONALES DE VEGETALES EN CASTILLA-LA MANCHA</t>
  </si>
  <si>
    <t>SLDV</t>
  </si>
  <si>
    <t>020282</t>
  </si>
  <si>
    <t>RECONOCIMIENTO COMO ORGANIZACION DE PRODUCTORES DE FRUTAS Y HORTALIZAS</t>
  </si>
  <si>
    <t>SLK6</t>
  </si>
  <si>
    <t>020283</t>
  </si>
  <si>
    <t>RECONOCIMIENTO COMO LONJA DE REFERENCIA</t>
  </si>
  <si>
    <t>SLL7</t>
  </si>
  <si>
    <t>022955</t>
  </si>
  <si>
    <t>AUTORIZACION Y REGISTRO DE OPERADORES PRODUCTORES DE BROTES</t>
  </si>
  <si>
    <t>SLWB</t>
  </si>
  <si>
    <t>022956</t>
  </si>
  <si>
    <t>INSCRIPCION/BAJA/DUPLICADO TANQUE DE LECHE</t>
  </si>
  <si>
    <t>SLWS</t>
  </si>
  <si>
    <t>022958</t>
  </si>
  <si>
    <t>PRESENTACION DE EJERCICIOS ECONOMICOS ANUALES AL REGISTRO DE SOCIEDADES AGRARIAS DE TRANSFORMACION (S.A.T.)</t>
  </si>
  <si>
    <t>SLYZ</t>
  </si>
  <si>
    <t>025141</t>
  </si>
  <si>
    <t>SOLICITUD DE INSCRIPCION EN EL REGISTRO DE EMBOTELLADORES Y ENVASADORES DE VINO DE CASTILLA-LA MANCHA</t>
  </si>
  <si>
    <t>S698</t>
  </si>
  <si>
    <t>025142</t>
  </si>
  <si>
    <t>SOLICITUD DE MODIFICACION EN EL REGISTRO DE EMBOTELLADORES Y ENVASADORES DE VINO DE CASTILLA-LA MANCHA.</t>
  </si>
  <si>
    <t>SLJL</t>
  </si>
  <si>
    <t>025782</t>
  </si>
  <si>
    <t>RECONOCIMIENTO E INSCRIPCION EN EL REGISTRO DE AGRUPACIONES DE PRODUCTORES DE PRODUCTOS AGROALIMENTARIOS (APPAA)</t>
  </si>
  <si>
    <t>SKT9</t>
  </si>
  <si>
    <t>025783</t>
  </si>
  <si>
    <t>MODIFICACION Y/O BAJA EN EL REGISTRO DE AGRUPACIONES DE PRODUCTORES DE PRODUCTOS AGROALIMENTARIOS (APPAA)</t>
  </si>
  <si>
    <t>SLW1</t>
  </si>
  <si>
    <t>025784</t>
  </si>
  <si>
    <t>COMUNICACION MANTENIMIENTO CONDICION DE AGRUPACION DE PRODUCTORES DE PRODUCTOS AGROALIMENTARIAS</t>
  </si>
  <si>
    <t>MLW2</t>
  </si>
  <si>
    <t>025904</t>
  </si>
  <si>
    <t>COMUNICACION DE ANIMALES PRESENTES EN LA EXPLOTACION.</t>
  </si>
  <si>
    <t>ML1I</t>
  </si>
  <si>
    <t>025905</t>
  </si>
  <si>
    <t>SOLICITUD DE INCORPORACION AL PROGRAMA SANITARIO DE CONTROL DE AGALAXIA CONTAGIOSA.</t>
  </si>
  <si>
    <t>SL1H</t>
  </si>
  <si>
    <t>030320</t>
  </si>
  <si>
    <t>AYUDA A LAS AGRUPACIONES DE DEFENSA SANITARIA GANADERAS.</t>
  </si>
  <si>
    <t>S787</t>
  </si>
  <si>
    <t>030342</t>
  </si>
  <si>
    <t>AYUDAS A LAS ORGANIZACIONES PROFESIONALES AGRARIAS Y A LAS ENTIDADES ASOCIATIVAS SIN ANIMO DE LUCRO REPRESENTATIVAS DE LAS COOPERATIVAS AGRARIAS DE CASTILLA-LA MANCHA</t>
  </si>
  <si>
    <t>SITN</t>
  </si>
  <si>
    <t>030347</t>
  </si>
  <si>
    <t>AYUDAS EN REGIMEN DE MINIMIS PARA PALIAR LOS DAÑOS PRODUCIDOS POR AVES NECROFAGAS AL GANADO DOMESTICO EN CASTILLA-LA MANCHA</t>
  </si>
  <si>
    <t>SJ3G</t>
  </si>
  <si>
    <t>030369</t>
  </si>
  <si>
    <t>CONCURSO OFICIAL GRAN SELECCION.</t>
  </si>
  <si>
    <t>SIID</t>
  </si>
  <si>
    <t>030539</t>
  </si>
  <si>
    <t>PRESENTACION JUSTIFICANTES DEL DESTINO DEL ALCOHOL</t>
  </si>
  <si>
    <t>SK4D</t>
  </si>
  <si>
    <t>030544</t>
  </si>
  <si>
    <t>CONCESION DE AYUDAS A LAS SOLICITUDES DE REESTRUCTURACION Y RECONVERSION DE VIÑEDO DE CASTILLA LA MANCHA</t>
  </si>
  <si>
    <t>PK5S</t>
  </si>
  <si>
    <t>030597</t>
  </si>
  <si>
    <t>AYUDAS  EN REGIMEN DE MINIMIS PARA PALIAR LOS DAÑOS RELACIONADOS CON ATAQUES DE LOBO IBERICO (CANIS LUPUS SIGNATUS) AL GANADO DOMESTICO EN CASTILLA-LA MANCHA</t>
  </si>
  <si>
    <t>SKG0</t>
  </si>
  <si>
    <t>030624</t>
  </si>
  <si>
    <t>SELECCION DE GRUPOS DE ACCION LOCAL Y ESTRATEGIAS DE DESARROLLO LOCAL PARTICIPATIVO, DE ACUERDO CON LA MEDIDA 19 ¿APOYO AL DESARROLLO LOCAL DE LEADER¿ DEL PDR 2014/2020</t>
  </si>
  <si>
    <t>SKKM</t>
  </si>
  <si>
    <t>030724</t>
  </si>
  <si>
    <t>MODIFICACION SOLICITUD AYUDA A LA MODERNIZACION Y TRANSFORMACION DE REGADIOS EN EL AMBITO TERRITORIAL DE CASTILLA - LA MANCHA, EN EL MARCO DEL PROGRAMA DE DESARROLLO RURAL DE CASTILLA - LA MANCHA 2014-2020.</t>
  </si>
  <si>
    <t>30 DIAS</t>
  </si>
  <si>
    <t>SKVH</t>
  </si>
  <si>
    <t>030731</t>
  </si>
  <si>
    <t>AYUDAS PARA EL SUMINISTRO Y DISTRIBUCION DE FRUTAS Y HORTALIZAS, Y LECHE Y PRODUCTOS LACTEOS EN LOS CENTROS ESCOLARES DE CASTILLA-LA MANCHA PARA EL CURSO ESCOLAR</t>
  </si>
  <si>
    <t>SKWH</t>
  </si>
  <si>
    <t>030732</t>
  </si>
  <si>
    <t>SOLICITUD DE PAGO DE LAS AYUDAS PARA EL SUMINISTRO Y DISTRIBUCION DE FRUTAS Y HORTALIZAS, Y LECHE Y PRODUCTOS LACTEOS EN LOS CENTROS ESCOLARES DE CASTILLA-LA MANCHA PARA EL CURSO ESCOLAR</t>
  </si>
  <si>
    <t>PKWI</t>
  </si>
  <si>
    <t>030739</t>
  </si>
  <si>
    <t>AYUDAS PARA LA SUBMEDIDA 12.1 PARA DE PAGOS COMPENSATORIOS POR ZONAS AGRICOLAS DE LA RED NATURA 2000  EN EL MARCO DEL PROGRAMA DE DESARROLLO RURAL DE CASTILLA-LA MANCHA 2014-2020</t>
  </si>
  <si>
    <t>MKYD</t>
  </si>
  <si>
    <t>030743</t>
  </si>
  <si>
    <t>AYUDAS EN ESPECIE CONSISTENTES EN LA EJECUCION DE ACTUACIONES DE MEJORA Y ACONDICIONAMIENTO DE CAMINOS RURALES</t>
  </si>
  <si>
    <t>SKYV</t>
  </si>
  <si>
    <t>030744</t>
  </si>
  <si>
    <t>AYUDAS PARA LA SUBMEDIDA 12.1 PARA DE PAGOS COMPENSATORIOS POR ZONAS AGRICOLAS DE LA RED NATURA 2000  EN EL MARCO DEL PROGRAMA DE DESARROLLO RURAL DE CASTILLA-LA MANCHA 2014-2020 CORRESPONDIENTES A LA 1ª AMPLIACION DE LA ZONA A DE LAS ZEPA DE AMBIENTES ESTEPARIOS.</t>
  </si>
  <si>
    <t>MKYW</t>
  </si>
  <si>
    <t>030756</t>
  </si>
  <si>
    <t>SOLICITUD DE INDEMNIZACION POR SACRIFICIO OBLIGATORIO DE ANIMALES POSITIVOS A ENFERMEDADES OBJETO DE PROGRAMAS DE ERRADICACION</t>
  </si>
  <si>
    <t>SKZC</t>
  </si>
  <si>
    <t>030759</t>
  </si>
  <si>
    <t>CONCURSO MEJOR EMPRESA ECOLOGICA</t>
  </si>
  <si>
    <t>SKZR</t>
  </si>
  <si>
    <t>030770</t>
  </si>
  <si>
    <t>MODIFICACION DE LOS PROYECTOS PILOTO INNOVADORES EN  LA PRODUCCION PRIMARIA AGRICOLA Y GANADERA.</t>
  </si>
  <si>
    <t>2 MESES CONTADOS DESDE LA FECHA DE PRESENTACIÓN_x000D_
DE LA COMUNICACIÓN DE MODIFICACIÓN.</t>
  </si>
  <si>
    <t>SL0Y</t>
  </si>
  <si>
    <t>030773</t>
  </si>
  <si>
    <t>AYUDAS DESTINADAS A PROMOVER LA COOPERACION INNOVADORA MEDIANTE LA CONSTITUCION Y FUNCIONAMIENTO DE GRUPOS OPERATIVOS DE INNOVACION Y LA REALIZACION DE PROYECTOS PILOTO INNOVADORES EN EL SECTOR AGROALIMENTARIO EN EL MARCO DEL PROGRAMA DE DESARROLLO RURAL DE CLM 2014-2020.</t>
  </si>
  <si>
    <t>SL14</t>
  </si>
  <si>
    <t>030812</t>
  </si>
  <si>
    <t>MODIFICACION DE LAS AYUDAS PARA LA COOPERACION ENTRE LOS AGENTES DE LA CADENA DE SUMINISTRO PARA LA CREACION Y EL DESARROLLO DE CADENAS DE DISTRIBUCION CORTAS Y MERCADOS LOCALES EN EL MARCO DEL PROGRAMA DE DESARROLLO RURAL DE CASTILLA-LA MANCHA PARA EL PERIODO 2014-2020.</t>
  </si>
  <si>
    <t>SL5Q</t>
  </si>
  <si>
    <t>030867</t>
  </si>
  <si>
    <t>CONCESION DIRECTA DE UNA SUBVENCION A LA RED CASTELLANO MANCHEGA DE DESARROLLO RURAL</t>
  </si>
  <si>
    <t>PLD7</t>
  </si>
  <si>
    <t>030890</t>
  </si>
  <si>
    <t>ASIGNACION EXTRAORDINARIA A LOS GRUPOS DE ACCION LOCAL POR COVID-19</t>
  </si>
  <si>
    <t>6 M.</t>
  </si>
  <si>
    <t>SLF9</t>
  </si>
  <si>
    <t>030895</t>
  </si>
  <si>
    <t>SUBVENCION CERDO IBERICO AÑO 2020</t>
  </si>
  <si>
    <t>SLFK</t>
  </si>
  <si>
    <t>030913</t>
  </si>
  <si>
    <t>SOLICITUD DE PAGO PARA EL ALMACENAMIENTO PRIVADO DE QUESO</t>
  </si>
  <si>
    <t>120 DÍAS SIGUIENTES A LA FECHA DE PRESENTACIÓN DE LA SOLICITUD DE PAGO.</t>
  </si>
  <si>
    <t>PLGQ</t>
  </si>
  <si>
    <t>030916</t>
  </si>
  <si>
    <t>AYUDAS AL SECTOR DE LA FLOR CORTADA Y PLANTA ORNAMENTAL</t>
  </si>
  <si>
    <t>SLGV</t>
  </si>
  <si>
    <t>030976</t>
  </si>
  <si>
    <t>PAGOS DE PROGRAMAS OPERATIVOS DE FRUTAS Y HORTALIZAS</t>
  </si>
  <si>
    <t>PAGOS PARCIALES 3 MESES Y PARA EL PAGO DEL SALDO A MÁS TARDAR EL 15 DE OCTUBRE DELAÑO DE LA SOLICITUD</t>
  </si>
  <si>
    <t>SKTP</t>
  </si>
  <si>
    <t>030980</t>
  </si>
  <si>
    <t>CONCURSO MEJOR EMPRESA DE VENTA DIRECTA</t>
  </si>
  <si>
    <t>SLKR</t>
  </si>
  <si>
    <t>031016</t>
  </si>
  <si>
    <t>AYUDAS PARA LA REPOBLACION EN EXPLOTACIONES DE GANADO BOVINO, OVINO Y CAPRINO EN CASO DE VACIADO SANITARIO EN APLICACION DE PROGRAMAS SANITARIOS OFICIALES DE ENFERMEDADES DE LOS RUMIANTES EN CASTILLA-LA MANCHA</t>
  </si>
  <si>
    <t>SLO8</t>
  </si>
  <si>
    <t>031087</t>
  </si>
  <si>
    <t>FORMACION OBLIGATORIA PARA EMISORES DEL PASAPORTE FITOSANITARIO</t>
  </si>
  <si>
    <t>SLS1</t>
  </si>
  <si>
    <t>031105</t>
  </si>
  <si>
    <t>DECLARACION RESPONSABLE DEL CUMPLIMIENTO DE LOS REQUISITOS PARA LA CONCESION DE LA SUBVENCION A LOS TITULARES DE EXPLOTACIONES DE GANADO VACUNO DE LECHE CASTILLA-LA MANCHA</t>
  </si>
  <si>
    <t>DLTD</t>
  </si>
  <si>
    <t>031106</t>
  </si>
  <si>
    <t>AYUDAS A LA INSTALACION DE PUNTOS DE DEPOSITO DE RESTOS CINEGETICOS EN CASTILLA-LA MANCHA</t>
  </si>
  <si>
    <t>5 MESES CONTADOS DESDE LA FECHA DE FINALIZACIÓN DEL PLAZO DE PRESENTACIÓN DE SOLICITUDES.</t>
  </si>
  <si>
    <t>SLTG</t>
  </si>
  <si>
    <t>031118</t>
  </si>
  <si>
    <t>CONCURSO MEJOR EMPRESA DE MANIPULACION Y ELABORACION DE CARNE DE CAZA</t>
  </si>
  <si>
    <t>SLU4</t>
  </si>
  <si>
    <t>031121</t>
  </si>
  <si>
    <t>AYUDAS BIOSEGURIDAD VIVEROS</t>
  </si>
  <si>
    <t>EL PLAZO MÁXIMO DE SEIS MESES, CONTADOS DESDE LA PUBLICACIÓN DEL EXTRACTO DE ESTA CONVOCATORIA EN EL DOCM</t>
  </si>
  <si>
    <t>SLU8</t>
  </si>
  <si>
    <t>031130</t>
  </si>
  <si>
    <t>SUBVENCION A LA COMUNIDAD DE REGANTES BALAZOTE-LA HERRERA (ALBACETE) PARA EJECUTAR UNA OBRA DE REGADIO EN CLM, INCLUIDO EN EL PLAN PARA LA MEJORA DE LA EFICIENCIA Y LA SOSTENIBILIDAD</t>
  </si>
  <si>
    <t>PLUN</t>
  </si>
  <si>
    <t>031131</t>
  </si>
  <si>
    <t>SUBVENCION A LA CONFEDERACIONES HIDROGRAFICA DE PEÑARROYA PARA EJECUTAR UNA OBRA DE REGADIO EN CLM, INCLUIDO EN EL PLAN PARA LA MEJORA DE LA EFICIENCIA Y LA SOSTENIBILIDAD</t>
  </si>
  <si>
    <t>PLUO</t>
  </si>
  <si>
    <t>031183</t>
  </si>
  <si>
    <t>ASISTENCIA A ACCIONES FORMATIVAS DE LA MEDIDA 1 DEL PDR 2014-2020 SUBMEDIDA 1.1</t>
  </si>
  <si>
    <t>SLXC</t>
  </si>
  <si>
    <t>031190</t>
  </si>
  <si>
    <t>SOLICITUD DE AYUDAS ESTATALES DE MINIMIS DESTINADAS A LAS CENTRALES DE ACONDICIONAMIENTO DE FRUTAS AFECTADAS POR HELADAS ASOCIADAS A LA BORRASCA CIRIL</t>
  </si>
  <si>
    <t>SLXL</t>
  </si>
  <si>
    <t>031191</t>
  </si>
  <si>
    <t>COMUNICACION DE LAS CUENTAS ANUALES RELATIVAS A LAS AYUDAS ESTATALES DE MINIMIS DESTINADAS A LAS CENTRALES DE ACONDICIONAMIENTO DE FRUTAS AFECTADAS POR HELADAS ASOCIADAS A LA BORRASCA CIRIL</t>
  </si>
  <si>
    <t>MLXM</t>
  </si>
  <si>
    <t>035237</t>
  </si>
  <si>
    <t>SOLICITUD DE AYUDAS PARA LA REALIZACION DE CURSOS DE FORMACION, JORNADAS DE FORMACION Y BREVES ESTANCIAS O INTERCAMBIOS Y VISITAS</t>
  </si>
  <si>
    <t>SKAH</t>
  </si>
  <si>
    <t>035238</t>
  </si>
  <si>
    <t>SOLICITUD DE PAGO DE LAS AYUDAS PARA LA REALIZACION DE CURSOS DE FORMACION, JORNADAS DE FORMACION Y BREVES ESTANCIAS O INTERCAMBIOS Y VISITAS</t>
  </si>
  <si>
    <t>PK96</t>
  </si>
  <si>
    <t>035239</t>
  </si>
  <si>
    <t>COMUNICACION DE INICIO DE LAS EDICIONES DE LAS ACTIVIDADES FORMATIVAS</t>
  </si>
  <si>
    <t>MK95</t>
  </si>
  <si>
    <t>035243</t>
  </si>
  <si>
    <t>MODIFICACION DE LA RESOLUCION DE CONCESION DE AYUDA A INVERSIONES EN TRANSFORMACION, COMERCIALIZACION O DESARROLLO DE PRODUCTOS AGRICOLAS Y AL FOMENTO DE LA CALIDAD AGROALIMENTARIA</t>
  </si>
  <si>
    <t>MKJB</t>
  </si>
  <si>
    <t>035244</t>
  </si>
  <si>
    <t>SOLICITUD DE PAGO DE LAS AYUDAS A INVERSIONES EN TRANSFORMACION, COMERCIALIZACION O DESARROLLO DE PRODUCTOS AGRICOLAS Y AL FOMENTO DE LA CALIDAD AGROALIMENTARIA FOCAL 2018.</t>
  </si>
  <si>
    <t>PKJA</t>
  </si>
  <si>
    <t>035245</t>
  </si>
  <si>
    <t>ACEPTACION DE LA RESOLUCION DE CONCESION DE AYUDA A INVERSIONES EN TRANSFORMACION, COMERCIALIZACION O DESARROLLO DE PRODUCTOS AGRICOLAS Y AL FOMENTO DE LA CALIDAD AGROALIMENTARIA (FOCAL 2017)</t>
  </si>
  <si>
    <t>MKJ9</t>
  </si>
  <si>
    <t>035246</t>
  </si>
  <si>
    <t>AYUDAS A INVERSIONES EN TRANSFORMACION, COMERCIALIZACION O DESARROLLO DE PRODUCTOS AGRICOLAS Y AL FOMENTO DE LA CALIDAD AGROALIMENTARIA (FOCAL)</t>
  </si>
  <si>
    <t>SJ6O</t>
  </si>
  <si>
    <t>035261</t>
  </si>
  <si>
    <t>SOLICITUD DE PAGO DE LA AYUDA A LA CREACION DE EMPRESAS AGRARIAS PARA JOVENES Y A LAS INVERSIONES EN EXPLOTACIONES AGRICOLAS Y GANADERAS</t>
  </si>
  <si>
    <t>PL1V</t>
  </si>
  <si>
    <t>035262</t>
  </si>
  <si>
    <t>SOLICITUD DE AYUDA A LA CREACION DE EMPRESAS AGRARIAS PARA JOVENES Y A LAS INVERSIONES EN EXPLOTACIONES AGRICOLAS Y GANADERAS.</t>
  </si>
  <si>
    <t>SJ5V</t>
  </si>
  <si>
    <t>035267</t>
  </si>
  <si>
    <t>AYUDAS PARA MEJORAR LAS CONDICIONES DE PRODUCCION Y COMERCIALIZACION DE LA MIEL EN LA COMUNIDAD AUTONOMA DE CASTILLA-LA MANCHA</t>
  </si>
  <si>
    <t>SKA5</t>
  </si>
  <si>
    <t>035268</t>
  </si>
  <si>
    <t>DOCUMENTACION JUSTIFICATIVA DE LAS AYUDAS PARA MEJORAR LAS CONDICIONES DE PRODUCCION Y COMERCIALIZACION DE LA MIEL EN LA COMUNIDAD AUTONOMA DE CASTILLA-LA MANCHA</t>
  </si>
  <si>
    <t>SK97</t>
  </si>
  <si>
    <t>035269</t>
  </si>
  <si>
    <t>AYUDAS PARA LA PROMOCION DE PRODUCTOS VINICOLAS EN TERCEROS PAISES</t>
  </si>
  <si>
    <t>SJ59</t>
  </si>
  <si>
    <t>035270</t>
  </si>
  <si>
    <t>PEQUEÑA MODIFICACION DEL PROGRAMA DE PROMOCION DE PRODUCTOS VINICOLAS EN TERCEROS PAISES</t>
  </si>
  <si>
    <t>MKX6</t>
  </si>
  <si>
    <t>035271</t>
  </si>
  <si>
    <t>COMUNICACION DE MISION INVERSA DE LA AYUDA A LA PROMOCION DEL VINO EN MERCADOS DE TERCEROS PAISES</t>
  </si>
  <si>
    <t>MK7L</t>
  </si>
  <si>
    <t>035272</t>
  </si>
  <si>
    <t>ACEPTACION DE LA RESOLUCION  DE CONCESION DE LA AYUDA A LA PROMOCION DEL VINO EN MERCADOS DE TERCEROS PAISES</t>
  </si>
  <si>
    <t>SK7J</t>
  </si>
  <si>
    <t>035273</t>
  </si>
  <si>
    <t>SOLICITUD DEL PAGO ANTICIPADO DE LA AYUDA A LA PROMOCION DEL VINO EN MERCADOS DE TERCEROS PAISES</t>
  </si>
  <si>
    <t>SKX7</t>
  </si>
  <si>
    <t>035274</t>
  </si>
  <si>
    <t>MODIFICACION DEL PROGRAMA DE PROMOCION DE PRODUCTOS VINICOLAS EN TERCEROS PAISES</t>
  </si>
  <si>
    <t>SK7K</t>
  </si>
  <si>
    <t>035275</t>
  </si>
  <si>
    <t>SOLICITUD DEL PAGO INTERMEDIO O FINAL DE LA AYUDA A LA PROMOCION DEL VINO EN MERCADOS DE TERCEROS PAISES</t>
  </si>
  <si>
    <t>PK7I</t>
  </si>
  <si>
    <t>035282</t>
  </si>
  <si>
    <t>AYUDAS PARA FOMENTAR LA PRODUCCION Y COMERCIALIZACION DE PRODUCTOS AGROALIMENTARIOS DE CALIDAD DIFERENCIADA</t>
  </si>
  <si>
    <t>SJIX</t>
  </si>
  <si>
    <t>035283</t>
  </si>
  <si>
    <t>SOLICITUD DEL PAGO DE LAS AYUDAS PARA FOMENTAR LA PRODUCCION Y COMERCIALIZACION DE PRODUCTOS AGROALIMENTARIOS DE  CALIDAD DIFERENCIADA</t>
  </si>
  <si>
    <t>PK99</t>
  </si>
  <si>
    <t>035284</t>
  </si>
  <si>
    <t>AYUDAS DE LA POLITICA AGRICOLA COMUN PARA EL AÑO 2022</t>
  </si>
  <si>
    <t>6 MESES DESDE LA COMUNICACIÓN</t>
  </si>
  <si>
    <t>SH55</t>
  </si>
  <si>
    <t>035285</t>
  </si>
  <si>
    <t>CESIONES DE DERECHOS DE PAGO BASICO CAMPAÑA 2022</t>
  </si>
  <si>
    <t>SK84</t>
  </si>
  <si>
    <t>035286</t>
  </si>
  <si>
    <t>SOLICITUD DE PAGO DE LA AYUDA DESTINADA A PROMOVER LA COOPERACION INNOVADORA EN EL SECTOR AGROALIMENTARIO</t>
  </si>
  <si>
    <t>PL13</t>
  </si>
  <si>
    <t>035287</t>
  </si>
  <si>
    <t>SOLICITUD DE AYUDA DESTINADA A PROMOVER LA COOPERACION INNOVADORA EN EL SECTOR AGROALIMENTARIO</t>
  </si>
  <si>
    <t>SJI5</t>
  </si>
  <si>
    <t>035391</t>
  </si>
  <si>
    <t>DOCUMENTACION JUSTIFICATIVA DE LAS SUBVENCIONES DESTINADAS AL FOMENTO DE RAZAS AUTOCTONAS ESPAÑOLAS</t>
  </si>
  <si>
    <t>PL62</t>
  </si>
  <si>
    <t>035392</t>
  </si>
  <si>
    <t>SOLICITUD DE SUBVENCIONES DESTINADAS AL FOMENTO DE LAS RAZAS AUTOCTONAS ESPAÑOLAS</t>
  </si>
  <si>
    <t>SJS1</t>
  </si>
  <si>
    <t>035476</t>
  </si>
  <si>
    <t>SOLICITUD DE AYUDAS PARA ACCIONES DE CARACTER PREVENTIVO DESTINADAS A EVITAR DAÑOS OCASIONADOS POR EL LOBO IBERICO EN LA PROVINCIA DE GUADALAJARA</t>
  </si>
  <si>
    <t>SJ18</t>
  </si>
  <si>
    <t>035477</t>
  </si>
  <si>
    <t>COMUNICACION DE CAMBIO DE TITULARIDAD Y ACEPTACION EXPRESA DE LAS CONDICIONES DE LAS AYUDAS PARA ACCIONES PREVENTIVAS DESTINADAS A EVITAR DAÑOS POR EL LOBO IBERICO EN LA PROVINCIA DE GUADALAJARA</t>
  </si>
  <si>
    <t>ML0A</t>
  </si>
  <si>
    <t>035478</t>
  </si>
  <si>
    <t>SOLICITUD DE PAGO AYUDAS PARA ACCIONES DE CARACTER PREVENTIVO DESTINADAS A EVITAR DAÑOS OCASIONADOS POR EL LOBO IBERICO EN LA PROVINCIA DE GUADALAJARA</t>
  </si>
  <si>
    <t>SK66</t>
  </si>
  <si>
    <t>035563</t>
  </si>
  <si>
    <t>SOLICITUD DE ALTA DE LA DIRECCION TECNICA</t>
  </si>
  <si>
    <t>SKX5</t>
  </si>
  <si>
    <t>035564</t>
  </si>
  <si>
    <t>SOLICITUD INDIVIDUAL VITICULTOR/A</t>
  </si>
  <si>
    <t>SJE9</t>
  </si>
  <si>
    <t>035565</t>
  </si>
  <si>
    <t>SOLICITUD DE MODIFICACION A LOS PROYECTOS DE REESTRUCTURACION Y RECONVERSION DE VIÑEDO</t>
  </si>
  <si>
    <t>SK5M</t>
  </si>
  <si>
    <t>035566</t>
  </si>
  <si>
    <t>RENUNCIA A LAS SOLICITUDES DE REESTRUCTURACION Y RECONVERSION DE VIÑEDO</t>
  </si>
  <si>
    <t>SKSU</t>
  </si>
  <si>
    <t>035572</t>
  </si>
  <si>
    <t>PAGO DE AYUDAS A INVERSIONES DE DETERMINADAS INFRAESTRUCTURAS DEL SECTOR VITIVINICOLA DENTRO DEL PROGRAMA DE APOYO 2019-2023 (VINATI)</t>
  </si>
  <si>
    <t>SK6Z</t>
  </si>
  <si>
    <t>035573</t>
  </si>
  <si>
    <t>MODIFICACION DE UN PROYECTO DE INVERSION ACOGIDO A LAS AYUDAS EN INVERSIONES DE DETERMINADAS INFRAESTRUCTURAS DEL SECTOR VITIVINICOLA EN EL PROGRAMA DE APOYO 2019-2023 (VINATI)</t>
  </si>
  <si>
    <t>SKH3</t>
  </si>
  <si>
    <t>035574</t>
  </si>
  <si>
    <t>ACEPTACION RESOLUCION DE AYUDAS A INVERSIONES DE DETERMINADAS INFRAESTRUCTURAS DEL SECTOR VITIVINICOLA DENTRO DEL PROGRAMA DE APOYO 2019-2023 (VINATI)</t>
  </si>
  <si>
    <t>SKH2</t>
  </si>
  <si>
    <t>035575</t>
  </si>
  <si>
    <t>AYUDAS EN INVERSIONES DE DETERMINADAS INFRAESTRUCTURAS DEL SECTOR VITIVINICOLA DENTRO DEL PROGRAMA DE APOYO 2019-2023 (VINATI).</t>
  </si>
  <si>
    <t>SK6Y</t>
  </si>
  <si>
    <t>035580</t>
  </si>
  <si>
    <t>JUSTIFICACION DE LAS YUDAS PARA LA ASISTENCIA A LA FERIA AGROALIMENTARIA  WORLD OLIVE OIL EXHIBITION</t>
  </si>
  <si>
    <t>PL6M</t>
  </si>
  <si>
    <t>035581</t>
  </si>
  <si>
    <t>AYUDAS PARA LA ASISTENCIA A LA FERIA AGROALIMENTARIA WORLD OLIVE OIL EXHIBITION</t>
  </si>
  <si>
    <t>SK8A</t>
  </si>
  <si>
    <t>035604</t>
  </si>
  <si>
    <t>AYUDAS PARA LA ASISTENCIA A LA FERIA AGROALIMENTARIA FRUIT ATTRACTION</t>
  </si>
  <si>
    <t>SKBX</t>
  </si>
  <si>
    <t>035605</t>
  </si>
  <si>
    <t>ACEPTACION RESOLUCION CONCESION DE AYUDA PARA LA ASISTENCIA A LA FERIA AGROALIMENTARIA FRUIT ATTRACTION</t>
  </si>
  <si>
    <t>SLVJ</t>
  </si>
  <si>
    <t>035627</t>
  </si>
  <si>
    <t>JUSTIFICACION DE LAS AYUDAS PARA LA ASISTENCIA A LA FERIA AGROALIMENTARIA ALIMENTARIA BARCELONA 2020</t>
  </si>
  <si>
    <t>PKJE</t>
  </si>
  <si>
    <t>035628</t>
  </si>
  <si>
    <t>AYUDAS PARA LA ASISTENCIA A LA FERIA AGROALIMENTARIA ALIMENTARIA BARCELONA 2020.</t>
  </si>
  <si>
    <t>SKJD</t>
  </si>
  <si>
    <t>035629</t>
  </si>
  <si>
    <t>AYUDAS PARA LA ASISTENCIA A LA FERIA AGROALIMENTARIA "SALON GOURMETS".</t>
  </si>
  <si>
    <t>SKET</t>
  </si>
  <si>
    <t>035630</t>
  </si>
  <si>
    <t>JUSTIFICACION DE LAS AYUDAS PARA LA ASISTENCIA A LA FERIA AGROALIMENTARIA SALON GOURMETS</t>
  </si>
  <si>
    <t>SKEU</t>
  </si>
  <si>
    <t>035631</t>
  </si>
  <si>
    <t>JUSTIFICACION DE LAS AYUDAS PARA LA ASISTENCIA A LA FERIA AGROALIMENTARIA FRUIT ATTRACTION</t>
  </si>
  <si>
    <t>PLKV</t>
  </si>
  <si>
    <t>035691</t>
  </si>
  <si>
    <t>SOLICITUD DE AYUDA PREPARATORIA PARA LOS GRUPOS DE ACCION LOCAL QUE ELABORARAN EDLP EN EL PERIODO 2014/2020.</t>
  </si>
  <si>
    <t>SKL2</t>
  </si>
  <si>
    <t>035692</t>
  </si>
  <si>
    <t>SOLICITUD DE PAGO DE LA AYUDA PREPARATORIA PARA LOS GRUPOS DE ACCION LOCAL QUE ELABORARAN EDLP EN EL PERIODO 2014/2020.</t>
  </si>
  <si>
    <t>PKL3</t>
  </si>
  <si>
    <t>035775</t>
  </si>
  <si>
    <t>AYUDAS EN ESPECIE PARA LA ASISTENCIA A LA FERIA AGROALIMENTARIA MEAT ATTRACTION</t>
  </si>
  <si>
    <t>PKT1</t>
  </si>
  <si>
    <t>035776</t>
  </si>
  <si>
    <t>SKT2</t>
  </si>
  <si>
    <t>035777</t>
  </si>
  <si>
    <t>ACEPTACION RESOLUCION CONCESION DE AYUDA PARA LA ASISTENCIA A LA FERIA AGROALIMENTARIA MEAT ATTRACTION</t>
  </si>
  <si>
    <t>SLY6</t>
  </si>
  <si>
    <t>035785</t>
  </si>
  <si>
    <t>PAGO DE LAS AYUDAS A LA CREACION DE AGRUPACIONES DE PRODUCTORES DE PRODUCTOS AGROALIMENTARIOS (APPAAS)</t>
  </si>
  <si>
    <t>PKTB</t>
  </si>
  <si>
    <t>035786</t>
  </si>
  <si>
    <t>SOLICITUD DE MODIFICACION DEL PLAN EMPRESARIAL DE COMERCIALIZACION CONJUNTA DE LAS APPAA</t>
  </si>
  <si>
    <t>SLW3</t>
  </si>
  <si>
    <t>035787</t>
  </si>
  <si>
    <t>AYUDA AL FOMENTO DE LA CREACION DE AGRUPACIONES DE PRODUCTORES DE PRODUCTOS AGROALIMENTARIOS (APPAA)</t>
  </si>
  <si>
    <t>SKTA</t>
  </si>
  <si>
    <t>035799</t>
  </si>
  <si>
    <t>SOLICITUD DE MODIFICACION DE PROGRAMA OPERATIVO RELATIVA A ANUALIDAD NO COMENZADA</t>
  </si>
  <si>
    <t>A MÁS TARDAR EL 15 DICIEMBRE DEL AÑO SOLICITUD O EL 20 DE ENERO DEL AÑO SIGUIENTE POR RAZONES DEBIDAMENTE JUSTIFICADAS</t>
  </si>
  <si>
    <t>SKTM</t>
  </si>
  <si>
    <t>035800</t>
  </si>
  <si>
    <t>SOLICITUD DE PRESENTACION DE NUEVO PROGRAMA OPERATIVO</t>
  </si>
  <si>
    <t>SKTL</t>
  </si>
  <si>
    <t>035801</t>
  </si>
  <si>
    <t>NOTIFICACIONES DE LAS ACCIONES DE LA MEDIDA DE PREVENCION Y GESTION DE CRISIS</t>
  </si>
  <si>
    <t>NKTN</t>
  </si>
  <si>
    <t>035802</t>
  </si>
  <si>
    <t>SOLICITUD DE MODIFICACION DEL PROGRAMA OPERATIVO DURANTE LA ANUALIDAD EN CURSO</t>
  </si>
  <si>
    <t>SKTO</t>
  </si>
  <si>
    <t>035803</t>
  </si>
  <si>
    <t>COMUNICACION EJECUCION ACCIONES MEDIOAMBIENTALES</t>
  </si>
  <si>
    <t>MLK5</t>
  </si>
  <si>
    <t>035831</t>
  </si>
  <si>
    <t>AYUDAS A LA MODERNIZACION Y TRANSFORMACION DE REGADIOS</t>
  </si>
  <si>
    <t>SKVF</t>
  </si>
  <si>
    <t>035832</t>
  </si>
  <si>
    <t>PAGO AYUDAS A LA MODERNIZACION Y TRANSFORMACION DE REGADIOS</t>
  </si>
  <si>
    <t>PKVG</t>
  </si>
  <si>
    <t>035840</t>
  </si>
  <si>
    <t>PRESENTACION DOCUMENTACION DEL SALDO DE LA AYUDA A LA DESTILACION DE SUBPRODUCTOS</t>
  </si>
  <si>
    <t>SKW7</t>
  </si>
  <si>
    <t>035841</t>
  </si>
  <si>
    <t>PRESENTACION SOLICITUDES DE AYUDA A LA DESTILACION DE SUBPRODUCTOS</t>
  </si>
  <si>
    <t>SKW6</t>
  </si>
  <si>
    <t>035881</t>
  </si>
  <si>
    <t>MODIFICACION DE LA RESOLUCION DE LA AYUDA PARA ACCIONES DE CARACTER PREVENTIVO DESTINADAS A EVITAR DAÑOS OCASIONADOS POR EL LOBO IBERICO EN LA PROVINCIA DE GUADALAJARA.</t>
  </si>
  <si>
    <t>SL07</t>
  </si>
  <si>
    <t>035882</t>
  </si>
  <si>
    <t>AMPLIACION DE PLAZO DE EJECUCION DE LAS AYUDAS PARA ACCIONES DE CARACTER PREVENTIVO DESTINADAS A EVITAR DAÑOS OCASIONADOS POR EL LOBO IBERICO EN LA PROVINCIA DE GUADALAJARA</t>
  </si>
  <si>
    <t>SL09</t>
  </si>
  <si>
    <t>035891</t>
  </si>
  <si>
    <t>PAGO DE AYUDAS DESTINADAS A PROMOVER LA COOPERACION INNOVADORA MEDIANTE GRUPOS OPERATIVOS Y REALIZACION DE PROYECTOS PILOTO.</t>
  </si>
  <si>
    <t>PL0V</t>
  </si>
  <si>
    <t>035892</t>
  </si>
  <si>
    <t>PAGO POR ANTICIPO.</t>
  </si>
  <si>
    <t>SLKI</t>
  </si>
  <si>
    <t>035893</t>
  </si>
  <si>
    <t>AYUDAS A LA COOPERACION INNOVADORA MEDIANTE LA CONSTITUCION DE GRUPOS OPERATIVOS DE INNOVACION Y LA REALIZACION DE PROYECTOS PILOTO INNOVADORES EN LA PRODUCCION PRIMARIA AGRICOLA Y GANADERA.</t>
  </si>
  <si>
    <t>SL0T</t>
  </si>
  <si>
    <t>035906</t>
  </si>
  <si>
    <t>COMUNICACION PREVIA DE LA FORMACION SANITARIA.</t>
  </si>
  <si>
    <t>ML1M</t>
  </si>
  <si>
    <t>035907</t>
  </si>
  <si>
    <t>SOLICITUD DE AYUDA A LAS ADSG PARA LA EJECUCION DE LOS PROGRAMAS ZOOTECNICO-SANITARIO REGULADAS POR EL CAPITULO II DE LA ORDEN 29/2018.</t>
  </si>
  <si>
    <t>SL1L</t>
  </si>
  <si>
    <t>035908</t>
  </si>
  <si>
    <t>JUSTIFICACION DE LOS GASTOS DE EJECUCION DE LAS ACTIVIDADES SUBVENCIONABLES</t>
  </si>
  <si>
    <t>PL1N</t>
  </si>
  <si>
    <t>035927</t>
  </si>
  <si>
    <t>PRESENTACION DEL PARTE MENSUAL DE INCIDENCIAS CON LOS RESULTADOS DE LOS CONTROLES EFECTUADOS POR PARTE DE LAS AGRUPACIONES DE SANIDAD VEGETAL DE CASTILLA-LA MANCHA</t>
  </si>
  <si>
    <t>MLRQ</t>
  </si>
  <si>
    <t>035928</t>
  </si>
  <si>
    <t>SUBVENCIONES PARA LA PRESTACION DE SERVICIOS DE ASESORAMIENTO EN GESTION INTEGRADA DE PLAGAS POR PARTE DE LAS AGRUPACIONES DE SANIDAD VEGETAL EN CASTILLA-LA MANCHA</t>
  </si>
  <si>
    <t>SL2L</t>
  </si>
  <si>
    <t>035952</t>
  </si>
  <si>
    <t>SOLICITUD DEL PAGO DE LAS AYUDAS PARA LA COOPERACION ENTRE LOS AGENTES DE LA CADENA DE SUMINISTRO PARA LA CREACION Y EL DESARROLLO DE CADENAS DE DISTRIBUCION CORTAS Y MERCADOS LOCALES.</t>
  </si>
  <si>
    <t>PL5P</t>
  </si>
  <si>
    <t>035953</t>
  </si>
  <si>
    <t>SOLICITUD  DE LAS AYUDAS PARA LA COOPERACION ENTRE LOS AGENTES DE LA CADENA DE SUMINISTRO PARA LA CREACION Y EL DESARROLLO DE CADENAS DE DISTRIBUCION CORTAS Y MERCADOS LOCALES</t>
  </si>
  <si>
    <t>SL5O</t>
  </si>
  <si>
    <t>035956</t>
  </si>
  <si>
    <t>DOCUMENTACION JUSTIFICATIVA DE LAS AYUDAS PARA EL CONTROL DE RENDIMIENTO DE LAS HEMBRAS LECHERAS EN CASTILLA-LA MANCHA</t>
  </si>
  <si>
    <t>6 MESES A CONTAR DESDE LA ACREDITACIÓN DE LAS LACTACIONES FINALIZADAS Y VALIDAS CERTIFICADAS DEL AÑO NATURAL ANTERIOR A LA CONVOCATORIA</t>
  </si>
  <si>
    <t>PL64</t>
  </si>
  <si>
    <t>035957</t>
  </si>
  <si>
    <t>SOLICITUD DE AYUDAS PARA EL CONTROL DE RENDIMIENTO DE LAS HEMBRAS LECHERAS EN CASTILLA-LA MANCHA</t>
  </si>
  <si>
    <t>SL63</t>
  </si>
  <si>
    <t>035967</t>
  </si>
  <si>
    <t>SOLICITUD DE AYUDAS PARA LA REFORESTACION Y CREACION DE SUPERFICIES FORESTALES.</t>
  </si>
  <si>
    <t>SL7Y</t>
  </si>
  <si>
    <t>035968</t>
  </si>
  <si>
    <t>COMUNICACION DE CAMBIO DE TITULARIDAD Y ACEPTACION EXPRESA POR EL NUEVO TITULAR DE LAS CONDICIONES EN LAS QUE SE CONCEDIO LA AYUDA PARA LA FORESTACION Y CREACION DE SUPERFICIES FORESTALES.</t>
  </si>
  <si>
    <t>ML7Z</t>
  </si>
  <si>
    <t>035969</t>
  </si>
  <si>
    <t>SOLICITUD DE PAGO DE LA AYUDA PARA LA REFORESTACION Y  CREACION DE SUPERFICIES FORESTALES.</t>
  </si>
  <si>
    <t>PL82</t>
  </si>
  <si>
    <t>035970</t>
  </si>
  <si>
    <t>SOLICITUD DE MODIFICACION DE LA RESOLUCION DE LA AYUDA PARA LA REFORESTACION Y CREACION DE SUPERFICIES FORESTALES</t>
  </si>
  <si>
    <t>SL80</t>
  </si>
  <si>
    <t>035971</t>
  </si>
  <si>
    <t>SOLICITUD DE PRORROGA DE EJECUCION DE AYUDAS PARA LA REFORESTACION Y CREACION DE SUPERFICIES FORESTALES</t>
  </si>
  <si>
    <t>SL81</t>
  </si>
  <si>
    <t>035975</t>
  </si>
  <si>
    <t>SOLICITUD DE PAGO DE LOS SERVICIOS DE ASESORAMIENTO PRESTADOS</t>
  </si>
  <si>
    <t>PL87</t>
  </si>
  <si>
    <t>035976</t>
  </si>
  <si>
    <t>SOLICITUD DE AYUDA PARA LA PRESTACION DE SERVICIOS DE ASESORAMIENTO</t>
  </si>
  <si>
    <t>VICECONSEJERIA MEDIO RURAL - CONSEJERIA DE AGRICULTURA, AGUA Y DESARROLLO RURAL</t>
  </si>
  <si>
    <t>SL86</t>
  </si>
  <si>
    <t>035991</t>
  </si>
  <si>
    <t>SOLICITUD DE PAGO AYUDAS DESTINADAS A LA CONSERVACION, USO Y DESARROLLO SOSTENIBLE DE LOS RECURSOS GENETICOS GANADEROS EN CASTILLA-LA MANCHA</t>
  </si>
  <si>
    <t>PLA4</t>
  </si>
  <si>
    <t>035992</t>
  </si>
  <si>
    <t>SOLICITUD DE AYUDAS DESTINADAS A LA CONSERVACION, USO Y DESARROLLO SOSTENIBLE DE LOS RECURSOS GENETICOS GANADEROS EN CASTILLA-LA MANCHA</t>
  </si>
  <si>
    <t>SLA3</t>
  </si>
  <si>
    <t>035993</t>
  </si>
  <si>
    <t>SOLICITUD DE AYUDAS DESTINADAS A LA CONSERVACION DE RECURSOS AGRICOLAS AMENAZADOS DE EROSION GENETICA EN CASTILLA-LA MANCHA.</t>
  </si>
  <si>
    <t>SLAJ</t>
  </si>
  <si>
    <t>035998</t>
  </si>
  <si>
    <t>LICITACION AYUDA PARA EL ALMACENAMIENTO DE ACEITE DE OLIVA</t>
  </si>
  <si>
    <t>"SOLICITUDES AYUDA: OFERTAS ADMISIBLES SE INFORMARÁ AL TITULAR PLAZO 3 DÍAS HÁBILES.
SOLICITUDES PAGO: MÁXIMO 120 DÍAS"</t>
  </si>
  <si>
    <t>SLB3</t>
  </si>
  <si>
    <t>035999</t>
  </si>
  <si>
    <t>SOLICITUD DE PAGO DE LA AYUDA PARA EL ALMACENAMIENTO DE ACEITE DE OLIVA</t>
  </si>
  <si>
    <t>PLDU</t>
  </si>
  <si>
    <t>036006</t>
  </si>
  <si>
    <t>AYUDAS PARA LA ASISTENCIA A LA FERIA AGROALIMENTARIA ORGANIC FOOD IBERIA</t>
  </si>
  <si>
    <t>SLC7</t>
  </si>
  <si>
    <t>036007</t>
  </si>
  <si>
    <t>JUSTIFICACION DE LAS AYUDAS PARA LA ASISTENCIA A LA FERIA AGROALIMENTARIA ORGANIC FOOD IBERIA</t>
  </si>
  <si>
    <t>PLC8</t>
  </si>
  <si>
    <t>036021</t>
  </si>
  <si>
    <t>AYUDA  COSECHA EN VERDE</t>
  </si>
  <si>
    <t>SLE7</t>
  </si>
  <si>
    <t>036022</t>
  </si>
  <si>
    <t>COMUNICACION EJECUCION Y PAGO DE LA AYUDA COSECHA EN VERDE</t>
  </si>
  <si>
    <t>PLE8</t>
  </si>
  <si>
    <t>036089</t>
  </si>
  <si>
    <t>SOLICITUD DE PAGO PARA LA REALIZACION DE ACTUACIONES DE EFICIENCIA ENERGETICA EN EXPLOTACIONES AGROPECUARIAS.</t>
  </si>
  <si>
    <t>PLLC</t>
  </si>
  <si>
    <t>036090</t>
  </si>
  <si>
    <t>SOLICITUD DE AYUDA PARA LA REALIZACION DE ACTUACIONES DE EFICIENCIA ENERGETICA EN EXPLOTACIONES AGROPECUARIAS.</t>
  </si>
  <si>
    <t>SLLB</t>
  </si>
  <si>
    <t>036091</t>
  </si>
  <si>
    <t>SOLICITUD DE PAGO DE AYUDA A INVERSIONES EN EXPLOTACIONES AGRICOLAS Y GANADERAS.</t>
  </si>
  <si>
    <t>PLLQ</t>
  </si>
  <si>
    <t>036092</t>
  </si>
  <si>
    <t>SOLICITUD DE AYUDA A INVERSIONES EN EXPLOTACIONES AGRICOLAS Y GANADERAS.</t>
  </si>
  <si>
    <t>SLLP</t>
  </si>
  <si>
    <t>036127</t>
  </si>
  <si>
    <t>SOLICITUD AYUDA RECUPERACION DE POTENCIAL PRODUCTIVO DEL OLIVAR AFECTADO POR EL TEMPORAL FILOMENA EN CASTILLA-LA MANCHA</t>
  </si>
  <si>
    <t>SLOC</t>
  </si>
  <si>
    <t>036128</t>
  </si>
  <si>
    <t>DECLARACION DE FIN DE ACTUACIONES</t>
  </si>
  <si>
    <t>PLOD</t>
  </si>
  <si>
    <t>036157</t>
  </si>
  <si>
    <t>AYUDAS A INVERSIONES EN ACTIVIDADES DE TRANSFORMACION DE PRODUCTOS DE LA PESCA Y DE LA ACUICULTURA PARA EL PERIODO 2014-2020, FINANCIADAS POR EL FONDO EUROPEO MARITIMO Y DE LA PESCA (FEMP)</t>
  </si>
  <si>
    <t>SLS8</t>
  </si>
  <si>
    <t>036158</t>
  </si>
  <si>
    <t>MODIFICACION DE LA RESOLUCION DE CONCESION DE AYUDAS A INVERSIONES EN ACTIVIDADES DE TRANSFORMACION DE PRODUCTOS DE LA PESCA Y DE LA ACUICULTURA PARA EL PERIODO 2014-2020, FINANCIADAS POR FEMP.</t>
  </si>
  <si>
    <t>SLS6</t>
  </si>
  <si>
    <t>036159</t>
  </si>
  <si>
    <t>ACEPTACION DE LA RESOLUCION DE CONCESION DE AYUDAS A INVERSIONES EN ACTIVIDADES DE TRANSFORMACION DE PRODUCTOS DE LA PESCA Y DE LA ACUICULTURA PARA EL PERIODO 2014-2020, FINANCIADAS POR FEMP</t>
  </si>
  <si>
    <t>SLS7</t>
  </si>
  <si>
    <t>036160</t>
  </si>
  <si>
    <t>SOLICITUD DE PAGO DE LAS AYUDAS A INVERSIONES EN ACTIVIDADES DE TRANSFORMACION DE PRODUCTOS DE LA PESCA Y DE LA ACUICULTURA PARA EL PERIODO 2014-2020, FINANCIADAS POR EL FEMP</t>
  </si>
  <si>
    <t>PLS9</t>
  </si>
  <si>
    <t>036169</t>
  </si>
  <si>
    <t>AYUDAS AL ALMACENAMIENTO PRIVADO DE CARNE DE PORCINO</t>
  </si>
  <si>
    <t>SI UNA SOLICITUD ES INADMISIBLE, SE NOTIFICARÁ AL TITULAR EN UN PLAZO DE TRES DÍAS HÁBILES A PARTIR DE LA RECEPCIÓN DE LA SOLICITUD</t>
  </si>
  <si>
    <t>SLTX</t>
  </si>
  <si>
    <t>036170</t>
  </si>
  <si>
    <t>SOLICITUD DE PAGO DE LA AYUDA PARA EL ALMACENAMIENTO DE CARNE DE PORCINO</t>
  </si>
  <si>
    <t>PLUC</t>
  </si>
  <si>
    <t>036171</t>
  </si>
  <si>
    <t>SOLICITUD DE AYUDA PARA INVERSIONES EN MATERIA DE BIOSEGURIDAD PARA LA MEJORA O CONSTRUCCION DE CENTROS DE LIMPIEZA Y DESINFECCION DE VEHICULOS DE TRANSPORTE POR CARRETERA DE GANADO</t>
  </si>
  <si>
    <t>SLUD</t>
  </si>
  <si>
    <t>036172</t>
  </si>
  <si>
    <t>SOLICITUD DE PAGO PARA INVERSIONES EN MATERIA DE BIOSEGURIDAD PARA LA MEJORA O CONSTRUCCION DE CENTROS DE LIMPIEZA Y DESINFECCION DE VEHICULOS DE TRANSPORTE POR CARRETERA DE GANADO</t>
  </si>
  <si>
    <t>PLUE</t>
  </si>
  <si>
    <t>036174</t>
  </si>
  <si>
    <t>SOLICITUD AYUDAS A INVERSIONES PARA LA SOSTENIBILIDAD Y COMPETITIVIDAD DE EXPLOTACIONES AGRICOLAS Y GANADERAS:AGRICULTURA DE PRECISION, EFICIENCIA ENERGETICA, GESTION ESTIERCOLES E INVERNADEROS.</t>
  </si>
  <si>
    <t>SLUI</t>
  </si>
  <si>
    <t>036182</t>
  </si>
  <si>
    <t>3 MESES DESDE LA FINALIZACIÓN DEL PLAZO DE PRESENTACIÓN DE SOLICITUDES.</t>
  </si>
  <si>
    <t>SLVU</t>
  </si>
  <si>
    <t>040115</t>
  </si>
  <si>
    <t>INSCRIPCION EN LOS REGISTROS COMUNITARIOS DE LAS DENOMINACIONES DE ORIGEN PROTEGIDAS Y DE LAS INDICACIONES GEOGRAFICAS PROTEGIDAS.</t>
  </si>
  <si>
    <t>SJHS</t>
  </si>
  <si>
    <t>040144</t>
  </si>
  <si>
    <t>EXPEDICION DE LOS CARNES DE MANIPULADOR DE PRODUCTOS FITOSANITARIOS</t>
  </si>
  <si>
    <t>S323</t>
  </si>
  <si>
    <t>040145</t>
  </si>
  <si>
    <t>RENOVACION DE CARNES DE MANIPULADOR DE PRODUCTOS FITOSANITARIOS</t>
  </si>
  <si>
    <t>SJ2M</t>
  </si>
  <si>
    <t>040157</t>
  </si>
  <si>
    <t>CERTIFICACION Y CONTROL DE LOS VINOS VARIETALES</t>
  </si>
  <si>
    <t>SJBX</t>
  </si>
  <si>
    <t>040158</t>
  </si>
  <si>
    <t>CERTIFICACION DE LOS VINOS CON DENOMINACION DE ORIGEN PROTEGIDA</t>
  </si>
  <si>
    <t>SJHB</t>
  </si>
  <si>
    <t>040159</t>
  </si>
  <si>
    <t>RECONOCIMIENTO DE MARCAS COLECTIVAS Y DE GARANTIAS COMO FIGURAS DE CALIDAD AGROALIMENTARIA DE CASTILLA-LA MANCHA.</t>
  </si>
  <si>
    <t>NO SUJETO A PLAZO</t>
  </si>
  <si>
    <t>SJHT</t>
  </si>
  <si>
    <t>040160</t>
  </si>
  <si>
    <t>CERTIFICACION Y CONTROL DE LOS VINOS CON IGP.</t>
  </si>
  <si>
    <t>DJI0</t>
  </si>
  <si>
    <t>040164</t>
  </si>
  <si>
    <t>CERTIFICACION DE SEMILLAS</t>
  </si>
  <si>
    <t>SJGI</t>
  </si>
  <si>
    <t>040165</t>
  </si>
  <si>
    <t>CERTIFICACION DE PLANTAS DE VIVERO</t>
  </si>
  <si>
    <t>SJGJ</t>
  </si>
  <si>
    <t>040166</t>
  </si>
  <si>
    <t>CERTIFICADO PATRON DE MATERIALES FORESTALES DE REPRODUCCION DE ESPECIES REGULADAS</t>
  </si>
  <si>
    <t>SJGK</t>
  </si>
  <si>
    <t>040168</t>
  </si>
  <si>
    <t>SOLICITUD DE INFORMACIÓN CARTOGRÁFICA</t>
  </si>
  <si>
    <t>1 O 2 MESES</t>
  </si>
  <si>
    <t>SJLP</t>
  </si>
  <si>
    <t>040231</t>
  </si>
  <si>
    <t>RECONOCIMIENTO OFICIAL DE LAS ORGANIZACIONES O ASOCIACIONES DE CRIADORES DE PERROS DE RAZA PURA</t>
  </si>
  <si>
    <t>SJWW</t>
  </si>
  <si>
    <t>040252</t>
  </si>
  <si>
    <t>SOLICITUD DE CONVALIDACION DE CARNE DE MANIPULADOR DE PRODUCTOS FITOSANITARIOS.</t>
  </si>
  <si>
    <t>SK3P</t>
  </si>
  <si>
    <t>040258</t>
  </si>
  <si>
    <t>CK5Q</t>
  </si>
  <si>
    <t>040281</t>
  </si>
  <si>
    <t>CALIFICACION SANITARIA DE TEMBLADERA CLASICA.</t>
  </si>
  <si>
    <t>SKC7</t>
  </si>
  <si>
    <t>040290</t>
  </si>
  <si>
    <t>AUTORIZACION COMO ENTIDAD DE FORMACION PARA LA IMPARTICION DE CURSOS DE BIENESTAR ANIMAL, BIOSEGURIDAD, HIGIENE Y SANIDAD ANIMAL.</t>
  </si>
  <si>
    <t>SKFF</t>
  </si>
  <si>
    <t>040298</t>
  </si>
  <si>
    <t>SOLICITUD DE CERTIFICADO SANITARIO PARA  INTERCAMBIOS INTRACOMUNITARIOS</t>
  </si>
  <si>
    <t>SKHW</t>
  </si>
  <si>
    <t>040312</t>
  </si>
  <si>
    <t>DECLARACION VETERINARIA RESPONSABLE (DVR) PARA LA EXPORTACION DE PRODUCTOS DE ORIGEN ANIMAL DESTINADOS AL CONSUMO HUMANO</t>
  </si>
  <si>
    <t>SKPL</t>
  </si>
  <si>
    <t>040348</t>
  </si>
  <si>
    <t>INFORMES FITOSANITARIOS</t>
  </si>
  <si>
    <t>BLC0</t>
  </si>
  <si>
    <t>040355</t>
  </si>
  <si>
    <t>DECLARACION RESPONSABLE INICIO DE ACTIVIDAD, BAJA Y MODIFICACION EN EL REGISTRO DE VENTA DIRECTA DE PRODUCTOS LIGADOS A LA ACTIVIDAD AGRARIA (P. PRIMARIOS) Y TRANSFORMADOS CON RGSEAA</t>
  </si>
  <si>
    <t>DLG6</t>
  </si>
  <si>
    <t>040365</t>
  </si>
  <si>
    <t>CERTIFICADO DE EXCLUSION DE FINCAS EN CONCENTRACION PARCELARIA Y/O ZONA REGABLE</t>
  </si>
  <si>
    <t>SLPF</t>
  </si>
  <si>
    <t>040368</t>
  </si>
  <si>
    <t>CERTIFICADO DE RENTA AGRARIA PARA LA OBTENCION DE FINANCIACION PREFERENTE</t>
  </si>
  <si>
    <t>SLQ8</t>
  </si>
  <si>
    <t>040372</t>
  </si>
  <si>
    <t>EXPEDICION DE CERTIFICADO DE CAPACITACION DEL PERSONAL QUE UTILIZA ANIMALES CON FINES EXPERIMENTALES.</t>
  </si>
  <si>
    <t>SLRJ</t>
  </si>
  <si>
    <t>040381</t>
  </si>
  <si>
    <t>SOLICITUD DE CERTIFICADOS/DOCUMENTACION DEL REGISTRO DE SOCIEDADES AGRARIAS DE TRANSFORMACION (S.A.T.)</t>
  </si>
  <si>
    <t>SLYY</t>
  </si>
  <si>
    <t>045337</t>
  </si>
  <si>
    <t>SOLICITUD DE RECONOCIMIENTO E INSCRIPCION EN EL REGISTRO REGIONAL DE AGRUPACION DE DEFENSA SANITARIA GANADERA</t>
  </si>
  <si>
    <t>SG48</t>
  </si>
  <si>
    <t>045338</t>
  </si>
  <si>
    <t>SOLICITUD DE FUSION DE AGRUPACIONES DE DEFENSA SANITARIA GANADERA</t>
  </si>
  <si>
    <t>SL6O</t>
  </si>
  <si>
    <t>045339</t>
  </si>
  <si>
    <t>SOLICITUD DE RECONOCIMIENTO Y REGISTRO DE LAS AGRUPACIONES DE SANIDAD VEGETAL EN CASTILLA-LA MANCHA</t>
  </si>
  <si>
    <t>SIFY</t>
  </si>
  <si>
    <t>045340</t>
  </si>
  <si>
    <t>TRANSFERENCIA DE RECONOCIMIENTO DE LAS AGRUPACIONES DE SANIDAD VEGETAL EN CASTILLA-LA MANCHA</t>
  </si>
  <si>
    <t>SKFT</t>
  </si>
  <si>
    <t>045341</t>
  </si>
  <si>
    <t>MODIFICACION DE RECONOCIMIENTO DE LAS AGRUPACIONES DE SANIDAD VEGETAL EN CASTILLA-LA MANCHA</t>
  </si>
  <si>
    <t>MKFS</t>
  </si>
  <si>
    <t>045342</t>
  </si>
  <si>
    <t>DECLARACIONES DE COSECHA DE PARCELAS ILEGALES.</t>
  </si>
  <si>
    <t>DK2I</t>
  </si>
  <si>
    <t>045343</t>
  </si>
  <si>
    <t>DECLARACION DE NO VENDIMINA</t>
  </si>
  <si>
    <t>DK2K</t>
  </si>
  <si>
    <t>045344</t>
  </si>
  <si>
    <t>CERTIFICADO DE DESTILACION</t>
  </si>
  <si>
    <t>CK2J</t>
  </si>
  <si>
    <t>045345</t>
  </si>
  <si>
    <t>DECLARACION DE COSECHA DE UVA Y DECLARACION DE COSECHA POR PARCELA.</t>
  </si>
  <si>
    <t>DJIK</t>
  </si>
  <si>
    <t>045346</t>
  </si>
  <si>
    <t>RELACION DE PROVEEDORES Y JUSTIFICANTE DE COMPRA-VENTA DE PRODUCTOS VITIVINICOLAS</t>
  </si>
  <si>
    <t>DJIN</t>
  </si>
  <si>
    <t>045439</t>
  </si>
  <si>
    <t>CALIFICACION SANITARIA DE LAS EXPLOTACIONES DE GANADO BOVINO, OVINO, CAPRINO Y PORCINO EN LA COMUNIDAD AUTONOMA DE CASTILLA-LA MANCHA.</t>
  </si>
  <si>
    <t>SJWL</t>
  </si>
  <si>
    <t>045440</t>
  </si>
  <si>
    <t>CALIFICACION SANITARIA FRENTE A LA BRUCELOSIS BOVINA EN EXPLOTACIONES DE ENGORDE EN LA COMUNIDAD AUTONOMA DE CASTILLA-LA MANCHA</t>
  </si>
  <si>
    <t>S953</t>
  </si>
  <si>
    <t>045441</t>
  </si>
  <si>
    <t>CALIFICACION SANITARIA FRENTE A TUBERCULOSIS BOVINA EN EXPLOTACIONES DE ENGORDE EN LA COMUNIDAD AUTONOMA DE CASTILLA-LA MANCHA.</t>
  </si>
  <si>
    <t>SK1N</t>
  </si>
  <si>
    <t>045442</t>
  </si>
  <si>
    <t>CALIFICACION SANITARIA FRENTE A BRUCELOSIS OVINA/CAPRINA EN EXPLOTACIONES DE ENGORDE EN LA COMUNIDAD AUTONOMA DE CASTILLA-LA MANCHA.</t>
  </si>
  <si>
    <t>SK22</t>
  </si>
  <si>
    <t>045511</t>
  </si>
  <si>
    <t>DOCUMENTO DE ACOMPAÑAMIENTO PRODUCTOS VITIVINICOLAS.</t>
  </si>
  <si>
    <t>MLJM</t>
  </si>
  <si>
    <t>045512</t>
  </si>
  <si>
    <t>SOLICITUD ALTA DE LA TASA EN GELIBO WEB</t>
  </si>
  <si>
    <t>SK2H</t>
  </si>
  <si>
    <t>045517</t>
  </si>
  <si>
    <t>INFORME PREVIO DE SUBVENCIONALIDAD LEADER 2014/2020</t>
  </si>
  <si>
    <t>SJ5K</t>
  </si>
  <si>
    <t>045567</t>
  </si>
  <si>
    <t>DECLARACION DE ACCIONES</t>
  </si>
  <si>
    <t>DK5P</t>
  </si>
  <si>
    <t>045568</t>
  </si>
  <si>
    <t>DECLARACION DE PLANTACION</t>
  </si>
  <si>
    <t>DK5R</t>
  </si>
  <si>
    <t>120046</t>
  </si>
  <si>
    <t>SOLICITUD DE ANALISIS EN EL LABORATORIO REGIONAL AGROALIMENTARIO Y AMBIENTAL DE CASTILLA-LA MANCHA.</t>
  </si>
  <si>
    <t>SK8J</t>
  </si>
  <si>
    <t>130006</t>
  </si>
  <si>
    <t>PROCEDIMIENTO RESPONSABILIDAD PATRIMONIAL</t>
  </si>
  <si>
    <t>SEIS MESES DESDE LA INICIACIÓN DEL PROCEDIMIENTO.</t>
  </si>
  <si>
    <t>SLTI</t>
  </si>
  <si>
    <t>150028</t>
  </si>
  <si>
    <t>SELECCION DE ENTIDADES COLABORADORAS PARA LA PRESENTACION DE SOLICITUDES DE POTENCIAL DE PRODUCCION VITICOLA EN CASTILLA - LA MANCHA.</t>
  </si>
  <si>
    <t>SLFH</t>
  </si>
  <si>
    <t>150029</t>
  </si>
  <si>
    <t>RECONOCIMIENTO DE ENTIDADES AGRARIAS DE COLABORACION EN EL AMBITO DE LA SOLICITUD UNICA Y EN EL AMBITO DE AYUDAS A LA CREACION E INVERSION EN EXPLOTACIONES AGRARIAS</t>
  </si>
  <si>
    <t>SLHQ</t>
  </si>
  <si>
    <t>180094</t>
  </si>
  <si>
    <t>PROVISION, POR EL PROCEDIMIENTO DE LIBRE DESIGNACION DE PUESTOS DE TRABAJO VACANTES EN LA ADMINISTRACION DE LA JUNTA DE COMUNIDADES DE CASTILLA-LA MANCHA.</t>
  </si>
  <si>
    <t>SJXH</t>
  </si>
  <si>
    <t>180243</t>
  </si>
  <si>
    <t>PROVISION, MEDIANTE CONCURSO SINGULARIZADO DE MERITOS (CSM AGADR 2/2022), DE PUESTOS DE TRABAJO VACANTES EN LA ADMINISTRACION DE LA JUNTA DE COMUNIDADES DE CASTILLA-LA MANCHA</t>
  </si>
  <si>
    <t>SLXF</t>
  </si>
  <si>
    <t>210006</t>
  </si>
  <si>
    <t>SELECCION DE LAS OPERADORAS ENCARGADAS DEL SERVICIO DE RETIRADA Y DESTRUCCION DE LOS ANIMALES MUERTOS EN CASTILLA-LA MANCHA.</t>
  </si>
  <si>
    <t>NO HAY PLAZO MAXIMO.</t>
  </si>
  <si>
    <t>SKQ7</t>
  </si>
  <si>
    <t>110034</t>
  </si>
  <si>
    <t>CONVOCATORIA CONTRATACION PERSONAL LABORAL EN EL MARCO DE PROYECTOS ESPECIFICOS DE I+D+I.</t>
  </si>
  <si>
    <t>INSTITUTO REGIONAL INVESTIGACION Y DESARROLLO AGROALIMENTARIO Y FORESTAL (IRIAF)</t>
  </si>
  <si>
    <t>SKNN</t>
  </si>
  <si>
    <t>180156</t>
  </si>
  <si>
    <t>SKLE</t>
  </si>
  <si>
    <t>180184</t>
  </si>
  <si>
    <t>PROVISION, MEDIANTE CONCURSO SINGULARIZADO DE MERITOS (CSM AAD 1/2022), DE TRES PUESTOS DE TRABAJO VACANTE EN LA ADMINISTRACION DE LA JUNTA DE COMUNIDADES DE CASTILLA-LA MANCHA</t>
  </si>
  <si>
    <t>SLDR</t>
  </si>
  <si>
    <t>190011</t>
  </si>
  <si>
    <t>SUMINISTRO VARETAS PISTACHERO.</t>
  </si>
  <si>
    <t>SKRJ</t>
  </si>
  <si>
    <t>010168</t>
  </si>
  <si>
    <t>REGULACION DE USO DE LOS ALBERGUES Y CAMPAMENTOS PERTENECIENTES A LA RED DE ALBERGUES JUVENILES DE CASTILLA-LA MANCHA</t>
  </si>
  <si>
    <t>CONSEJERIA DE EDUCACION, CULTURA Y DEPORTES</t>
  </si>
  <si>
    <t>DIRECCION GENERAL JUVENTUD Y DEPORTES - CONSEJERIA DE EDUCACION, CULTURA Y DEPORTES</t>
  </si>
  <si>
    <t>SIDD</t>
  </si>
  <si>
    <t>010169</t>
  </si>
  <si>
    <t>AUTORIZACION DE APERTURA Y FUNCIONAMIENTO DE ESCUELAS DE MUSICA Y DANZA E INSCRIPCION EN EL REGISTRO DE CENTROS DOCENTES DE CASTILLA-LA MANCHA</t>
  </si>
  <si>
    <t>DIRECCION GENERAL INCLUSION EDUCATIVA Y PROGRAMAS - CONSEJERIA DE EDUCACION, CULTURA Y DEPORTES</t>
  </si>
  <si>
    <t>SIIU</t>
  </si>
  <si>
    <t>010170</t>
  </si>
  <si>
    <t>AUTORIZACION DE APERTURA Y FUNCIONAMIENTO DE LOS CENTROS PRIVADOS QUE IMPARTAN LAS ENSEÑANZAS DE TECNICOS DEPORTIVOS EN LA COMUNIDAD AUTONOMA DE CASTILLA-LA MANCHA</t>
  </si>
  <si>
    <t>VICECONSEJERIA EDUCACION - CONSEJERIA DE EDUCACION, CULTURA Y DEPORTES</t>
  </si>
  <si>
    <t>SIO7</t>
  </si>
  <si>
    <t>010171</t>
  </si>
  <si>
    <t>AUTORIZACION DE APERTURA Y FUNCIONAMIENTO DE CENTROS DOCENTES E INSCRIPCION EN EL REGISTRO DE CENTROS DOCENTES DE CASTILLA-LA MANCHA (VUDS)</t>
  </si>
  <si>
    <t>SI8B</t>
  </si>
  <si>
    <t>010177</t>
  </si>
  <si>
    <t>PROCEDIMIENTO PARA PERMITIR LA SIMULTANEIDAD DE ESTUDIOS NO UNIVERSITARIOS EN CASTILLA-LA MANCHA</t>
  </si>
  <si>
    <t>PLAZO MÁXIMO DE DIEZ DÍAS HÁBILES DESDE LA ENTREGA DE DICHA SOLICITUD.</t>
  </si>
  <si>
    <t>SJBJ</t>
  </si>
  <si>
    <t>010371</t>
  </si>
  <si>
    <t>APERTURA Y FUNCIONAMIENTO DEL SERVICIO DE COMEDOR ESCOLAR EN  CENTROS PUBLICOS DE EDUCACION INFANTIL, PRIMARIA, EDUCACION ESPECIAL Y NO UNIVERSITARIOS CON SERVICIO DE RESIDENCIA.</t>
  </si>
  <si>
    <t>1 MES A CONTAR DESDE EL DÍA SIGUIENTE A AQUEL EN QUE TUVO ENTRADA LA DOCUMENTACIÓN COMPLETA EN LA DIRECCIÓN PROVINCIAL QUE HA DE RESOLVER.</t>
  </si>
  <si>
    <t>SECRETARIA GENERAL EDUCACION, CULTURA Y DEPORTES - CONSEJERIA DE EDUCACION, CULTURA Y DEPORTES</t>
  </si>
  <si>
    <t>SIPT</t>
  </si>
  <si>
    <t>010385</t>
  </si>
  <si>
    <t>RECONOCIMIENTO OFICIAL DE ALBERGUES JUVENILES</t>
  </si>
  <si>
    <t>SJT6</t>
  </si>
  <si>
    <t>010389</t>
  </si>
  <si>
    <t>AUTORIZACION DE INTERVENCION EN BIENES INMUEBLES DEL PATRIMONIO CULTURAL DE CASTILLA - LA MANCHA</t>
  </si>
  <si>
    <t>VICECONSEJERIA CULTURA Y DEPORTES - CONSEJERIA DE EDUCACION, CULTURA Y DEPORTES</t>
  </si>
  <si>
    <t>SJQW</t>
  </si>
  <si>
    <t>010467</t>
  </si>
  <si>
    <t>AUTORIZACION DE LOS PROYECTOS DE FORMACION PROFESIONAL DUAL.</t>
  </si>
  <si>
    <t>DIRECCION GENERAL FORMACION PROFESIONAL - CONSEJERIA DE EDUCACION, CULTURA Y DEPORTES</t>
  </si>
  <si>
    <t>SK1Q</t>
  </si>
  <si>
    <t>010470</t>
  </si>
  <si>
    <t>PROCEDIMIENTO DE INCORPORACION, MODIFICACION, ABANDONO Y CONTINUIDAD DE PROYECTOS BILINGUES Y PLURILINGUES EN CENTROS EDUCATIVOS NO UNIVERSITARIOS SOSTENIDOS CON FONDOS PUBLICOS DE CLM</t>
  </si>
  <si>
    <t>SIV4</t>
  </si>
  <si>
    <t>010471</t>
  </si>
  <si>
    <t>SOLICITUD PROGRAMA BACHIBAC</t>
  </si>
  <si>
    <t>SK2U</t>
  </si>
  <si>
    <t>010541</t>
  </si>
  <si>
    <t>INCORPORACION A LA RED DE CENTROS COMUNIDADES DE APRENDIZAJE, RECONOCIMIENTO Y CONTINUIDAD.</t>
  </si>
  <si>
    <t>SKMX</t>
  </si>
  <si>
    <t>010543</t>
  </si>
  <si>
    <t>SOLICITUD DE IMPLANTACION DE UNA SEGUNDA LENGUA EXTRANJERA EN LOS CENTROS DE EDUCACION INFANTIL Y PRIMARIA SOSTENIDOS CON FONDOS PUBLICOS DE CASTILLA-LA MANCHA.</t>
  </si>
  <si>
    <t>ANTES DEL INICIO DEL PROCESO ORDINARIO DE ADMISIÓN DEL ALUMNADO DEL CURSO ESCOLAR EN EL QUE SE PRETENDE IMPLANTAR UNA SEGUNDA LENGUA EXTRANJERA.</t>
  </si>
  <si>
    <t>SKP1</t>
  </si>
  <si>
    <t>010651</t>
  </si>
  <si>
    <t>EXPEDICION DE LOS TITULOS ACADEMICOS Y DE LOS SUPLEMENTOS EUROPEOS AL TITULO DE LAS ENSEÑANZAS ESTABLECIDAS EN LA LOE.</t>
  </si>
  <si>
    <t>SLLG</t>
  </si>
  <si>
    <t>016131</t>
  </si>
  <si>
    <t>PROCEDIMIENTO DE SOLICITUD DE PARTICIPACION EN EL DESARROLLO DEL PLAN DE IGUALDAD Y PREVENCION DE LA VIOLENCIA DE GENERO. CURSO 2021/22.</t>
  </si>
  <si>
    <t>SLOM</t>
  </si>
  <si>
    <t>016132</t>
  </si>
  <si>
    <t>JUSTIFICACION DEL CENTRO EDUCATIVO DEL DESARROLLO DEL PLAN DE IGUALDAD Y PREVENCION DE LA VIOLENCIA DE GENERO.</t>
  </si>
  <si>
    <t>PLON</t>
  </si>
  <si>
    <t>020113</t>
  </si>
  <si>
    <t>REGISTRO CENTRAL DE ASOCIACIONES DE ALUMNOS Y ALUMNAS DE CENTROS DOCENTES NO UNIVERSITARIOS DE CASTILLA-LA MANCHA</t>
  </si>
  <si>
    <t>SJ1A</t>
  </si>
  <si>
    <t>020114</t>
  </si>
  <si>
    <t>REGISTRO CENTRAL DE ASOCIACIONES DE PADRES Y MADRES DE ALUMNOS DE CENTROS DOCENTES NO UNIVERSITARIOS DE CASTILLA-LA MANCHA</t>
  </si>
  <si>
    <t>SJ19</t>
  </si>
  <si>
    <t>020115</t>
  </si>
  <si>
    <t>REGISTRO DE ENTIDADES DEPORTIVAS</t>
  </si>
  <si>
    <t>SIE3</t>
  </si>
  <si>
    <t>020116</t>
  </si>
  <si>
    <t>REGISTRO DE MATERIALES CURRICULARES</t>
  </si>
  <si>
    <t>CONVOCATORIA</t>
  </si>
  <si>
    <t>SIUW</t>
  </si>
  <si>
    <t>020119</t>
  </si>
  <si>
    <t>PRESENTACION DE PROPUESTAS DE ESPECTACULOS PARA LA FERIA DE ARTES ESCENICAS Y MUSICA DE CASTILLA-LA MANCHA.</t>
  </si>
  <si>
    <t>SJ36</t>
  </si>
  <si>
    <t>020120</t>
  </si>
  <si>
    <t>CONVOCATORIA PARA LA PRESENTACION DE PROPUESTAS DE ESPECTACULOS A LA RED DE ARTES ESCENICAS Y MUSICALES DE CASTILLA-LA MANCHA</t>
  </si>
  <si>
    <t>SJ0A</t>
  </si>
  <si>
    <t>020192</t>
  </si>
  <si>
    <t>REGISTRO DE LA PROPIEDAD INTELECTUAL</t>
  </si>
  <si>
    <t>SIAQ</t>
  </si>
  <si>
    <t>020209</t>
  </si>
  <si>
    <t>DEPOSITO LEGAL</t>
  </si>
  <si>
    <t>SJWP</t>
  </si>
  <si>
    <t>020219</t>
  </si>
  <si>
    <t>CONVOCATORIA PARA LA ADHESION DE LAS ENTIDADES PROGRAMADORAS A LA RED DE ARTES ESCENICAS Y MUSICALES DE CASTILLA-LA MANCHA.</t>
  </si>
  <si>
    <t>SK6J</t>
  </si>
  <si>
    <t>020225</t>
  </si>
  <si>
    <t>SOLICITUD DE CATALOGACION DE PUESTOS DE TRABAJO Y CENTRO DOCENTE COMO DE ESPECIAL DIFICULTAD.</t>
  </si>
  <si>
    <t>DIRECCION GENERAL RECURSOS HUMANOS Y PLANIFICACION EDUCATIVA - CONSEJERIA DE EDUCACION, CULTURA Y DEPORTES</t>
  </si>
  <si>
    <t>SKBC</t>
  </si>
  <si>
    <t>020262</t>
  </si>
  <si>
    <t>CREACION DE ACADEMIAS CIENTIFICAS, ARTISTICAS Y LITERARIAS DE LA COMUNIDAD AUTONOMA DE CASTILLA-LA MANCHA</t>
  </si>
  <si>
    <t>DIRECCION GENERAL UNIVERSIDADES, INVESTIGACION E INNOVACION - CONSEJERIA DE EDUCACION, CULTURA Y DEPORTES</t>
  </si>
  <si>
    <t>SL3R</t>
  </si>
  <si>
    <t>020263</t>
  </si>
  <si>
    <t>INSCRIPCION EN EL REGISTRO DE ACADEMIAS DE CASTILLA-LA MANCHA</t>
  </si>
  <si>
    <t>SL3S</t>
  </si>
  <si>
    <t>020274</t>
  </si>
  <si>
    <t>TARJETA COLECTIVA DE LA RED DE BIBLIOTECAS PUBLICAS DE CASTILLA-LA MANCHA</t>
  </si>
  <si>
    <t>SLDZ</t>
  </si>
  <si>
    <t>020275</t>
  </si>
  <si>
    <t>TARJETA PERSONAL DE LA RED DE BIBLIOTECAS PUBLICAS DE CASTILLA-LA MANCHA</t>
  </si>
  <si>
    <t>SLE0</t>
  </si>
  <si>
    <t>020276</t>
  </si>
  <si>
    <t>PRESENTACION DE PROPUESTAS DE ESPECTACULOS PARA EL PROGRAMA "CASTILLA-LA MANCHA ACTUA¿</t>
  </si>
  <si>
    <t>SLG4</t>
  </si>
  <si>
    <t>025139</t>
  </si>
  <si>
    <t>RECONOCIMIENTO DE CORRESPONSALES JUVENILES</t>
  </si>
  <si>
    <t>SKP7</t>
  </si>
  <si>
    <t>025140</t>
  </si>
  <si>
    <t>RECONOCIMIENTO DE CENTROS Y PUNTOS DE INFORMACION JUVENIL</t>
  </si>
  <si>
    <t>SIDS</t>
  </si>
  <si>
    <t>026121</t>
  </si>
  <si>
    <t>MATRICULACION DE ALUMNADO EN CENTROS DOCENTES PUBLICOS Y PRIVADOS CONCERTADOS, 2º CICLO E. INFANTIL, E. PRIMARIA.</t>
  </si>
  <si>
    <t>SLN8</t>
  </si>
  <si>
    <t>026122</t>
  </si>
  <si>
    <t>MATRICULACION DE ALUMNADO EN CENTROS DOCENTES PUBLICOS Y PRIVADOS CONCERTADOS, ESO Y BACHILLERATO.</t>
  </si>
  <si>
    <t>SLN7</t>
  </si>
  <si>
    <t>030203</t>
  </si>
  <si>
    <t>ACTIVIDADES DE FORMACION EN REINO UNIDO/IRLANDA/FRANCIA DIRIGIDAS A MEJORAR LA COMPETENCIA DE LOS ALUMNOS DE 3º Y 4º DE EDUCACION SECUNDARIA OBLIGATORIA Y 1º DE BACHILLERATO EN EL USO DE LENGUAS EXTRANJERAS EN 2019</t>
  </si>
  <si>
    <t>2  MESES.</t>
  </si>
  <si>
    <t>S417</t>
  </si>
  <si>
    <t>030209</t>
  </si>
  <si>
    <t>AYUDAS INDIVIDUALES DE TRANSPORTE ESCOLAR PARA ALUMNADO ESCOLARIZADO EN CENTROS DOCENTES PUBLICOS DE CASTILLA- LA MANCHA</t>
  </si>
  <si>
    <t>SI4K</t>
  </si>
  <si>
    <t>030219</t>
  </si>
  <si>
    <t>PREMIOS EXTRAORDINARIOS DE BACHILLERATO DE CASTILLA-LA MANCHA.</t>
  </si>
  <si>
    <t>ANTES DEL 15 DE OCTUBRE DE 2022.</t>
  </si>
  <si>
    <t>SI7I</t>
  </si>
  <si>
    <t>030222</t>
  </si>
  <si>
    <t>DOTACION DE RECURSOS ADICIONALES PARA EL ALUMNADO CON NECESIDADES ESPECIFICAS DE APOYO EDUCATIVO EN LOS CENTROS DOCENTES PRIVADOS CONCERTADOS DE CASTILLA-LA MANCHA.</t>
  </si>
  <si>
    <t>SIYN</t>
  </si>
  <si>
    <t>030225</t>
  </si>
  <si>
    <t>PREMIOS Y DISTINCIONES AL MERITO DEPORTIVO DE CASTILLA-LA MANCHA</t>
  </si>
  <si>
    <t>SIE5</t>
  </si>
  <si>
    <t>030238</t>
  </si>
  <si>
    <t>CONVOCATORIA DE PLAZAS DE ESTANCIAS SUBVENCIONADAS EN LAS RESIDENCIAS UNIVERSITARIAS DE CASTILLA-LA MANCHA</t>
  </si>
  <si>
    <t>SF00</t>
  </si>
  <si>
    <t>030252</t>
  </si>
  <si>
    <t>SUBVENCIONES PARA ADQUISICIONES BIBLIOGRAFICAS, PUBLICACIONES PERIODICAS Y MULTIMEDIA PARA LAS BIBLIOTECAS PUBLICAS MUNICIPALES DE CASTILLA-LA MANCHA.</t>
  </si>
  <si>
    <t>SIBT</t>
  </si>
  <si>
    <t>030253</t>
  </si>
  <si>
    <t>SUBVENCIONES PARA LA DOTACION Y MEJORA DE EQUIPAMIENTO EN BIBLIOTECAS PUBLICAS MUNICIPALES DE CASTILLA-LA MANCHA.</t>
  </si>
  <si>
    <t>SIQI</t>
  </si>
  <si>
    <t>030259</t>
  </si>
  <si>
    <t>SUBVENCIONES PARA EL MANTENIMIENTO DE CONTRATOS DE BIBLIOTECARIOS MUNICIPALES</t>
  </si>
  <si>
    <t>SIB8</t>
  </si>
  <si>
    <t>030350</t>
  </si>
  <si>
    <t>AYUDAS PARA REALIZAR CURSOS DE FORMACION LINGUISTICA Y/O METODOLOGICA FUERA DE ESPAÑA PARA EL PROFESORADO DE CENTROS PUBLICOS DE TITULARIDAD DE LA JUNTA DE COMUNIDADES DE CASTILLA-LA MANCHA.</t>
  </si>
  <si>
    <t>SG85</t>
  </si>
  <si>
    <t>030461</t>
  </si>
  <si>
    <t>CONVOCATORIA DE SUBVENCIONES PARA EL MANTENIMIENTO DE CENTROS DE EDUCACION INFANTIL.</t>
  </si>
  <si>
    <t>6 MESES, CONTADOS DESDE LA FECHA DE PUBLICACIÓN DE LA CONVOCATORIA.</t>
  </si>
  <si>
    <t>SIHZ</t>
  </si>
  <si>
    <t>030463</t>
  </si>
  <si>
    <t>SUBVENCION A CORPORACIONES LOCALES PARA EL MANTENIMIENTO DE ESCUELAS INFANTILES</t>
  </si>
  <si>
    <t>6 MESES, CONTADOS DESDE LA FECHA DE PUBLICACIÓN DEL EXTRACTO DE LA CONVOCATORIA</t>
  </si>
  <si>
    <t>SIUE</t>
  </si>
  <si>
    <t>030496</t>
  </si>
  <si>
    <t>CONCESION DE PREMIOS EN METALICO POR EL HALLAZGO CASUAL DE OBJETOS Y RESTOS ARQUEOLOGICOS.</t>
  </si>
  <si>
    <t>SJR1</t>
  </si>
  <si>
    <t>030528</t>
  </si>
  <si>
    <t>ADMISION EN RESIDENCIAS ESCOLARES DE CASTILLA - LA MANCHA</t>
  </si>
  <si>
    <t>S294</t>
  </si>
  <si>
    <t>030537</t>
  </si>
  <si>
    <t>SUBVENCIONES PARA ADQUISICION DE MATERIALES CURRICULARES EN CENTROS DE EDUCACION ESPECIAL PRIVADOS CONCERTADOS DE CASTILLA-LA MANCHA</t>
  </si>
  <si>
    <t>3 MESES A PARTIR DEL DÍA SIGUIENTE DE LA PUBLICACIÓN DE LA CONCOCATORIA</t>
  </si>
  <si>
    <t>SK5Y</t>
  </si>
  <si>
    <t>030540</t>
  </si>
  <si>
    <t>BECAS DE FORMACION A LOS ALUMNOS QUE PARTICIPEN EN LOS PROYECTOS DE FORMACION PROFESIONAL DUAL EN CASTILLA-LA MANCHA</t>
  </si>
  <si>
    <t>SK5A</t>
  </si>
  <si>
    <t>030554</t>
  </si>
  <si>
    <t>SUBVENCION PARA LA REALIZACION DE PROYECTOS DE INVESTIGACION DEL PATRIMONIO ARQUEOLOGICO Y PALEONTOLOGICO DE CASTILLA - LA MANCHA</t>
  </si>
  <si>
    <t>SIFA</t>
  </si>
  <si>
    <t>030561</t>
  </si>
  <si>
    <t>PREMIOS EXTRAORDINARIOS DE ENSEÑANZAS ARTISTICAS PROFESIONALES DE CASTILLA-LA MANCHA.</t>
  </si>
  <si>
    <t>CUARENTA Y CINCO DÍAS DESDE LA VALORACIÓN DE LA PRUEBA.</t>
  </si>
  <si>
    <t>SK9Z</t>
  </si>
  <si>
    <t>030562</t>
  </si>
  <si>
    <t>PREMIOS EXTRAORDINARIOS AL RENDIMIENTO ACADEMICO EN LA MODALIDAD DE EDUCACION SECUNDARIA OBLIGATORIA EN CASTILLA-LA MANCHA.</t>
  </si>
  <si>
    <t>45 DÍAS DESDE LA FINALIZACIÓN DE LA PRUEBA.</t>
  </si>
  <si>
    <t>SKA0</t>
  </si>
  <si>
    <t>030563</t>
  </si>
  <si>
    <t>AYUDAS PARA LA CONTRATACION DE DOCTORES EN CENTROS PUBLICOS DE INVESTIGACION Y  EMPRESAS, DENTRO DE LAS MEDIDAS PARA EL RETORNO Y LA RETENCION DEL TALENTO,  COFINANCIADAS POR LA JUNTA DE COMUNIDADES DE CASTILLA-LA MANCHA Y POR EL FSE+.</t>
  </si>
  <si>
    <t>SILM</t>
  </si>
  <si>
    <t>030569</t>
  </si>
  <si>
    <t>AYUDAS A PROYECTOS DE INVESTIGACION</t>
  </si>
  <si>
    <t>SKAZ</t>
  </si>
  <si>
    <t>030601</t>
  </si>
  <si>
    <t>ONVOCATORIA DE LAS AYUDAS DE FORMACION A LOS ALUMNOS QUE PARTICIPEN EN EL PLAN DE GARANTIA JUVENIL EN CUALQUIERA DE LAS ENSEÑANZAS DE LA OFERTA EDUCATIVA DE LA CONSEJERIA DE EDUCACION, CULTURA Y DEPORTES, EN LA COMUNIDAD AUTONOMA DE CASTILLA-LA MANCHA.</t>
  </si>
  <si>
    <t>ANTES DEL 31 DE DICIEMBRE DE 2021.</t>
  </si>
  <si>
    <t>SKGT</t>
  </si>
  <si>
    <t>030620</t>
  </si>
  <si>
    <t>PLAZAS DE BECARIOS COLABORADORES EN LA RED DE RESIDENCIAS ESCOLARES PUBLICAS DE CASTILLA-LA MANCHA</t>
  </si>
  <si>
    <t>SI4N</t>
  </si>
  <si>
    <t>030659</t>
  </si>
  <si>
    <t>CONVOCATORIA DEL PROCEDIMIENTO PARA LA SELECCION DE CENTROS EDUCATIVOS PARTICIPANTES EN UNA ESTANCIA DE INMERSION EN INGLES EN EL CENTRO RURAL DE INNOVACION EDUCATIVA DE CUENCA (CRIEC).</t>
  </si>
  <si>
    <t>2 MESES DESDE LA FECHA DE FINALIZACIÓN DEL PLAZO DE PRESENTACIÓN DE SOLICITUDES.</t>
  </si>
  <si>
    <t>SKNL</t>
  </si>
  <si>
    <t>030661</t>
  </si>
  <si>
    <t>CONVOCATORIA DE CONCESION DE SUBVENCIONES DIRIGIDAS A FINANCIAR LAS ACTIVIDADES EDUCATIVAS DE LAS FEDERACIONES Y CONFEDERACIONES DE ASOCIACIONES DE MADRES Y PADRES DE ALUMNOS DE CENTROS DOCENTES DE ENSEÑANZA NO UNIVERSITARIA SOSTENIDOS CON FONDOS PUBLICOS EN LA COMUNIDAD AUTONOMA DE CLM</t>
  </si>
  <si>
    <t>SKNR</t>
  </si>
  <si>
    <t>030668</t>
  </si>
  <si>
    <t>AYUDA PARA LA FORMACION DE PERSONAL INVESTIGADOR.</t>
  </si>
  <si>
    <t>SKO5</t>
  </si>
  <si>
    <t>030679</t>
  </si>
  <si>
    <t>ESPACIO JOVEN "SAN SERVANDO"</t>
  </si>
  <si>
    <t>SKP3</t>
  </si>
  <si>
    <t>030704</t>
  </si>
  <si>
    <t>CONVOCATORIA DE PREMIOS A PROYECTOS DE INNOVACION TECNOLOGICA Y EDUCATIVA EN CENTROS PUBLICOS DE FORMACION PROFESIONAL, DEPENDIENTES DE LA CONSEJERIA DE EDUCACION, CULTURA Y DEPORTES DE CASTILLA-LA MANCHA</t>
  </si>
  <si>
    <t>SKU1</t>
  </si>
  <si>
    <t>030726</t>
  </si>
  <si>
    <t>SUBVENCIONES PARA EL DESARROLLO DE PROYECTOS DE CORRESPONSALIAS JUVENILES EN SERVICIOS DE INFORMACION JUVENIL DEPENDIENTES DE AYUNTAMIENTOS O MANCOMUNIDADES DE CASTILLA-LA MANCHA</t>
  </si>
  <si>
    <t>2  MESES</t>
  </si>
  <si>
    <t>SKVZ</t>
  </si>
  <si>
    <t>030746</t>
  </si>
  <si>
    <t>AYUDA PARA LA CREACION, CONSOLIDACION Y MEJORA DE INFRAESTRUCTURAS DE I+D+I</t>
  </si>
  <si>
    <t>SKYZ</t>
  </si>
  <si>
    <t>030749</t>
  </si>
  <si>
    <t>CONVOCATORIA DE EXPRESIONES DE INTERES RELATIVA AL PROGRAMA DE INFRAESTRUCTURAS EDUCATIVAS (PRIMARIA, SECUNDARIA Y OTROS CENTROS EDUCATIVOS) EN EL MARCO DEL PROGRAMA OPERATIVO FEDER CASTILLA-LA MANCHA 2014-2020</t>
  </si>
  <si>
    <t>UN PLAZO MÁXIMO DE CUATRO MESES, A CONTAR DESDE LA FECHA DE FINALIZACIÓN DEL PLAZO PARA PRESENTAR SOLICITUDES (APARTADO 10.1 DE LA RESOLUCIÓN DE CONVOCATORIA)</t>
  </si>
  <si>
    <t>SKZ2</t>
  </si>
  <si>
    <t>030790</t>
  </si>
  <si>
    <t>CONVOCATORIA PARA LA CONCESION DE SUBVENCIONES DE APOYO A LA PRODUCCION TEATRAL, LA DANZA Y EL CIRCO EN CASTILLA-LA MANCHA.</t>
  </si>
  <si>
    <t>SL38</t>
  </si>
  <si>
    <t>030810</t>
  </si>
  <si>
    <t>PROGRAMA DE MEJORA DEL EXITO EDUCATIVO Y PREVENCION DEL ABANDONO ESCOLAR TEMPRANO EN CENTROS EDUCATIVOS PRIVADOS CONCERTADOS.</t>
  </si>
  <si>
    <t>SL5M</t>
  </si>
  <si>
    <t>030838</t>
  </si>
  <si>
    <t>SUBVENCIONES PARA LA ELABORACION DE GUIONES DE LARGOMETRAJE CINEMATOGRAFICO EN CASTILLA-LA MANCHA.</t>
  </si>
  <si>
    <t>SEIS MESES DESDE LA PUBLICACIÓN DE LA RESOLUCIÓN DE CONVOCATORIA EN EL DOCM.</t>
  </si>
  <si>
    <t>SL8Q</t>
  </si>
  <si>
    <t>030849</t>
  </si>
  <si>
    <t>SUBVENCION CONCEDIDA A LA FUNDACION VEDRUNA EDUCACION PARA EL DESARROLLO DEL SEGUNDO CURSO DE DOS PROGRAMAS ESPECIFICOS DE FORMACION PROFESIONAL.</t>
  </si>
  <si>
    <t>PLAH</t>
  </si>
  <si>
    <t>030883</t>
  </si>
  <si>
    <t>SUBVENCION CONCEDIDA A LA UCLM POR LA REALIZACION DEL PROYECTO IMPACTO DEL CONFINAMIENTO DOMICILIARIO DEL COVID-19 SOBRE LA SALUD DE LOS ADULTOS MAYORES: UN "EXPERIMENTO NATURAL" EN ESPAÑA.</t>
  </si>
  <si>
    <t>PLEG</t>
  </si>
  <si>
    <t>030925</t>
  </si>
  <si>
    <t>SUSCRIPCION, RENOVACION O MODIFICACION DE CONCIERTOS EDUCATIVOS EN LA COMUNIDAD AUTONOMA DE CASTILLA-LA MANCHA.</t>
  </si>
  <si>
    <t>ANTES DEL 15 DE ABRIL DE 2022.</t>
  </si>
  <si>
    <t>SLHA</t>
  </si>
  <si>
    <t>031036</t>
  </si>
  <si>
    <t>PREMIOS DE INVESTIGACION E INNOVACION DE CASTILLA- LA MANCHA.</t>
  </si>
  <si>
    <t>SLPG</t>
  </si>
  <si>
    <t>031051</t>
  </si>
  <si>
    <t>JUSTIFICACION SUBVENCION DE CONCESION DIRECTA PARA LA FINANCIACION DE ACTUACIONES EN BIENES PERTENECIENTES AL PATRIMONIO CULTURAL Y RELIGIOSO DE CASTILLA - LA MANCHA</t>
  </si>
  <si>
    <t>PLQK</t>
  </si>
  <si>
    <t>031058</t>
  </si>
  <si>
    <t>SUBVENCION CONCEDIDA A LA FEDERACION DE FUTBOL DE CASTILLA-LA MANCHA, PARA LA PUESTA EN FUNCIONAMIENTO DE LA RESIDENCIA DE DEPORTISTAS.</t>
  </si>
  <si>
    <t>PLQU</t>
  </si>
  <si>
    <t>031061</t>
  </si>
  <si>
    <t>SUBVENCION CONCEDIDA A AYUNTAMIENTOS PARA LA MEJORA Y EQUIPAMIENTO DE LAS INSTALACIONES DEPORTIVAS UTILIZADAS PARA EL DESARROLLO DE DETERMINADAS COMPETICIONES DEPORTIVAS DE ALTO NIVEL</t>
  </si>
  <si>
    <t>PLQY</t>
  </si>
  <si>
    <t>031066</t>
  </si>
  <si>
    <t>SUBVENCION PARA LA ORGANIZACION DEL TORNEO INTERNACIONAL DE ESPAÑA 2022 DE SELECCIONES ABSOLUTAS MASCULINAS DE BALONMANO EN CUENCA</t>
  </si>
  <si>
    <t>PLR8</t>
  </si>
  <si>
    <t>031072</t>
  </si>
  <si>
    <t>JUSTIFICACION DE LA SUBVENCION DE CONCESION DIRECTA PARA LA FINANCIACION DE ACTUACIONES DE MEJORA EN EL PARQUE ARQUEOLOGICO DE LIBISOSA</t>
  </si>
  <si>
    <t>PLRF</t>
  </si>
  <si>
    <t>031094</t>
  </si>
  <si>
    <t>AYUDAS DENTRO DEL PROGRAMA C24.I02.P04: "DOTACION DE BIBLIOTECAS" DENTRO DEL COMPONENTE 24 "REVALORIZACION DE LA INDUSTRIA CULTURAL" DEL PLAN DE RECUPERACION, TRANSFORMACION Y RESILIENCIA</t>
  </si>
  <si>
    <t>SLSK</t>
  </si>
  <si>
    <t>031133</t>
  </si>
  <si>
    <t>SUBVENCIONES A SALAS DE EXHIBICION CINEMATOGRAFICA DE CASTILLA-LA MANCHA EN EL MARCO DEL COMPONENTE 25 DEL PLAN DE RECUPERACION, TRANSFORMACION Y RESILIENCIA</t>
  </si>
  <si>
    <t>6 MESES A CONTAR DESDE LA FECHA DE LA PUBLICACIÓN DE LA CONVOCATORIA Y SU EXTRACTO EN EL DIARIO OFICIAL DE CASTILLA-LA MANCHA.</t>
  </si>
  <si>
    <t>SLUW</t>
  </si>
  <si>
    <t>031146</t>
  </si>
  <si>
    <t>SUBVENCIONES DESTINADAS A AMPLIAR Y DIVERSIFICAR LA OFERTA CULTURAL EN AREAS NO URBANAS DE CASTILLA-LA MANCHA, EN EL MARCO DEL COMPONENTE 24 DE REVALORIZACION DE LA INDUSTRIA CULTURAL DEL PLAN DE RECUPERACION, TRANSFORMACION Y RESILIENCIA, -FINANCIADO POR LA UNION EUROPEA- NEXT GENERATION EU</t>
  </si>
  <si>
    <t>SLVK</t>
  </si>
  <si>
    <t>035219</t>
  </si>
  <si>
    <t>CONVOCATORIA PARA LA SELECCION DE PROYECTOS DE ACTIVIDADES DE  OCIO Y TIEMPO LIBRE PARA EL PROGRAMA VERANO JOVEN</t>
  </si>
  <si>
    <t>SL6Y</t>
  </si>
  <si>
    <t>035220</t>
  </si>
  <si>
    <t>PREINSCRIPCION EN ACTIVIDADES EN CAMPOS DE VOLUNTARIADO JUVENIL.</t>
  </si>
  <si>
    <t>SIDQ</t>
  </si>
  <si>
    <t>035221</t>
  </si>
  <si>
    <t>PREINSCRIPCION EN ACTIVIDADES DE OCIO Y TIEMPO LIBRE.</t>
  </si>
  <si>
    <t>SIDX</t>
  </si>
  <si>
    <t>035222</t>
  </si>
  <si>
    <t>ADJUDICACION DE PLAZAS EN OCIO Y TIEMPO LIBRE.</t>
  </si>
  <si>
    <t>SKZM</t>
  </si>
  <si>
    <t>035223</t>
  </si>
  <si>
    <t>ADJUDICACION DE PLAZAS EN ACTIVIDADES EN CAMPOS DE VOLUNTARIADO JUVENIL.</t>
  </si>
  <si>
    <t>SKZF</t>
  </si>
  <si>
    <t>035231</t>
  </si>
  <si>
    <t>PREMIOS EXTRAORDINARIOS DE FORMACION PROFESIONAL DEL SISTEMA EDUCATIVO DE GRADO SUPERIOR.</t>
  </si>
  <si>
    <t>31 DE MARZO DE 2023.</t>
  </si>
  <si>
    <t>SIL9</t>
  </si>
  <si>
    <t>035232</t>
  </si>
  <si>
    <t>SKDQ</t>
  </si>
  <si>
    <t>035233</t>
  </si>
  <si>
    <t>SOLICITUD DE SUBVENCIONES PARA DEPORTISTAS ELITE DE CASTILLA-LA MANCHA</t>
  </si>
  <si>
    <t>SIG9</t>
  </si>
  <si>
    <t>035234</t>
  </si>
  <si>
    <t>JUSTIFICACION DE LA CONVOCATORIA DE LA CONSEJERIA DE EDUCACION, CULTURA Y DEPORTES, DE CONCESION DE SUBVENCIONES PARA DEPORTISTAS ELITE DE CASTILLA-LA MANCHA</t>
  </si>
  <si>
    <t>PKWN</t>
  </si>
  <si>
    <t>035280</t>
  </si>
  <si>
    <t>SUBVENCIONES A FEDERACIONES DEPORTIVAS DE CASTILLA-LA MANCHA</t>
  </si>
  <si>
    <t>SIEK</t>
  </si>
  <si>
    <t>035281</t>
  </si>
  <si>
    <t>JUSTIFICACION SUBVENCIONES PARA LA ORGANIZACION Y GESTION DE LAS FEDERACIONES DEPORTIVAS DE CASTILLA-LA MANCHA</t>
  </si>
  <si>
    <t>PKT3</t>
  </si>
  <si>
    <t>035300</t>
  </si>
  <si>
    <t>AYUDAS DE TRANSPORTE Y COMEDOR ESCOLAR A CENTROS PRIVADOS CONCERTADOS DE EDUCACION ESPECIAL Y AL ALUMNADO ESCOLARIZADO EN LOS MISMOS</t>
  </si>
  <si>
    <t>SIIW</t>
  </si>
  <si>
    <t>035301</t>
  </si>
  <si>
    <t>JUSTIFICACION DE LA CONVOCATORIA DE AYUDAS DE TRANSPORTE Y COMEDOR ESCOLAR A CENTROS PRIVADOS CONCERTADOS DE EDUCACION ESPECIAL Y ALUMNADO MATRICULADO EN LOS MISMOS.</t>
  </si>
  <si>
    <t>PKX3</t>
  </si>
  <si>
    <t>035521</t>
  </si>
  <si>
    <t>PROGRAMA "SOMOS DEPORTE 3-18" DE CASTILLA-LA MANCHA. ALUMNADO</t>
  </si>
  <si>
    <t>SKB1</t>
  </si>
  <si>
    <t>035522</t>
  </si>
  <si>
    <t>PROGRAMA "SOMOS DEPORTE 3-18" DE CASTILLA-LA MANCHA. ENTIDADES</t>
  </si>
  <si>
    <t>SK3Q</t>
  </si>
  <si>
    <t>035602</t>
  </si>
  <si>
    <t>JUSTIFICACION PARA LA CONCESION DE SUBVENCIONES PARA LA ORGANIZACION DE EVENTOS DEPORTIVOS DE ESPECIAL INTERES EN CASTILLA-LA MANCHA.</t>
  </si>
  <si>
    <t>PKND</t>
  </si>
  <si>
    <t>035603</t>
  </si>
  <si>
    <t>CONVOCATORIA PARA LA CONCESION DE SUBVENCIONES PARA LA ORGANIZACION DE EVENTOS DEPORTIVOS DE ESPECIAL INTERES EN CASTILLA-LA MANCHA.</t>
  </si>
  <si>
    <t>SKB8</t>
  </si>
  <si>
    <t>035693</t>
  </si>
  <si>
    <t>SOLICITUD DE SUBVENCIONES DE APOYO A CLUBES Y SOCIEDADES ANONIMAS DEPORTIVAS DE MAXIMO NIVEL DE CASTILLA-LA MANCHA.</t>
  </si>
  <si>
    <t>SKLA</t>
  </si>
  <si>
    <t>035705</t>
  </si>
  <si>
    <t>SOLICITUD DE AYUDAS PARA EL USO DE LIBROS DE TEXTO ALUMNADO DE E. PRIMARIA Y E. SECUNDARIA Y DE COMEDOR ESCOLAR PARA EL ALUMNADO DE SEGUNDO CICLO DE E. INFANTIL Y E. PRIMARIA. SOLICITUD ALUMNADO.</t>
  </si>
  <si>
    <t>SKLX</t>
  </si>
  <si>
    <t>035706</t>
  </si>
  <si>
    <t>JUSTIFICACION DE SUBVENCIONES CONSISTENTES EN EL USO DE LIBROS DE TEXTO POR EL ALUMNADO DE EDUCACION PRIMARIA Y SECUNDARIA OBLIGATORIA MATRICULADO EN CENTROS SOSTENIDOS CON FONDOS PUBLICOS.</t>
  </si>
  <si>
    <t>PKRF</t>
  </si>
  <si>
    <t>035717</t>
  </si>
  <si>
    <t>AYUDAS A LAS ENTIDADES QUE PARTICIPEN EN LA EJECUCION DE ACTUACIONES COFINANCIADAS POR EL FSE Y LA ADMINISTRACION DE LA JUNTA DE COMUNIDADES DE CASTILLA-LA MANCHA EN EL PO DE EMPLEO JUVENIL.</t>
  </si>
  <si>
    <t>SKNG</t>
  </si>
  <si>
    <t>035724</t>
  </si>
  <si>
    <t>SUBVENCIONES PARA LA IMPLANTACION Y DESARROLLO DE PROYECTOS ESCOLARES SALUDABLES EN LOS CENTROS DOCENTES PRIVADOS CONCERTADOS</t>
  </si>
  <si>
    <t>SKO6</t>
  </si>
  <si>
    <t>035725</t>
  </si>
  <si>
    <t>JUSTIFICACION SUBVENCIONES PARA LA IMPLANTACION Y DESARROLLO DE PROYECTOS ESCOLARES SALUDABLES EN LOS CENTROS DOCENTES PRIVADOS CONCERTADOS</t>
  </si>
  <si>
    <t>PKTR</t>
  </si>
  <si>
    <t>035936</t>
  </si>
  <si>
    <t>JUSTIFICACION DEL LIBRAMIENTO DE FONDOS PARA EL DESARROLLO DE PROYECTOS DE INNOVACION EN FORMACION PROFESIONAL DURANTE EL AÑO 2022.</t>
  </si>
  <si>
    <t>PL40</t>
  </si>
  <si>
    <t>035937</t>
  </si>
  <si>
    <t>LIBRAMIENTO DE FONDOS PARA EL DESARROLLO DE PROYECTOS DE INNOVACION EN FORMACION PROFESIONAL DURANTE EL AÑO 2022</t>
  </si>
  <si>
    <t>SL3Z</t>
  </si>
  <si>
    <t>035946</t>
  </si>
  <si>
    <t>SOLICITUD DE CENTROS RECEPTORES: PROYECTO DE INNOVACION EDUCATIVA OBSERVA Y TRANSFORMA:FORMACION PARA EL DESARROLLO PROFESIONAL DOCENTE A TRAVES DE ESTANCIAS FORMATIVAS</t>
  </si>
  <si>
    <t>SL4V</t>
  </si>
  <si>
    <t>035947</t>
  </si>
  <si>
    <t>SOLICITUD PARA PERSONAL DOCENTE  PROYECTO DE INNOVACION EDUCATIVA OBSERVA Y TRANSFORMA:FORMACION PARA EL DESARROLLO PROFESIONAL DOCENTE A TRAVES DE ESTANCIAS FORMATIVAS</t>
  </si>
  <si>
    <t>SL4W</t>
  </si>
  <si>
    <t>035963</t>
  </si>
  <si>
    <t>JUSTIFICACION DEL LIBRAMIENTO DE FONDOS PARA LA IMPLANTACION Y DESARROLLO DE PROYECTOS ESCOLARES SALUDABLES EN LOS CENTROS DOCENTES PUBLICOS.</t>
  </si>
  <si>
    <t>PL73</t>
  </si>
  <si>
    <t>035964</t>
  </si>
  <si>
    <t>SOLICITUD PARA EL LIBRAMIENTO DE FONDOS PARA LA IMPLANTACION Y DESARROLLO DE PROYECTOS ESCOLARES SALUDABLES EN LOS CENTROS DOCENTES PUBLICOS</t>
  </si>
  <si>
    <t>SL72</t>
  </si>
  <si>
    <t>036032</t>
  </si>
  <si>
    <t>SUBVENCIONES DESTINADAS AL DESARROLLO DE PROYECTOS DE LARGOMETRAJES EN CASTILLA-LA MANCHA.</t>
  </si>
  <si>
    <t>SLG9</t>
  </si>
  <si>
    <t>036033</t>
  </si>
  <si>
    <t>JUSTIFICACION SUBVENCIONES DESTINADAS AL DESARROLLO DE PROYECTOS DE LARGOMETRAJES EN CASTILLA-LA MANCHA.</t>
  </si>
  <si>
    <t>PLGA</t>
  </si>
  <si>
    <t>036034</t>
  </si>
  <si>
    <t>JUSTIFICACION SUBVENCIONES DESTINADAS A LA PRODUCCION DE CORTOMETRAJES CINEMATOGRAFICOS EN CASTILLA-LA MANCHA.</t>
  </si>
  <si>
    <t>PLGC</t>
  </si>
  <si>
    <t>036035</t>
  </si>
  <si>
    <t>SUBVENCIONES DESTINADAS A LA PRODUCCION DE CORTOMETRAJES CINEMATOGRAFICOS EN CASTILLA-LA MANCHA.</t>
  </si>
  <si>
    <t>SLGB</t>
  </si>
  <si>
    <t>036036</t>
  </si>
  <si>
    <t>JUSTIFICACION DE LA AYUDA CONCEDIDA DEL PROGRAMA REFUERZA-T DE EDUCACION PRIMARIA, EDUCACION SECUNDARIA Y BACHILLERATO EN CENTROS CONCERTADOS DE C-LM</t>
  </si>
  <si>
    <t>PLGI</t>
  </si>
  <si>
    <t>036037</t>
  </si>
  <si>
    <t>RENUNCIA A LA AYUDA CONCEDIDA DEL PROGRAMA REFUERZA-T DE EDUCACION PRIMARIA, EDUCACION SECUNDARIA Y BACHILLERATO EN CENTROS CONCERTADOS DE C-LM</t>
  </si>
  <si>
    <t>SLGJ</t>
  </si>
  <si>
    <t>036093</t>
  </si>
  <si>
    <t>SUBVENCIONES DESTINADAS AL MANTENIMIENTO DE LA ACTIVIDAD DE CLUBES DEPORTIVOS Y S.A.  DEPORTIVAS DE C-LM , AFECTADOS POR LA CRISIS ECONOMICA CONSECUENCIA DEL COVID-19.</t>
  </si>
  <si>
    <t>SLLR</t>
  </si>
  <si>
    <t>036094</t>
  </si>
  <si>
    <t>JUSTIFICACION SUBVENCIONES DESTINADAS AL MANTENIMIENTO DE LA ACTIVIDAD DE CLUBES DEPORTIVOS Y SOCIEDADES ANONIMAS DEPORTIVAS DE CASTILLA-LA MANCHA AFECTADOS POR EL COVID-19</t>
  </si>
  <si>
    <t>PLLS</t>
  </si>
  <si>
    <t>036125</t>
  </si>
  <si>
    <t>JUSTIFICACION SUBVENCIONES DESTINADAS A LA PRODUCCION DE LARGOMETRAJES EN CASTILLA-LA MANCHA.</t>
  </si>
  <si>
    <t>SEIS MESES A CONTAR DESDE LA FECHA DE LA PUBLICACIÓN DE LA CONVOCATORIA Y SU EXTRACTO EN EL DIARIO OFICIAL DE CASTILLA-LA MANCHA.</t>
  </si>
  <si>
    <t>PLO3</t>
  </si>
  <si>
    <t>036126</t>
  </si>
  <si>
    <t>SUBVENCIONES DESTINADAS A LA PRODUCCION DE LARGOMETRAJES EN CASTILLA-LA MANCHA.</t>
  </si>
  <si>
    <t>SLO2</t>
  </si>
  <si>
    <t>036146</t>
  </si>
  <si>
    <t>SUBVENCIONES DESTINADAS A LA MODERNIZACION Y GESTION SOSTENIBLE DE LAS INFRAESTRUCTURAS DE LAS ARTES ESCENICAS Y MUSICALES CON CARGO AL PLAN DE TRANSFORMACION, RECUPERACION Y RESILIENCIA, Y SE APRUEBA SU CONVOCATORIA PARA EL AÑO 2022</t>
  </si>
  <si>
    <t>SLQA</t>
  </si>
  <si>
    <t>036187</t>
  </si>
  <si>
    <t>PREMIOS EXTRAORDINARIOS DE FORMACION PROFESIONAL DEL SISTEMA EDUCATIVO DE GRADO MEDIO.</t>
  </si>
  <si>
    <t>31/03/2023</t>
  </si>
  <si>
    <t>SLZC</t>
  </si>
  <si>
    <t>040094</t>
  </si>
  <si>
    <t>RECONOCIMIENTO DE ESCUELAS DE ANIMACION JUVENIL</t>
  </si>
  <si>
    <t>SICE</t>
  </si>
  <si>
    <t>040095</t>
  </si>
  <si>
    <t>PRUEBAS DE ACCESO A CICLOS FORMATIVOS DE FORMACION PROFESIONAL</t>
  </si>
  <si>
    <t>SIPV</t>
  </si>
  <si>
    <t>040096</t>
  </si>
  <si>
    <t>ADMISION DE ALUMNADO EN CICLOS FORMATIVOS DE FORMACION PROFESIONAL DE GRADO MEDIO Y GRADO SUPERIOR EN MODALIDAD PRESENCIAL EN CENTROS DOCENTES DE CASTILLA-LA MANCHA SOSTENIDOS CON FONDOS PUBLICOS.</t>
  </si>
  <si>
    <t>SIYM</t>
  </si>
  <si>
    <t>040098</t>
  </si>
  <si>
    <t>ADMISION DE ALUMNADO EN CICLOS FORMATIVOS DE GRADO MEDIO Y GRADO SUPERIOR EN MODALIDAD A DISTANCIA EN CENTROS DOCENTES DE CASTILLA-LA MANCHA DE TITULARIDAD PUBLICA.</t>
  </si>
  <si>
    <t>SIYX</t>
  </si>
  <si>
    <t>040103</t>
  </si>
  <si>
    <t>CONVOCATORIA DE ADMISION DE ALUMNADO PARA EL CURSO  EN CENTROS DE TITULARIDAD PUBLICA QUE IMPARTEN EDUCACION PARA PERSONAS ADULTAS.</t>
  </si>
  <si>
    <t>SI4I</t>
  </si>
  <si>
    <t>040105</t>
  </si>
  <si>
    <t>ADMISION DE ALUMNOS EN CURSOS PREPARATORIOS PARA LA PRUEBA DE ACCESO A CICLOS FORMATIVOS DE GRADO SUPERIOR</t>
  </si>
  <si>
    <t>SIWP</t>
  </si>
  <si>
    <t>040106</t>
  </si>
  <si>
    <t>ADMISION DE ALUMNADO EN CENTROS DOCENTES PUBLICOS Y PRIVADOS CONCERTADOS NO UNIVERSITARIOS.</t>
  </si>
  <si>
    <t>SI15</t>
  </si>
  <si>
    <t>040107</t>
  </si>
  <si>
    <t>SELECCION DE SUPERVISORES PEDAGOGICOS PARA LAS ACTIVIDADES DE FORMACION DIRIGIDAS A MEJORAR LA COMPETENCIA DE LOS ALUMNOS DE 3º Y 4º DE ESO Y 1º DE BACHILLERATO EN EL USO DE LENGUAS EXTRANJERAS</t>
  </si>
  <si>
    <t>SD43</t>
  </si>
  <si>
    <t>040111</t>
  </si>
  <si>
    <t>EXPEDICION DE TITULOS ACADEMICOS Y PROFESIONALES NO UNIVERSITARIOS CORRESPONDIENTES A ENSEÑANZAS ESTABLECIDAS EN LA LOGSE</t>
  </si>
  <si>
    <t>040194</t>
  </si>
  <si>
    <t>RECONOCIMIENTO DE FIRMAS DE TITULOS Y CERTIFICACIONES ACADEMICAS DE ESTUDIOS NO UNIVERSITARIOS</t>
  </si>
  <si>
    <t>SI8C</t>
  </si>
  <si>
    <t>040195</t>
  </si>
  <si>
    <t>PRUEBAS DE ACCESO A LA UNIVERSIDAD DE CASTILLA-LA MANCHA DE LOS MAYORES DE 25 AÑOS, ACCESO MEDIANTE ACREDITACIÓN LABORAL O PROFESIONAL Y PARA MAYORES DE 45 AÑOS</t>
  </si>
  <si>
    <t>SIFP</t>
  </si>
  <si>
    <t>040196</t>
  </si>
  <si>
    <t>PRUEBAS LIBRES PARA LA OBTENCION DEL TITULO DE GRADUADO EN EDUCACION SECUNDARIA OBLIGATORIA.</t>
  </si>
  <si>
    <t>SIIQ</t>
  </si>
  <si>
    <t>040197</t>
  </si>
  <si>
    <t>PRUEBAS PARA LA OBTENCION DE DETERMINADOS TITULOS DE FORMACION PROFESIONAL EN LA COMUNIDAD AUTONOMA DE CASTILLA-LA MANCHA.</t>
  </si>
  <si>
    <t>SIPX</t>
  </si>
  <si>
    <t>040202</t>
  </si>
  <si>
    <t>PRUEBAS LIBRES PARA LA OBTENCION DEL TITULO DE BACHILLER</t>
  </si>
  <si>
    <t>SJMD</t>
  </si>
  <si>
    <t>040203</t>
  </si>
  <si>
    <t>PRUEBAS ESPECIFICAS DE CERTIFICACION DE LOS NIVELES BASICO A2, INTERMEDIO B1, INTERMEDIO B2, AVANZADO C1 Y AVANZADO C2 DE LAS ENSEÑANZAS DE IDIOMAS DE REGIMEN ESPECIAL.</t>
  </si>
  <si>
    <t>SJMT</t>
  </si>
  <si>
    <t>040204</t>
  </si>
  <si>
    <t>CALIFICACIÓN COMO DEPORTISTA DE ALTO RENDIMIENTO DE CASTILLA-LA MANCHA</t>
  </si>
  <si>
    <t>SJMZ</t>
  </si>
  <si>
    <t>040206</t>
  </si>
  <si>
    <t>PRUEBAS LIBRES (EXAMENES TEORICOS) PARA LA OBTENCION DE LOS REQUISITOS DE CONOCIMIENTOS SEGUN NORMATIVA EASA EN VIGOR, CONDUCENTES A LA OBTENCION DE LAS LICENCIAS DE MANTENIMIENTO DE AERONAVES B1.3 Y B2.</t>
  </si>
  <si>
    <t>SJNZ</t>
  </si>
  <si>
    <t>040208</t>
  </si>
  <si>
    <t>DECLARACION DE UN BIEN COMO BIEN DE INTERES CULTURAL, BIEN DE INTERES PATRIMONIAL O ELEMENTO DE INTERES PATRIMONIAL.</t>
  </si>
  <si>
    <t>SJR3</t>
  </si>
  <si>
    <t>040209</t>
  </si>
  <si>
    <t>INCLUSIÓN Y EXCLUSIÓN DE BIENES MUEBLES EN EL INVENTARIO GENERAL DE BIENES MUEBLES INTEGRANTES DEL PATRIMONIO HISTÓRICO ESPAÑOL</t>
  </si>
  <si>
    <t>SJR4</t>
  </si>
  <si>
    <t>040214</t>
  </si>
  <si>
    <t>PRUEBAS PARA LA OBTENCION DEL CERTIFICADO DE ENSEÑANZAS INICIALES PARA PERSONAS MAYORES DE DIECIOCHO AÑOS EN LA COMUNIDAD AUTONOMA DE CASTILLA-LA MANCHA</t>
  </si>
  <si>
    <t>SJP4</t>
  </si>
  <si>
    <t>040250</t>
  </si>
  <si>
    <t>ADMISION DE ALUMNADO PARA CURSAR ENSEÑANZAS SUPERIORES DE MUSICA.</t>
  </si>
  <si>
    <t>SK2X</t>
  </si>
  <si>
    <t>040267</t>
  </si>
  <si>
    <t>DECLARACION DE INSTITUTO HISTORICO DE CASTILLA-LA MANCHA</t>
  </si>
  <si>
    <t>SK8Z</t>
  </si>
  <si>
    <t>040279</t>
  </si>
  <si>
    <t>ADMISION DE ALUMNADO EN CICLOS FORMATIVOS DE GRADO BASICO EN CENTROS DOCENTES DE CASTILLA-LA MANCHA SOSTENIDOS CON FONDOS PUBLICOS.</t>
  </si>
  <si>
    <t>SKAE</t>
  </si>
  <si>
    <t>040304</t>
  </si>
  <si>
    <t>RECONOCIMIENTO Y TRANSFERENCIA DE CREDITOS EN LAS ENSEÑANZAS ARTISTICAS SUPERIORES CONDUCENTES AL TITULO SUPERIOR DE MUSICA Y AL TITULO SUPERIOR DE DISEÑO EN CASTILLA-LA MANCHA</t>
  </si>
  <si>
    <t>SKMB</t>
  </si>
  <si>
    <t>040305</t>
  </si>
  <si>
    <t>SELECCION DE CENTROS EDUCATIVOS PARA CONSTITUIR CONSORCIOS ERASMUS+</t>
  </si>
  <si>
    <t>SKMW</t>
  </si>
  <si>
    <t>040310</t>
  </si>
  <si>
    <t>OBTENCION DE CARNES DE JUVENTUD</t>
  </si>
  <si>
    <t>SKP4</t>
  </si>
  <si>
    <t>040319</t>
  </si>
  <si>
    <t>PROCESO DE ADMISION DE ALUMNADO EN PROGRAMAS ESPECIFICOS DE FORMACION PROFESIONAL EN CENTROS PUBLICOS DE EDUCACION SECUNDARIA DE CASTILLA LA MANCHA</t>
  </si>
  <si>
    <t>SKTZ</t>
  </si>
  <si>
    <t>040324</t>
  </si>
  <si>
    <t>CONVOCATORIA POR LA QUE SE REGULA EL PROCEDIMIENTO PARA QUE EL ALUMNADO DE BACHILLERATO DE ARTES CON MATERIAS PENDIENTES TRAS HABER AGOTADO LA PERMANENCIA EN EL REGIMEN ORDINARIO, PUEDA CURSARLAS EN CENTROS QUE LAS IMPARTAN EN REGIMEN A DISTANCIA.</t>
  </si>
  <si>
    <t>SKWV</t>
  </si>
  <si>
    <t>040328</t>
  </si>
  <si>
    <t>PROCEDIMIENTO PARA LA SELECCION DE CENTROS ESCOLARES EN EL PROGRAMA ESCOLAR DE CONSUMO DE FRUTAS, HORTALIZAS Y LECHE</t>
  </si>
  <si>
    <t>SL1T</t>
  </si>
  <si>
    <t>040333</t>
  </si>
  <si>
    <t>RECONOCIMIENTO DE CREDITOS DE INNOVACION Y/O FORMACION AL PERSONAL DOCENTE PARTICIPANTE EN PROYECTOS ERASMUS+  DE LA COMUNIDAD AUTONOMA DE CASTILLA-LA MANCHA.</t>
  </si>
  <si>
    <t>TRES MESES.</t>
  </si>
  <si>
    <t>SL4G</t>
  </si>
  <si>
    <t>040334</t>
  </si>
  <si>
    <t>PROGRAMAS PREPARA-T, ILUSIONA-T Y TITULA-S INTEGRADOS EN EL V PLAN DE EXITO EDUCATIVO Y PREVENCION DEL ABANDONO ESCOLAR TEMPRANO EN CENTROS PUBLICOS DE CASTILLA-LA MANCHA</t>
  </si>
  <si>
    <t>SL4J</t>
  </si>
  <si>
    <t>040347</t>
  </si>
  <si>
    <t>BECAS Y AYUDAS A ALUMNOS DE NIVELES POSTOBLIGATORIOS</t>
  </si>
  <si>
    <t>SLAA</t>
  </si>
  <si>
    <t>040349</t>
  </si>
  <si>
    <t>PRUEBAS ESPECIFICAS DE CERTIFICACION NIVEL INTERMEDIO B1 EN IDIOMAS EN CENTROS EDUCATIVOS SOSTENIDOS CON FONDOS PUBLICOS EN EL MARCO DE UN PROYECTO BILINGUE O PLURILINGUE -ALUMNADO 4º ESO Y 2º CCFF GRADO MEDIO.</t>
  </si>
  <si>
    <t>SLCB</t>
  </si>
  <si>
    <t>040352</t>
  </si>
  <si>
    <t>APORTACION DE LA MEMORIA ANUAL DE LOS CENTROS EDUCATIVOS SOSTENIDOS CON FONDOS PUBLICOS DE CASTILLA - LA MANCHA</t>
  </si>
  <si>
    <t>MLE5</t>
  </si>
  <si>
    <t>040357</t>
  </si>
  <si>
    <t>ADMISION DE ALUMNADO EN CURSOS DE ESPECIALIZACION EN FORMACION PROFESIONAL EN CENTROS DOCENTES DE CASTILLA-LA MANCHA DE TITULARIDAD PUBLICA.</t>
  </si>
  <si>
    <t>SLH4</t>
  </si>
  <si>
    <t>040360</t>
  </si>
  <si>
    <t>CONVOCATORIA DE ADMISION DE ALUMNADO EN CENTROS DE EDUCACION DE PERSONAS ADULTAS DE CASTILLA-LA MANCHA QUE IMPARTEN CICLOS FORMATIVOS DE FORMACION PROFESIONAL DE TRES CURSOS ACADEMICOS.</t>
  </si>
  <si>
    <t>SLMJ</t>
  </si>
  <si>
    <t>040364</t>
  </si>
  <si>
    <t>PROGRAMA DE COOPERACION TERRITORIAL PARA LA ORIENTACION, EL AVANCE Y EL ENRIQUECIMIENTO EDUCATIVO EN CENTROS DE ESPECIAL COMPLEJIDAD EDUCATIVA, PROGRAMA PROA+, EN LOS CENTROS DOCENTES SOSTENIDOS CON FONDOS PUBLICOS DE CASTILLA-LA MANCHA.</t>
  </si>
  <si>
    <t>SLP7</t>
  </si>
  <si>
    <t>040367</t>
  </si>
  <si>
    <t>PROYECTO DE FORMACION "AULA DEL FUTURO"</t>
  </si>
  <si>
    <t>SLPO</t>
  </si>
  <si>
    <t>040371</t>
  </si>
  <si>
    <t>CONSTITUCION Y ACTUACION DE LAS COMISIONES DE ELABORACION DE LAS PRUEBAS LIBRES PARA LA OBTENCION DEL TITULO DE BACHILLER Y DE LAS PRUEBAS LIBRES PARA LA OBTENCION DEL TITULO DE GRADUADO EN EDUCACION SECUNDARIA OBLIGATORIA</t>
  </si>
  <si>
    <t>SLQN</t>
  </si>
  <si>
    <t>040375</t>
  </si>
  <si>
    <t>IMPLANTACION DE UN AULA DE TECNOLOGIA APLICADA EN  CENTROS DE TITULARIDAD PUBLICA DE CASTILLA-LA MANCHA, QUE IMPARTEN ENSEÑANZAS DE FORMACION PROFESIONAL</t>
  </si>
  <si>
    <t>15 DÍAS DESDE SU PUBLICACIÓN EN EL DOCM</t>
  </si>
  <si>
    <t>DLTM</t>
  </si>
  <si>
    <t>040376</t>
  </si>
  <si>
    <t>IMPLANTACION DE UN AULA PROFESIONAL DE EMPRENDIMIENTO EN  CENTROS DE TITULARIDAD PUBLICA DE CASTILLA-LA MANCHA, QUE IMPARTEN ENSEÑANZAS DE FORMACION PROFESIONAL.</t>
  </si>
  <si>
    <t>15 DÍAS DESDE LA PUBLICACIÓN EN EL DOCM.</t>
  </si>
  <si>
    <t>DLTN</t>
  </si>
  <si>
    <t>040377</t>
  </si>
  <si>
    <t>ADMISION DE ALUMNADO PARA CURSAR ENSEÑANZAS SUPERIORES DE ARTE DRAMATICO.</t>
  </si>
  <si>
    <t>SLVH</t>
  </si>
  <si>
    <t>040380</t>
  </si>
  <si>
    <t>RECONOCIMIENTO OFICIAL COMO CENTRO REGIONAL DE CULTURA DE CASTILLA-LA MANCHA</t>
  </si>
  <si>
    <t>SLXP</t>
  </si>
  <si>
    <t>045329</t>
  </si>
  <si>
    <t>ADMISION EN LA MODALIDAD OFERTA MODULAR PRESENCIAL EN CCFF DE FORMACION PROFESIONAL Y CURSOS DE ESPECIALIZACION.</t>
  </si>
  <si>
    <t>SKU3</t>
  </si>
  <si>
    <t>045330</t>
  </si>
  <si>
    <t>PROCESO DE ADMISION DE ALUMNADO PARA CURSAR ENSEÑANZAS ARTISTICAS SUPERIORES DE DISEÑO.</t>
  </si>
  <si>
    <t>SK14</t>
  </si>
  <si>
    <t>045331</t>
  </si>
  <si>
    <t>PROCESO DE ADMISION A LOS ESTUDIOS DE CICLOS FORMATIVOS DE ARTES PLASTICAS Y DISEÑO.</t>
  </si>
  <si>
    <t>SK13</t>
  </si>
  <si>
    <t>045332</t>
  </si>
  <si>
    <t>ADMISION DE ALUMNADO PARA LAS ENSEÑANZAS DE IDIOMAS EN ESCUELAS OFICIALES DE IDIOMAS Y CENTROS DE EDUCACION DE PERSONAS ADULTAS.</t>
  </si>
  <si>
    <t>SK12</t>
  </si>
  <si>
    <t>045333</t>
  </si>
  <si>
    <t>ADMISION A LOS ESTUDIOS ELEMENTALES Y PROFESIONALES DE MUSICA Y DANZA</t>
  </si>
  <si>
    <t>SIQ8</t>
  </si>
  <si>
    <t>080008</t>
  </si>
  <si>
    <t>EQUIVALENCIA DE ESTUDIOS CON LOS TITULOS DE GRADUADO EN EDUCACION SECUNDARIA OBLIGATORIA Y DE BACHILLER REGULADOS EN LA LEY ORGANICA 2/2006, DE 3 DE MAYO, DE EDUCACION.</t>
  </si>
  <si>
    <t>SLEF</t>
  </si>
  <si>
    <t>110013</t>
  </si>
  <si>
    <t>CONCURSO- OPOSICION PARA EL INGRESO EN EL CUERPO DE MAESTROS, PROCEDIMIENTO PARA LA ADQUISICION DE NUEVAS ESPECIALIDADES POR LOS FUNCIONARIOS DEL MENCIONADO CUERPO Y PROCEDIMIENTO DE SELECCION DE ASPIRANTES A PUESTOS DE TRABAJO DOCENTE EN REGIMEN DE INTERINIDAD.</t>
  </si>
  <si>
    <t>SINN</t>
  </si>
  <si>
    <t>110037</t>
  </si>
  <si>
    <t>PROCESO SELECTIVO CONSTITUCION DE BOLSAS DE TRABAJO PERSONAL DOCENTE</t>
  </si>
  <si>
    <t>SKS5</t>
  </si>
  <si>
    <t>110044</t>
  </si>
  <si>
    <t>PROCESO SELECTIVO PARA CONSTITUCION DE UNA BOLSA DE PROFESORES ESPECIALISTAS DEL CICLO FORMATIVO DE GRADO SUPERIOR EN FORMACION PARA LA MOVILIDAD SEGURA Y SOSTENIBLE</t>
  </si>
  <si>
    <t>DELEGACION PROVINCIAL CONSEJERIA EDUCACION, CULTURA Y DEPORTES CUENCA - CONSEJERIA DE EDUCACION, CULTURA Y DEPORTES</t>
  </si>
  <si>
    <t>SLH1</t>
  </si>
  <si>
    <t>110045</t>
  </si>
  <si>
    <t>PROCEDIMIENTO DE CONSTITUCION DE BOLSAS DE TRABAJO DE PROFESORADO ESPECIALISTA - ESCALADA</t>
  </si>
  <si>
    <t>SLH2</t>
  </si>
  <si>
    <t>110057</t>
  </si>
  <si>
    <t>PROVISION, POR EL PROCEDIMIENTO DE LIBRE DESIGNACION DEL PUESTO DE DIRECCION DEL CENTRO INTEGRADO PUBLICO DE FORMACION PROFESIONAL</t>
  </si>
  <si>
    <t>1 JULIO 2022</t>
  </si>
  <si>
    <t>SLM2</t>
  </si>
  <si>
    <t>110107</t>
  </si>
  <si>
    <t>PROCEDIMIENTO SELECTIVO PARA EL INGRESO MEDIANTE CONCURSO DE MERITOS, TURNO LIBRE, EN LOS CUERPOS DE SECUNDARIA, FORMACION PROFESIONAL Y ENSEÑANZAS DE REGIMEN ESPECIAL.</t>
  </si>
  <si>
    <t>SLZ7</t>
  </si>
  <si>
    <t>115413</t>
  </si>
  <si>
    <t>PRUEBAS SELECTIVAS PARA INGRESO EN EL CUERPO DE PROFESORES DE ARTES PLASTICAS Y DISEÑO, ADQUISICION DE NUEVAS ESPECIALIDADES, Y SELECCION DE ASPIRANTES A PUESTOS EN REGIMEN DE INTERINIDAD.</t>
  </si>
  <si>
    <t>SKES</t>
  </si>
  <si>
    <t>115414</t>
  </si>
  <si>
    <t>CONCURSO-OPOSICION PARA EL INGRESO EN EL CUERPO DE PROFESORES DE ENSEÑANZA SECUNDARIA Y MUSICA Y ARTES ESCENICAS, ACCESO, ADQUISICION DE ESPECIALIDADES Y SELECCION DE INTERINOS.</t>
  </si>
  <si>
    <t>SI06</t>
  </si>
  <si>
    <t>115415</t>
  </si>
  <si>
    <t>CONCURSO-OPOSICION PARA EL INGRESO EN EL CUERPO DE PROFESORES TECNICOS DE FORMACION PROFESIONAL, ADQUISICION DE ESPECIALIDADES Y SELECCION DE INTERINOS.</t>
  </si>
  <si>
    <t>SKEV</t>
  </si>
  <si>
    <t>115457</t>
  </si>
  <si>
    <t>PROCESO DE AMPLIACION DE BOLSAS DE TRABAJO DE ASPIRANTES A INTERINIDADES DE DISTINTAS ESPECIALIDADES DE CUERPOS DOCENTES (SECUNDARIA, PTFP, MUSICA,PROF. ARTES PLASTICAS Y DISEÑO Y MAESTROS)</t>
  </si>
  <si>
    <t>SKFJ</t>
  </si>
  <si>
    <t>115458</t>
  </si>
  <si>
    <t>SELECCION PROFESORADO ESPECIALISTA PARA LA ESCUELA SUPERIOR DE ARTE DRAMATICO DE CASTILLA-LA MANCHA</t>
  </si>
  <si>
    <t>SJYL</t>
  </si>
  <si>
    <t>115593</t>
  </si>
  <si>
    <t>GESTION BOLSAS DE TRABAJO DE PERSONAL DOCENTE NO UNIVERSITARIO</t>
  </si>
  <si>
    <t>SK9S</t>
  </si>
  <si>
    <t>120035</t>
  </si>
  <si>
    <t>PROCEDIMIENTO DE ADMISION DE ESCUELAS INFANTILES DEPENDIENTES DE LA ADMINISTRACION DE LA JUNTA DE COMUNIDADES DE CASTILLA - LA MANCHA</t>
  </si>
  <si>
    <t>SC32</t>
  </si>
  <si>
    <t>120036</t>
  </si>
  <si>
    <t>ADMISION DE ALUMNOS EN COMEDORES ESCOLARES</t>
  </si>
  <si>
    <t>SI4J</t>
  </si>
  <si>
    <t>120038</t>
  </si>
  <si>
    <t>SOLICITUD DE PLAZA EN EL TRANSPORTE ESCOLAR</t>
  </si>
  <si>
    <t>SJ2T</t>
  </si>
  <si>
    <t>120039</t>
  </si>
  <si>
    <t>ASISTENCIA SANITARIA AL ALUMNADO DE CENTROS DOCENTES NO UNIVERSITARIOS CON ENFERMEDAD CRÓNICA O QUE PRECISE ATENCIÓN SANITARIA ESPECÍFICA</t>
  </si>
  <si>
    <t>NJN0</t>
  </si>
  <si>
    <t>130004</t>
  </si>
  <si>
    <t>RECLAMACION DE RESPONSABILIDAD PATRIMONIAL DE LA CONSEJERIA DE EDUCACION, CULTURA Y DEPORTES</t>
  </si>
  <si>
    <t>6 MESES. EN CASO TRAMITACIÓN SIMPLIFICADA, 30 DÍAS</t>
  </si>
  <si>
    <t>SLER</t>
  </si>
  <si>
    <t>150002</t>
  </si>
  <si>
    <t>SUSCRIPCION O MODIFICACION DE CONCIERTOS EDUCATIVOS EN LA COMUNIDAD AUTONOMA DE CASTILLA-LA MANCHA. EDUCACION PRIMARIA.</t>
  </si>
  <si>
    <t>SI03</t>
  </si>
  <si>
    <t>180042</t>
  </si>
  <si>
    <t>HOMOLOGACIÓN, RECONOCIMIENTO, REGISTRO Y CERTIFICACIÓN DE ACTIVIDADES DE FORMACIÓN PERMANENTE DEL PROFESORADO NO UNIVERSITARIO</t>
  </si>
  <si>
    <t>SJLC</t>
  </si>
  <si>
    <t>180106</t>
  </si>
  <si>
    <t>CONCURSO-OPOSICION PARA EL ACCESO AL CUERPO DE INSPECTORES DE EDUCACION, EN PLAZAS VACANTES DEL AMBITO DE GESTION DE LA COMUNIDAD AUTONOMA DE CASTILLA- LA MANCHA.</t>
  </si>
  <si>
    <t>SK0I</t>
  </si>
  <si>
    <t>180127</t>
  </si>
  <si>
    <t>CONCURSO TRASLADOS DOCENTES CUERPOS DE CATEDRATICOS E.SECUNDARIA, PROFESORES E. SECUNDARIA, PROF. TEC. DE FP, CATEDRATICOS DE EOI, PROF. EOI, PROF.MUSICA Y ARTES ESCENICAS, CATEDRATICOS  ARTES PLASTICAS Y DISEÑO, PROF.  ARTES PLASTICAS Y DISEÑO Y MAESTROS  TALLER DE ARTES PLASTICAS Y DISEÑO, CLM.</t>
  </si>
  <si>
    <t>SK79</t>
  </si>
  <si>
    <t>180128</t>
  </si>
  <si>
    <t>CONCURSO DE TRASLADOS DE AMBITO ESTATAL ENTRE FUNCIONARIOS Y FUNCIONARIAS DE LOS CUERPOS DE INSPECTORES AL SERVICIO DE LA ADMINISTRACION EDUCATIVA Y DE INSPECTORES DE EDUCACION, DEPENDIENTES DEL AMBITO DE GESTION DE CASTILLA- LA MANCHA.</t>
  </si>
  <si>
    <t>SK7A</t>
  </si>
  <si>
    <t>180129</t>
  </si>
  <si>
    <t>CONCURSO DE TRASLADOS DE AMBITO ESTATAL Y PROCESOS PREVIOS DEL CUERPO DE MAESTROS.</t>
  </si>
  <si>
    <t>SK7B</t>
  </si>
  <si>
    <t>180152</t>
  </si>
  <si>
    <t>PROCESO DE SELECCION PARA ELABORAR UNA LISTA EXTRAORDINARIA DE ASPIRANTES A OCUPAR PUESTOS COMO INSPECTORES ACCIDENTALES, EN REGIMEN DE COMISION DE SERVICIOS.</t>
  </si>
  <si>
    <t>SKJ5</t>
  </si>
  <si>
    <t>180158</t>
  </si>
  <si>
    <t>SOLICITUD DE ADJUDICACION  DE AUXILIARES DE CONVERSACION  A CENTROS PUBLICOS DOCENTES NO UNIVERSITARIOS</t>
  </si>
  <si>
    <t>SKLZ</t>
  </si>
  <si>
    <t>180165</t>
  </si>
  <si>
    <t>PLAN DE FORMACION PERMANENTE DEL PROFESORADO EN CASTILLA - LA MANCHA</t>
  </si>
  <si>
    <t>SKVM</t>
  </si>
  <si>
    <t>180166</t>
  </si>
  <si>
    <t>ACREDITACION DE NUEVOS DE MERITOS EN BOLSAS PROVINCIALES DEL PROFESORADO DE RELIGION</t>
  </si>
  <si>
    <t>SKWP</t>
  </si>
  <si>
    <t>180172</t>
  </si>
  <si>
    <t>PROCEDIMIENTO PARA LA CONSTITUCION  Y ACTUACION DE LAS COMISIONES DE ELABORACION DE PRUEBAS DE CERTIFICACION DE NIVEL DE COMPETENCIA LINGUISTICA DE ENSEÑANZAS DE IDIOMAS DE REGIMEN ESPECIAL EN LA COMUNIDAD AUTONOMA DE CASTILLA-LA MANCHA.</t>
  </si>
  <si>
    <t>SL1U</t>
  </si>
  <si>
    <t>180196</t>
  </si>
  <si>
    <t>COMUNICACION DE PRESUNTO ACOSO SEXUAL O POR RAZON DE SEXO AL PERSONAL EN EL AMBITO EDUCATIVO</t>
  </si>
  <si>
    <t>45 DÍAS HÁBILES</t>
  </si>
  <si>
    <t>MLK2</t>
  </si>
  <si>
    <t>180213</t>
  </si>
  <si>
    <t>PROCESO MOVILIDAD PARA LA PROVISION DE PUESTOS DEL PROFESORADO QUE IMPARTE ENSEÑANZAS DE RELIGION EN LOS CENTROS DOCENTES PUBLICOS NO UNIVERSITARIOS DEPENDIENTES DE CASTILLA LA- MANCHA</t>
  </si>
  <si>
    <t>SLLY</t>
  </si>
  <si>
    <t>180218</t>
  </si>
  <si>
    <t>LIQUIDACION DE GASTOS POR TRASLADOS, ALOJAMIENTO Y MANUTENCION DEL PROFESORADO PARTICIPANTE EN LAS ACCIONES  FORMATIVAS DE LA OPERACION DE FORMACION,  PERFECCIONAMIENTO Y MOVILIDAD DEL PROFESORADO DE FP</t>
  </si>
  <si>
    <t>LLNM</t>
  </si>
  <si>
    <t>180232</t>
  </si>
  <si>
    <t>PROVISION POR EL PROCEDIMIENTO DE LIBRE DESIGNACION (LD EDCD F2/2022) DE PUESTOS DE TRABAJO VACANTES EN LA ADMINISTRACION DE LA JUNTA DE COMUNIDADES DE CASTILLA-LA MANCHA</t>
  </si>
  <si>
    <t>DOS MESES DESDE LA PUBLICACIÓN DE LA CONVOCATORIA.</t>
  </si>
  <si>
    <t>SLTJ</t>
  </si>
  <si>
    <t>180251</t>
  </si>
  <si>
    <t>ADJUDICACION DE AUXILIARES DE CONVERSACION A CENTROS PUBLICOS DOCENTES NO UNIVERSITARIOS CON PROYECTOS BILINGUES EN CICLOS FORMATIVOS DE FORMACION PROFESIONAL.</t>
  </si>
  <si>
    <t>SLYH</t>
  </si>
  <si>
    <t>185423</t>
  </si>
  <si>
    <t>PROVISION DE PUESTOS DE TRABAJO DE PERSONAL FUNCIONARIO POR EL PROCEDIMIENTO DE LIBRE DESIGNACION (LD EDCD F3/2022) EN LA CONSEJERIA DE EDUCACION, CULTURA Y DEPORTES.</t>
  </si>
  <si>
    <t>SJ4U</t>
  </si>
  <si>
    <t>185425</t>
  </si>
  <si>
    <t>CONVOCATORIA DE CONCURSO SINGULARIZADO DE MERITOS PARA LA PROVISION DE PUESTOS DE TRABAJO VACANTES  (PERSONAL OTRAS ADMINISTRACIONES)</t>
  </si>
  <si>
    <t>SL5U</t>
  </si>
  <si>
    <t>185426</t>
  </si>
  <si>
    <t>CONVOCATORIA DE CONCURSO SINGULARIZADO DE MERITOS PARA LA PROVISION DE PUESTOS DE TRABAJO VACANTES  (PERSONAL DE LA ADMINISTRACION DE LA JCCM)</t>
  </si>
  <si>
    <t>SJUD</t>
  </si>
  <si>
    <t>185427</t>
  </si>
  <si>
    <t>PROCEDIMIENTO DE SELECCION DE DIRECTORAS Y DIRECTORES DE LOS CENTROS DOCENTES PUBLICOS RECONOCIDOS COMO COMUNIDAD DE APRENDIZAJE: CEIP LA PAZ Y CEIP ENTRE CULTURAS.</t>
  </si>
  <si>
    <t>CON ANTERIORIDAD AL 7 DE JUNIO DE 2022.</t>
  </si>
  <si>
    <t>SL96</t>
  </si>
  <si>
    <t>185428</t>
  </si>
  <si>
    <t>RENOVACION, SELECCION Y NOMBRAMIENTO DE DIRECTORAS Y DE DIRECTORES DE LOS CENTROS DOCENTES PUBLICOS NO UNIVERSITARIOS DE CASTILLA-LA MANCHA</t>
  </si>
  <si>
    <t>CON ANTERIORIDAD AL 9 DE JUNIO DE 2023.</t>
  </si>
  <si>
    <t>SJUH</t>
  </si>
  <si>
    <t>185484</t>
  </si>
  <si>
    <t>CONVOCATORIA DE PROCEDIMIENTO PARA LA RENOVACION O RENUNCIA DE COMISION DE SERVICIO EN PUESTOS ESPECIFICOS DE CICLOS FORMATIVOS</t>
  </si>
  <si>
    <t>SLDL</t>
  </si>
  <si>
    <t>185485</t>
  </si>
  <si>
    <t>CONVOCATORIA DE PROCEDIMIENTO PARA LA  PROVISION DE PUESTOS EN COMISION DE SERVICIO EN AULAS ABIERTAS ESPECIALIZADAS Y EQUIPOS DE ATENCION EDUCATIVA PARA ALUMNADO CON TEA.</t>
  </si>
  <si>
    <t>SKL9</t>
  </si>
  <si>
    <t>185486</t>
  </si>
  <si>
    <t>COMISIONES DE SERVICIO PARA PERSONAL DOCENTE EN CENTROS DE EDUCACION ESPECIAL Y PARA PERSONAL DOCENTE DEL SERVICIO DEL ASESORAMIENTO Y APOYO ESPECIALIZADO EN LOS CENTROS DE EDUCACION ESPECIAL</t>
  </si>
  <si>
    <t>SLLA</t>
  </si>
  <si>
    <t>185487</t>
  </si>
  <si>
    <t>CONVOCATORIA DE PROCEDIMIENTO PARA LA RENOVACION DE COMISION DE SERVICIO EN UNIDADES DE EDUCACION ESPECIAL.</t>
  </si>
  <si>
    <t>SLDN</t>
  </si>
  <si>
    <t>185488</t>
  </si>
  <si>
    <t>CONVOCATORIA DE CONCESION DE COMISIONES DE SERVICIO A FUNCIONARIOS/AS DOCENTES DE NIVELES DE ENSEÑANZA NO UNIVERSITARIA EN PUESTOS DEPENDIENTES DE LA CONSEJERIA DE EDUCACION, CULTURA Y DEPORTES</t>
  </si>
  <si>
    <t>SLDM</t>
  </si>
  <si>
    <t>185489</t>
  </si>
  <si>
    <t>RENOVACION, RENUNCIA Y PROVISION DE PUESTOS DE TRABAJO EN COMISION DE SERVICIO EN LOS EAEHD Y EAERM DE CASTILLA-LA MANCHA.</t>
  </si>
  <si>
    <t>SIMH</t>
  </si>
  <si>
    <t>185490</t>
  </si>
  <si>
    <t>CONVOCATORIA DE PROCEDIMIENTO PARA LA  PROVISION Y RENOVACION DE PUESTOS EN COMISION DE SERVICIO PARA LOS EQUIPOS DE ATENCION EDUCATIVA PARA EL ALUMNADO CON CEGUERA O DISCAPACIDAD VISUAL GRAVE.</t>
  </si>
  <si>
    <t>SKL8</t>
  </si>
  <si>
    <t>185491</t>
  </si>
  <si>
    <t>RENOVACION, RENUNCIA Y PROVISION DE PUESTOS DE TRABAJO EN COMISION DE SERVICIO EN LOS CENTROS RECONOCIDOS COMO COMUNIDAD DE APRENDIZAJE DE CASTILLA-LA MANCHA.</t>
  </si>
  <si>
    <t>SL0N</t>
  </si>
  <si>
    <t>185492</t>
  </si>
  <si>
    <t>RENOVACION, RENUNCIA Y PROVISION DE PUESTOS DE TRABAJO EN COMISION DE SERVICIO PARA CONFORMAR UNIDADES DE ACOMPAÑAMIENTO Y ORIENTACION-C-LM.</t>
  </si>
  <si>
    <t>SLVT</t>
  </si>
  <si>
    <t>185493</t>
  </si>
  <si>
    <t>PROVISION DE COMISIONES DE SERVICIO PARA LA OFERTA DE CARACTER EXPERIMENTAL DE LOS CURSOS DE ESPECIALIZACION EN FABRICACION ADITIVA Y EN AERONAVES PILOTADAS DE FORMA REMOTA-DRONES</t>
  </si>
  <si>
    <t>SLW9</t>
  </si>
  <si>
    <t>185880</t>
  </si>
  <si>
    <t>COMUNICACION  DE PRESUNTO ACOSO LABORAL EN EL AMBITO EDUCATIVO</t>
  </si>
  <si>
    <t>ML77</t>
  </si>
  <si>
    <t>190006</t>
  </si>
  <si>
    <t>AUTORIZACION DEL CAMBIO DE USO DE LOS BIENES DE INTERES CULTURAL EN CASTILLA - LA MANCHA</t>
  </si>
  <si>
    <t>SJQX</t>
  </si>
  <si>
    <t>210003</t>
  </si>
  <si>
    <t>INCLUSION EN EL CATALOGO DE OBRAS DE CARÁCTER DOCUMENTAL DE INTERES PARA CASTILLA-LA MANCHA</t>
  </si>
  <si>
    <t>SJ0G</t>
  </si>
  <si>
    <t>210009</t>
  </si>
  <si>
    <t>PARTICIPACION DE LOS CENTROS DOCENTES EN EL PROYECTO ¿FORMACION EN COMPETENCIA  (STEAM) EN PRIMARIA, SECUNDARIA, REGIMEN ESPECIAL Y EDUCACION DE PERSONAS ADULTAS</t>
  </si>
  <si>
    <t>SL2Z</t>
  </si>
  <si>
    <t>210010</t>
  </si>
  <si>
    <t>LIBRAMIENTO DE FONDOS PARA LA IMPLANTACION Y DESARROLLO DEL PROGRAMA DE REFUERZO DE COMPETENCIAS ESPECIFICAS, OCIO RESPONSABLE, CULTURA Y DEPORTE  EN CRA Y CENTROS INCOMPLETOS</t>
  </si>
  <si>
    <t>SLZF</t>
  </si>
  <si>
    <t>180162</t>
  </si>
  <si>
    <t>PROCESO SELECTIVO PARA NOMBRAMIENTO DE FUNCIONARIO INTERINO DEL CUERPO TECNICO, ESCALA ARCHIVOS, BIBLIOTECAS Y MUSEOS, ESPECIALIDAD BIBLIOTECAS</t>
  </si>
  <si>
    <t>SIKL</t>
  </si>
  <si>
    <t>180168</t>
  </si>
  <si>
    <t>PROCEDIMIENTO PARA LA PREVENCION, IDENTIFICACION Y ACTUACION FRENTE AL ACOSO EN EL LUGAR DE TRABAJO EN LA ADMINISTRACION DE LA JUNTA DE COMUNIDADES DE CASTILLA-LA MANCHA Y SUS ORGANISMOS AUTONOMOS.</t>
  </si>
  <si>
    <t>010072</t>
  </si>
  <si>
    <t>AUTORIZACION CONSTRUCCION ESTACIONES DE SERVICIO</t>
  </si>
  <si>
    <t>CONSEJERIA DE FOMENTO</t>
  </si>
  <si>
    <t>DIRECCION GENERAL CARRETERAS - CONSEJERIA DE FOMENTO</t>
  </si>
  <si>
    <t>SJ7B</t>
  </si>
  <si>
    <t>010073</t>
  </si>
  <si>
    <t>AUTORIZACION DE ACCESOS A CARRETERAS O CAMBIO DE USO DE LOS EXISTENTES EN CARRETERAS DE LA JUNTA DE COMUNIDADES</t>
  </si>
  <si>
    <t>S127</t>
  </si>
  <si>
    <t>010074</t>
  </si>
  <si>
    <t>AUTORIZACION DE OBRAS DE CONDUCCION EN PARALELO O CRUCE EN CARRETERAS TITULARIDAD DE LA JUNTA DE COMUNIDADES</t>
  </si>
  <si>
    <t>S241</t>
  </si>
  <si>
    <t>010075</t>
  </si>
  <si>
    <t>AUTORIZACION OBRAS, USOS O ACTIVIDADES EN ZONA DE SERVIDUMBRE</t>
  </si>
  <si>
    <t>SJ4Z</t>
  </si>
  <si>
    <t>010076</t>
  </si>
  <si>
    <t>AUTORIZACION CARTELES INFORMATIVOS (SIN PUBLICIDAD)</t>
  </si>
  <si>
    <t>SIIX</t>
  </si>
  <si>
    <t>010079</t>
  </si>
  <si>
    <t>AUTORIZACION VENTA VIVIENDAS PROTEGIDAS</t>
  </si>
  <si>
    <t>DIRECCION GENERAL VIVIENDA - CONSEJERIA DE FOMENTO</t>
  </si>
  <si>
    <t>SJQC</t>
  </si>
  <si>
    <t>010141</t>
  </si>
  <si>
    <t>AUTORIZACION PERCIBO CANTIDADES A CUENTA</t>
  </si>
  <si>
    <t>SJQE</t>
  </si>
  <si>
    <t>010320</t>
  </si>
  <si>
    <t>AUTORIZACION DE TRANSMISION DE CONCESION DE SERVICIO PUBLICO REGULAR DE TRANSPORTE DE VIAJEROS</t>
  </si>
  <si>
    <t>DIRECCION GENERAL TRANSPORTES Y MOVILIDAD - CONSEJERIA DE FOMENTO</t>
  </si>
  <si>
    <t>S059</t>
  </si>
  <si>
    <t>010321</t>
  </si>
  <si>
    <t>AUTORIZACION DE TRANSPORTE PUBLICO DISCRECIONAL DE VIAJEROS EN AUTOBUS (VD)</t>
  </si>
  <si>
    <t>S128</t>
  </si>
  <si>
    <t>010322</t>
  </si>
  <si>
    <t>AUTORIZACION DE INSTALACION DE LINEAS AEREAS ELECTRICAS Y TELEFONICAS QUE AFECTEN A CARRETERAS DE LA JUNTA DE COMUNIDADES</t>
  </si>
  <si>
    <t>S213</t>
  </si>
  <si>
    <t>010323</t>
  </si>
  <si>
    <t>AUTORIZACION DE TRANSPORTE REGULAR DE USO ESPECIAL (TRANSPORTE DE TRABAJADORES)</t>
  </si>
  <si>
    <t>S271</t>
  </si>
  <si>
    <t>010324</t>
  </si>
  <si>
    <t>AUTORIZACION DE TRANSPORTE ESCOLAR</t>
  </si>
  <si>
    <t>S272</t>
  </si>
  <si>
    <t>010325</t>
  </si>
  <si>
    <t>AUTORIZACIONES DE TRANSPORTE SANITARIO PUBLICO (VS) Y PRIVADO COMPLEMENTARIO (VSPC)</t>
  </si>
  <si>
    <t>S273</t>
  </si>
  <si>
    <t>010326</t>
  </si>
  <si>
    <t>AUTORIZACION DE TRANSPORTE PRIVADO DE MERCANCIAS (MPC)</t>
  </si>
  <si>
    <t>SI5C</t>
  </si>
  <si>
    <t>010327</t>
  </si>
  <si>
    <t>AUTORIZACION DE TRANSPORTE PUBLICO DE MERCANCIAS (MDP Y MDL)</t>
  </si>
  <si>
    <t>SI5D</t>
  </si>
  <si>
    <t>010328</t>
  </si>
  <si>
    <t>AUTORIZACION DE ARRENDAMIENTO DE VEHICULOS CON CONDUCTOR (VTC)</t>
  </si>
  <si>
    <t>SI5G</t>
  </si>
  <si>
    <t>010329</t>
  </si>
  <si>
    <t>AUTORIZACION DE TRANSPORTE PRIVADO DE VIAJEROS (VPC)</t>
  </si>
  <si>
    <t>SI5H</t>
  </si>
  <si>
    <t>010335</t>
  </si>
  <si>
    <t>AUTORIZACION DE CERRAMIENTOS PROXIMOS A CARRETERAS DE LA RED AUTONOMICA</t>
  </si>
  <si>
    <t>SJ4X</t>
  </si>
  <si>
    <t>010339</t>
  </si>
  <si>
    <t>INSCRIPCION LABORATORIOS DE ENSAYOS PARA EL CONTROL DE LA CALIDAD DE LA EDIFICACION DECLARADOS EN CASTILLA-LA MANCHA</t>
  </si>
  <si>
    <t>SJ7I</t>
  </si>
  <si>
    <t>010340</t>
  </si>
  <si>
    <t>AUTORIZACION DE USO DE BIENES Y/O DERECHOS DE TITULARIDAD DE LA JUNTA DE COMUNIDADES DE CASTILLA-LA MANCHA ADSCRITOS A LA CONSEJERIA DE FOMENTO</t>
  </si>
  <si>
    <t>- ADJUDICACIÓN DIRECTA: TRES MESES._x000D_
- ADJUDICACIÓN EN RÉGIMEN DE CONCURRENCIA COMPETITIVA: SEIS MESES.</t>
  </si>
  <si>
    <t>SECRETARIA GENERAL FOMENTO - CONSEJERIA DE FOMENTO</t>
  </si>
  <si>
    <t>SJ7P</t>
  </si>
  <si>
    <t>010342</t>
  </si>
  <si>
    <t>AUTORIZACION DE CENTROS DE FORMACION DE CONDUCTORES.</t>
  </si>
  <si>
    <t>SJAH</t>
  </si>
  <si>
    <t>010343</t>
  </si>
  <si>
    <t>AUTORIZACION DE OPERADOR DE TRANSPORTE DE MERCANCIAS (OT)</t>
  </si>
  <si>
    <t>SJAI</t>
  </si>
  <si>
    <t>010345</t>
  </si>
  <si>
    <t>AUTORIZACION DE EDIFICACIONES PROXIMAS A CARRETERAS DE LA RED AUTONOMICA</t>
  </si>
  <si>
    <t>SJKW</t>
  </si>
  <si>
    <t>010346</t>
  </si>
  <si>
    <t>INSCRIPCION DE ENTIDADES DE CONTROL DE LA CALIDAD DE LA EDIFICACION DECLARADAS EN CASTILLA-LA MANCHA</t>
  </si>
  <si>
    <t>SJO2</t>
  </si>
  <si>
    <t>010347</t>
  </si>
  <si>
    <t>APORTACION DE GANANCIALES DE VIVIENDA PROTEGIDA</t>
  </si>
  <si>
    <t>SJQP</t>
  </si>
  <si>
    <t>010348</t>
  </si>
  <si>
    <t>EXTINCION DEL CONDOMINIO EN VIVIENDA DE PROTECCION PUBLICA</t>
  </si>
  <si>
    <t>SJQQ</t>
  </si>
  <si>
    <t>010425</t>
  </si>
  <si>
    <t>SUBROGACION POR FALLECIMIENTO DEL TITULAR O SUPUESTOS DE NULIDAD, SEPARACION O DIVORCIO, DE VIVIENDA DE PROMOCION PUBLICA ARRENDADA EN FAVOR DE CIERTOS FAMILIARES.</t>
  </si>
  <si>
    <t>SJXI</t>
  </si>
  <si>
    <t>010426</t>
  </si>
  <si>
    <t>AUTORIZACION PARA POSTERIORES TRANSMISIONES DE SUELO, ORIGINALMENTE PROPIEDAD DE LA JUNTA DE COMUNIDADES DE CASTILLA-LA MANCHA.</t>
  </si>
  <si>
    <t>SJXJ</t>
  </si>
  <si>
    <t>010427</t>
  </si>
  <si>
    <t>CANCELACION DE CONDICIONES RESOLUTORIAS, POR CUMPLIMIENTO DE OBLIGACIONES CONTRACTUALES, INCLUIDAS EN LAS ENAJENACIONES DE SUELO DE LA JCCM</t>
  </si>
  <si>
    <t>SJXK</t>
  </si>
  <si>
    <t>010428</t>
  </si>
  <si>
    <t>AUTORIZACION PARA REALIZAR OBRAS MENORES EN LAS VIVIENDAS DE PROMOCION PUBLICA A COSTA DEL INTERESADO.</t>
  </si>
  <si>
    <t>SJXL</t>
  </si>
  <si>
    <t>010430</t>
  </si>
  <si>
    <t>AMORTIZACION ANTICIPADA DE UNA VIVIENDA DE PROMOCION PUBLICA ADJUDICADA EN COMPRAVENTA APLAZADA Y CITACION NOTARIAL PARA ELEVACION DE LA COMPRAVENTA A ESCRITURA PUBLICA, EN EL CASO DE QUE SE HAYA AMORTIZADO LA TOTALIDAD.</t>
  </si>
  <si>
    <t>SJXN</t>
  </si>
  <si>
    <t>010431</t>
  </si>
  <si>
    <t>AUTORIZACION PARA HIPOTECAR LOS TERRENOS CUANDO LA HIPOTECA SE CONSTITUYA EN GARANTIA DE PRESTAMOS PARA LLEVAR A CABO EDIFICACIONES SOBRE SUELO ENAJENADO POR LA JCCM</t>
  </si>
  <si>
    <t>SJXO</t>
  </si>
  <si>
    <t>010455</t>
  </si>
  <si>
    <t>AUTORIZACION PARA PLANTACIONES Y TRABAJOS DE TALA Y PODA EN CARRETERAS DE LA JUNTA DE COMUNIDADES</t>
  </si>
  <si>
    <t>MK0P</t>
  </si>
  <si>
    <t>010456</t>
  </si>
  <si>
    <t>AUTORIZACION PARA INSTALACIONES DE RIEGO EN CARRETERAS DE LA JUNTA DE COMUNIDADES</t>
  </si>
  <si>
    <t>MK0Q</t>
  </si>
  <si>
    <t>020017</t>
  </si>
  <si>
    <t>REGISTRO DE DEMANDANTES DE VIVIENDA</t>
  </si>
  <si>
    <t>SJ4W</t>
  </si>
  <si>
    <t>020019</t>
  </si>
  <si>
    <t>INSCRIPCION EN EL REGISTRO ADMINISTRATIVO DE AGRUPACIONES DE INTERES URBANISTICO Y ENTIDADES URBANISTICAS COLABORADORAS DE CONSERVACION.</t>
  </si>
  <si>
    <t>DIRECCION GENERAL PLANIFICACION TERRITORIAL Y URBANISMO - CONSEJERIA DE FOMENTO</t>
  </si>
  <si>
    <t>SJ7M</t>
  </si>
  <si>
    <t>020230</t>
  </si>
  <si>
    <t>INSCRIPCION EN EL REGISTRO DE INFORMES DE EVALUACION DEL EDIFICIO</t>
  </si>
  <si>
    <t>INSCRIPCIÓN AUTOMÁTICA E INMEDIATA</t>
  </si>
  <si>
    <t>SKGA</t>
  </si>
  <si>
    <t>020281</t>
  </si>
  <si>
    <t>COMUNICACION DE ALTAS Y BAJAS PARA CONSEJEROS DE SEGURIDAD PARA EL TRANSPORTE DE MERCANCIAS PELIGROSAS DE PERSONAS FISICAS O JURIDICAS OBLIGADAS A SU NOMBRAMIENTO Y CON DOMICILIO FISCAL EN CASTILLA-LA MANCHA</t>
  </si>
  <si>
    <t>MLJZ</t>
  </si>
  <si>
    <t>025647</t>
  </si>
  <si>
    <t>COMUNICACION DE INCIDENCIAS AL REGISTRO DE INFORMES DE EVALUACION DE EDIFICIOS DE CASTILLA LA MANCHA.</t>
  </si>
  <si>
    <t>TRES MESES, DESDE EL ACUERDO DE INICIO DEL PROCEDIMIENTO DE SUSPENSIÓN DE LAS INSCRIPCIÓN</t>
  </si>
  <si>
    <t>SKGB</t>
  </si>
  <si>
    <t>030070</t>
  </si>
  <si>
    <t>REDUCCION DE RENTA EN CONTRATO DE ARRENDAMIENTO DE VIVIENDAS DE PROMOCION PUBLICA PROPIEDAD DE LA JUNTA DE COMUNIDADES.</t>
  </si>
  <si>
    <t>SJQL</t>
  </si>
  <si>
    <t>030079</t>
  </si>
  <si>
    <t>PARTICIPACION EN PROCEDIMIENTOS DE ADJUDICACION DE VIVIENDAS DE  INICIATIVA PUBLICA REGIONAL</t>
  </si>
  <si>
    <t>SJ4V</t>
  </si>
  <si>
    <t>030868</t>
  </si>
  <si>
    <t>AYUDAS PARA CONTRIBUIR A MINIMIZAR EL IMPACTO ECONOMICO Y SOCIAL DEL COVID-19 EN LOS ALQUILERES DE VIVIENDA HABITUAL DEL PLAN ESTATAL DE VIVIENDA 2018-2021</t>
  </si>
  <si>
    <t>3 MESES, A CONTAR DESDE LA PRESENTACIÓN DE LA SOLICITUD.</t>
  </si>
  <si>
    <t>SLD8</t>
  </si>
  <si>
    <t>030897</t>
  </si>
  <si>
    <t>AYUDAS POR LA COVID-19 A OPERADORES QUE PRESTAN EL SERVICIO DE TRANSPORTE PUBLICO REGULAR DE VIAJEROS</t>
  </si>
  <si>
    <t>SLFO</t>
  </si>
  <si>
    <t>031073</t>
  </si>
  <si>
    <t>.AYUDAS PARA LA ELABORACION DEL LIBRO DEL EDIFICIO EXISTENTE PARA LA REHABILITACION Y LA REDACCION DE PROYECTOS TECNICOS DE REHABILITACION INTEGRAL DE EDIFICIOS DE CASTILLA-LA MANCHA.</t>
  </si>
  <si>
    <t>SLRG</t>
  </si>
  <si>
    <t>031075</t>
  </si>
  <si>
    <t>REHABILITACION DEL PROGRAMA DE AYUDAS A LAS ACTUACIONES DE REHABILITACION A NIVEL DE EDIFICIO EN CASTILLA-LA MANCHA</t>
  </si>
  <si>
    <t>SLRM</t>
  </si>
  <si>
    <t>031076</t>
  </si>
  <si>
    <t>REHABILITACION DEL PROGRAMA DE AYUDAS A LAS ACTUACIONES DE MEJORA DE LA EFICIENCIA ENERGETICA EN VIVIENDAS EN CASTILLA-LA MANCHA.</t>
  </si>
  <si>
    <t>SLRN</t>
  </si>
  <si>
    <t>031095</t>
  </si>
  <si>
    <t>AYUDAS A LAS ACTUACIONES DE REHABILITACION A NIVEL DE EDIFICIO EN CASTILLA-LA MANCHA, DENTRO DEL MARCO GENERAL DEL PLAN DE RECUPERACION, TRANSFORMACION Y RESILIENCIA, PARA LA ANUALIDAD 2022.</t>
  </si>
  <si>
    <t>EL PLAZO MÁXIMO PARA RESOLVER LA SOLICITUD DE AYUDA ES DE 3 MESES CONTADOS DESDE LA PRESENTACIÓN DE LA SOLICITUD.</t>
  </si>
  <si>
    <t>SLSM</t>
  </si>
  <si>
    <t>031096</t>
  </si>
  <si>
    <t>AYUDAS A LAS ACTUACIONES DE MEJORA DE LA EFICIENCIA ENERGETICA EN VIVIENDAS EN CASTILLA-LA MANCHA, DENTRO DEL MARCO GENERAL DEL PLAN DE RECUPERACION, TRANSFORMACION Y RESILIENCIA.</t>
  </si>
  <si>
    <t>SLSN</t>
  </si>
  <si>
    <t>031100</t>
  </si>
  <si>
    <t>AYUDAS AL ¿BONO ALQUILER JOVEN¿ EN CASTILLA- LA MANCHA.</t>
  </si>
  <si>
    <t>3 MESES CONTADOS DESDE LA PRESENTACIÓN DE LA SOLICITUD.</t>
  </si>
  <si>
    <t>SLSV</t>
  </si>
  <si>
    <t>031101</t>
  </si>
  <si>
    <t>AYUDAS PARA LA TRANSFORMACION DE FLOTAS DE TRANSPORTES DE MERCANCIAS Y VIAJEROS DE EMPRESAS PRIVADAS PRESTADORAS DE SERVICIOS DE TRANSPORTE POR CARRETERA Y PRIVADO COMPLEMENTARIO.</t>
  </si>
  <si>
    <t>EL PLAZO MÁXIMO PARA RESOLVER Y NOTIFICAR LA RESOLUCIÓN DE CONCESIÓN DE LA AYUDA SOLICITADA SERÁ DE SEIS MESES (6 MESES) CONTADOS DESDE LA FECHA DE REGISTRO DE LA SOLICITUD.</t>
  </si>
  <si>
    <t>SLSX</t>
  </si>
  <si>
    <t>031132</t>
  </si>
  <si>
    <t>AYUDA PARA LA IMPLANTACION DE LAS OFICINAS DE REHABILITACION EN EL AMBITO TERRITORIAL DE CASTILLA- LA MANCHA</t>
  </si>
  <si>
    <t>15 DIAS DESDE LA ENTRADA EN VIGOR DEL DECRETO</t>
  </si>
  <si>
    <t>SLUP</t>
  </si>
  <si>
    <t>031144</t>
  </si>
  <si>
    <t>AYUDAS DESTINADAS A LAS PERSONAS TITULARES DE LAS AUTORIZACIONES DE TRANSPORTE PUBLICO DE VIAJEROS EN VEHICULOS DE TURISMO AUTO-TAXI (VT) EN EL MARCO DEL PROGRAMA DE FOMENTO A LA ADAPTACION DE VEHICULOS TAXI A PERSONAS CON MOVILIDAD REDUCIDA</t>
  </si>
  <si>
    <t>EL PLAZO MÁXIMO PARA RESOLVER Y NOTIFICAR LA RESOLUCIÓN NO PODRÁ EXCEDER DE 1 MES, A CONTAR DESDE LA FECHA DE FINALIZACIÓN DEL PLAZO DE PRESENTACIÓN DE SOLICITUDES.</t>
  </si>
  <si>
    <t>SLVG</t>
  </si>
  <si>
    <t>031158</t>
  </si>
  <si>
    <t>CONCESION DIRECTA DE UNA SUBVENCION A LA COMUNIDAD DE PROPIETARIOS RIO MARIANA 3, (CUENCA), PARA DESARROLLO OBRA INSTALACION ASCENSOR HASTA LA COTA CERO DEL EDIFICIO, CON OBJETO CONSEGUIR LA ACCESIBILIDAD UNIVERSAL DEL MISMO, EN EL MARCO DEL PLAN DE RECUPERACION, TRANSFORMACION Y RESILIENCIA.</t>
  </si>
  <si>
    <t>PLW4</t>
  </si>
  <si>
    <t>031178</t>
  </si>
  <si>
    <t>AYUDAS A LA MEJORA DE LA ACCESIBILIDAD EN Y A LAS VIVIENDAS DE CASTILLA-LA MANCHA, EN EL MARCO DEL PLAN ESTATAL DE VIVIENDA 2022-2025.</t>
  </si>
  <si>
    <t>LA SOLICITUD SE RESOLVERÁ EN EL PLAZO MÁXIMO DE 3 MESES CONTADOS DESDE SU PRESENTACIÓN DE LA SOLICITUD.</t>
  </si>
  <si>
    <t>SLX1</t>
  </si>
  <si>
    <t>035465</t>
  </si>
  <si>
    <t>ABONO DE AYUDAS AL ARRENDAMIENTO DE VIVIENDAS</t>
  </si>
  <si>
    <t>PK4A</t>
  </si>
  <si>
    <t>035466</t>
  </si>
  <si>
    <t>COMUNICACION DE MODIFICACION DE LAS CONDICIONES</t>
  </si>
  <si>
    <t>ML1D</t>
  </si>
  <si>
    <t>035467</t>
  </si>
  <si>
    <t>AYUDAS AL ALQUILER DE VIVIENDA EN CASTILLA-LA MANCHA, EN EL MARCO DEL PLAN ESTATAL DE VIVIENDA 2022-2025.</t>
  </si>
  <si>
    <t>SI4L</t>
  </si>
  <si>
    <t>035504</t>
  </si>
  <si>
    <t>SOLICITUD DE AYUDA PARA LA FINANCIACION DE ACTUACIONES EN MATERIA DE REDACCION DE DIVERSOS INSTRUMENTOS DE PLANEAMIENTO URBANISTICO.</t>
  </si>
  <si>
    <t>SL35</t>
  </si>
  <si>
    <t>035505</t>
  </si>
  <si>
    <t>MODIFICACION DE LA RESOLUCION DE CONCESION DE LA SUBVENCION PARA REDACCION DE INSTRUMENTOS DE PLANEAMIENTO.</t>
  </si>
  <si>
    <t>SL37</t>
  </si>
  <si>
    <t>035506</t>
  </si>
  <si>
    <t>SOLICITUD DE ABONO DE LA SUBVENCION PARA LA REDACCION DE INSTRUMENTOS DE PLANEAMIENTO.</t>
  </si>
  <si>
    <t>PL36</t>
  </si>
  <si>
    <t>035640</t>
  </si>
  <si>
    <t>COMUNICACION DE MODIFICACION DE LAS ACTUACIONES- LINEAS B Y C</t>
  </si>
  <si>
    <t>SKGO</t>
  </si>
  <si>
    <t>035641</t>
  </si>
  <si>
    <t>SOLICITUD DE ABONO DE LA AYUDA. LINEAS B Y C.</t>
  </si>
  <si>
    <t>PKGP</t>
  </si>
  <si>
    <t>035642</t>
  </si>
  <si>
    <t>SOLICITUD DE AYUDAS A LA REHABILITACION EDIFICATORIA. LINEAS B Y C.</t>
  </si>
  <si>
    <t>SKG8</t>
  </si>
  <si>
    <t>035643</t>
  </si>
  <si>
    <t>ABONO DE LA AYUDA REHABILITACION DE ELEMENTOS COMUNES DE EDIFICIOS DE TIPOLOGIA RESIDENCIAL COLECTIVA DE VIVIENDAS.</t>
  </si>
  <si>
    <t>PL2P</t>
  </si>
  <si>
    <t>035644</t>
  </si>
  <si>
    <t>PROGRAMA DE FOMENTO DE LA MEJORA DE LA EFICIENCIA ENERGETICA Y SOSTENIBILIDAD DE VIVIENDAS Y PROG.  DE FOMENTO DE LA CONSERVACION, MEJORA DE LA SEGURIDAD DE UTILIZACION Y DE LA ACCESIBILIDAD- LINEA A</t>
  </si>
  <si>
    <t>SL2N</t>
  </si>
  <si>
    <t>035645</t>
  </si>
  <si>
    <t>COMUNICACION DE MODIFICACION DE LAS ACTUACIONES</t>
  </si>
  <si>
    <t>ML2O</t>
  </si>
  <si>
    <t>035685</t>
  </si>
  <si>
    <t>SOLICITUD DE DECLARACION Y FINANCIACION DEL AREA DE REGENERACION Y RENOVACION URBANA Y RURAL</t>
  </si>
  <si>
    <t>SKKG</t>
  </si>
  <si>
    <t>035686</t>
  </si>
  <si>
    <t>MKKI</t>
  </si>
  <si>
    <t>035687</t>
  </si>
  <si>
    <t>SOLICITUD DEL RECONOCIMIENTO DEL DERECHO A LA SUBVENCION</t>
  </si>
  <si>
    <t>SKKF</t>
  </si>
  <si>
    <t>035688</t>
  </si>
  <si>
    <t>SOLICITUD DE ABONO DE LA AYUDA RECONOCIDA PARA ACTUACIONES DE REHABILITACION DE VIVIENDAS, SUSTITUCION DE VIVIENDAS, MEJORA DEL MEDIO URBANO, REALOJOS TEMPORALES Y EQUIPOS DE GESTION EN EL ARRUR</t>
  </si>
  <si>
    <t>PKKJ</t>
  </si>
  <si>
    <t>035958</t>
  </si>
  <si>
    <t>SOLICITUD DE ABONO PARA AYUDA RECONOCIDA PARA LA ADQUISICION DE VIVIENDA HABITUAL Y PERMANENTE EN REGIMEN DE PROPIEDAD POR JOVENES.</t>
  </si>
  <si>
    <t>EL PLAZO PARA DICTAR Y NOTIFICAR LA RESOLUCIÓN SERÁ DE 3 MESES, CONTADOS A PARTIR DE LA PRESENTACIÓN DE LA SOLICITUD.</t>
  </si>
  <si>
    <t>PL67</t>
  </si>
  <si>
    <t>035959</t>
  </si>
  <si>
    <t>AYUDAS A LA ADQUISICION DE VIVIENDA EN PROPIEDAD POR LOS JOVENES PARA CONTRIBUIR AL RETO DEMOGRAFICO DE CASTILLA-LA MANCHA, EN EL MARCO DEL PLAN ESTATAL DE VIVIENDA 2022-2025.</t>
  </si>
  <si>
    <t>SL66</t>
  </si>
  <si>
    <t>035995</t>
  </si>
  <si>
    <t>COMUNICACION DE MODIFICACION DE LAS CONDICIONES DE LAS AYUDAS AL ARRENDAMIENTO DE VIVIENDAS DIRIGIDAS A VICTIMAS DE VIOLENCIA DE GENERO.</t>
  </si>
  <si>
    <t>1 MES DESDE LA FINALIZACIÓN DEL PLAZO PARA PRESENTAR SOLICITUDES.</t>
  </si>
  <si>
    <t>MLAL</t>
  </si>
  <si>
    <t>035996</t>
  </si>
  <si>
    <t>ABONO DE LAS AYUDAS AL ARRENDAMIENTO DE VIVIENDAS DIRIGIDAS A VICTIMAS DE VIOLENCIA DE GENERO</t>
  </si>
  <si>
    <t>PLAN</t>
  </si>
  <si>
    <t>035997</t>
  </si>
  <si>
    <t>SOLICITUD DE AYUDAS AL ARRENDAMIENTO DE VIVIENDAS DIRIGIDAS A VICTIMAS DE VIOLENCIA DE GENERO.</t>
  </si>
  <si>
    <t>SLAM</t>
  </si>
  <si>
    <t>036048</t>
  </si>
  <si>
    <t>SOLICITUD DE AYUDA PARA ACTUACIONES DE REHABILITACION ENERGETICA EN VIVIENDAS EXISTENTES.</t>
  </si>
  <si>
    <t>SLGX</t>
  </si>
  <si>
    <t>036049</t>
  </si>
  <si>
    <t>ABONO DE LA AYUDA PARA LA REHABILITACION ENERGETICA EN EDIFICIOS EXISTENTES</t>
  </si>
  <si>
    <t>PLGZ</t>
  </si>
  <si>
    <t>036140</t>
  </si>
  <si>
    <t>AYUDA PARA LA REHABILITACION ENERGETICA EN VIVIENDAS EXISTENTES EN MUNICIPIOS DE RETO DEMOGRAFICO.</t>
  </si>
  <si>
    <t>SLPQ</t>
  </si>
  <si>
    <t>040028</t>
  </si>
  <si>
    <t>CALIFICACION/ DECLARACION PROVISIONAL VIVIENDAS CON PROTECCION PUBLICA</t>
  </si>
  <si>
    <t>SJA6</t>
  </si>
  <si>
    <t>040029</t>
  </si>
  <si>
    <t>CALIFICACION/DECLARACION DEFINITIVA VIVIENDAS CON PROTECCION PUBLICA</t>
  </si>
  <si>
    <t>SJA7</t>
  </si>
  <si>
    <t>040032</t>
  </si>
  <si>
    <t>DECLARACION DE INTERES REGIONAL DE LOS PROYECTOS DE SINGULAR INTERES PROMOVIDOS POR PERSONAS O ENTIDADES PARTICULARES</t>
  </si>
  <si>
    <t>SJ7N</t>
  </si>
  <si>
    <t>040067</t>
  </si>
  <si>
    <t>VISADO DE CONTRATOS (VIVIENDA)</t>
  </si>
  <si>
    <t>SJQR</t>
  </si>
  <si>
    <t>040173</t>
  </si>
  <si>
    <t>PRUEBAS DE COMPETENCIA PROFESIONAL PARA LA REALIZACION DE TRANSPORTE PUBLICO INTERIOR E INTERNACIONAL DE VIAJEROS Y DE MERCANCIAS</t>
  </si>
  <si>
    <t>SH30</t>
  </si>
  <si>
    <t>040174</t>
  </si>
  <si>
    <t>PRUEBAS DE CONSEJEROS DE SEGURIDAD PARA EL TRANSPORTE</t>
  </si>
  <si>
    <t>SH50</t>
  </si>
  <si>
    <t>040177</t>
  </si>
  <si>
    <t>PRUEBAS PARA LA OBTENCION DEL CERTIFICADO DE APTITUD PROFESIONAL ACREDITATIVO DE LA CUALIFICACION INICIAL DE LOS CONDUCTORES DE DETERMINADOS VEHICULOS DESTINADOS AL TRANSPORTE POR CARRETERA.</t>
  </si>
  <si>
    <t>SJ3K</t>
  </si>
  <si>
    <t>040180</t>
  </si>
  <si>
    <t>HOMOLOGACION DE CURSOS DE FORMACION DE CONDUCTORES (CAP)</t>
  </si>
  <si>
    <t>SJAK</t>
  </si>
  <si>
    <t>040232</t>
  </si>
  <si>
    <t>PROYECTO DE SINGULAR INTERES PROMOVIDO POR PERSONAS O ENTIDADES PARTICULARES</t>
  </si>
  <si>
    <t>SJA2</t>
  </si>
  <si>
    <t>040327</t>
  </si>
  <si>
    <t>SOLICITUD POR AYUNTAMIENTOS A LA CONSEJERIA DE FOMENTO PARA EMISION INFORME EN AUTORIZACIONES INTERURBANAS DE TAXI.</t>
  </si>
  <si>
    <t>SKZZ</t>
  </si>
  <si>
    <t>040369</t>
  </si>
  <si>
    <t>SOLICITUD DE AYUDAS AL ARRENDAMIENTO DE VIVIENDA LIBRE A TRAVES DEL PROGRAMA DE ALQUILER CON GARANTIAS ESPECIALES</t>
  </si>
  <si>
    <t>SLQ9</t>
  </si>
  <si>
    <t>045309</t>
  </si>
  <si>
    <t>EXPEDICION (PRIMERA EMISION), RENOVACION, MODIFICACION DE DATOS O SUSTITUCION DE LA TARJETA DE TACOGRAFO DIGITAL DE EMPRESA.</t>
  </si>
  <si>
    <t>SJAL</t>
  </si>
  <si>
    <t>045310</t>
  </si>
  <si>
    <t>EXPEDICION (PRIMERA EMISION), RENOVACION, MODIFICACION DE DATOS O SUSTITUCION DE TARJETA DE TACOGRAFO DIGITAL DE CENTRO DE ENSAYO.</t>
  </si>
  <si>
    <t>SKZE</t>
  </si>
  <si>
    <t>045311</t>
  </si>
  <si>
    <t>EXPEDICION (PRIMERA EMISION), RENOVACION, MODIFICACION DE DATOS, SUSTITUCION O CANJE DE TARJETA DE TACOGRAFO DIGITAL DE CONDUCTOR.</t>
  </si>
  <si>
    <t>SJAE</t>
  </si>
  <si>
    <t>050002</t>
  </si>
  <si>
    <t>REVERSION</t>
  </si>
  <si>
    <t>SJ7Q</t>
  </si>
  <si>
    <t>055950</t>
  </si>
  <si>
    <t>ALEGACIONES AL TRAMITE DE INFORMACION PUBLICA EN EL PROCEDIMIENTO DE EXPROPIACION FORZOSA</t>
  </si>
  <si>
    <t>MLSZ</t>
  </si>
  <si>
    <t>055951</t>
  </si>
  <si>
    <t>HOJA DE APRECIO PARA LA FIJACION DEL JUSTIPRECIO</t>
  </si>
  <si>
    <t>ML53</t>
  </si>
  <si>
    <t>070007</t>
  </si>
  <si>
    <t>PROCEDIMIENTO SANCIONADOR EN MATERIA DE TRANSPORTES</t>
  </si>
  <si>
    <t>UN AÑO,  DESDE LA FECHA DEL ACUERDO DE INICIACIÓN DEL PROCEDIMIENTO.</t>
  </si>
  <si>
    <t>SKPF</t>
  </si>
  <si>
    <t>080006</t>
  </si>
  <si>
    <t>PROGRAMA DE ASISTENCIA, ASESORAMIENTO E INTERMEDIACION HIPOTECARIA</t>
  </si>
  <si>
    <t>SKK2</t>
  </si>
  <si>
    <t>110038</t>
  </si>
  <si>
    <t>PROCESO SELECTIVO PARA LA AMPLIACION DE LA BOLSA DE TRABAJO DEL CUERPO TECNICO, ESPECIALIDAD ARQUITECTURA TECNICA.</t>
  </si>
  <si>
    <t>SKXA</t>
  </si>
  <si>
    <t>110097</t>
  </si>
  <si>
    <t>PROCESO SELECTIVO PARA LA AMPLIACION DE LA BOLSA DE TRABAJO DEL CUERPO SUPERIOR, ESPECIALIDAD ARQUITECTURA SUPERIOR.</t>
  </si>
  <si>
    <t>SLWX</t>
  </si>
  <si>
    <t>130001</t>
  </si>
  <si>
    <t>RECLAMACION DE RESPONSABILIDAD PATRIMONIAL.</t>
  </si>
  <si>
    <t>SEIS MESES DESDE QUE SE INICIA EL PROCEDIMIENTO. EN CASO DE TRAMITACIÓN SIMPLIFICADA DEL PROCEDIMIENTO, TREINTA DÍAS DESDE QUE SE NOTIFICA AL INTERESADO EL ACUERDO DE TRAMITACIÓN SIMPLIFICADA DEL PROCEDIMIENTO.</t>
  </si>
  <si>
    <t>SJ7R</t>
  </si>
  <si>
    <t>176017</t>
  </si>
  <si>
    <t>MORATORIA EXTRAORDINARIA EN EL PAGO DE LA RENTA, PARA PERSONAS EN SITUACION DE VULNERABILIDAD ECONOMICA A CAUSA DEL COVID-19. VIVIENDAS PERTENECIENTES AL PARQUE PUBLICO DE VIVIENDA JCCM</t>
  </si>
  <si>
    <t>SIETE DÍAS LABORABLES, CONTADOS A PARTIR DE LA FECHA DE PRESENTACIÓN DE LA SOLICITUD.</t>
  </si>
  <si>
    <t>SLD1</t>
  </si>
  <si>
    <t>176018</t>
  </si>
  <si>
    <t>MORATORIA EXTRAORDINARIA EN EL PAGO DE LA RENTA, PARA PERSONAS EN SITUACION DE VULNERABILIDAD ECONOMICA A CAUSA DEL COVID-19. VIVIENDAS PERTENECIENTES A LA EMPRESA PUBLICA GICAMAN</t>
  </si>
  <si>
    <t>SLD2</t>
  </si>
  <si>
    <t>176039</t>
  </si>
  <si>
    <t>MODIFICACION DEL DEPOSITO DE FIANZA DE ARRENDAMIENTOS URBANOS.</t>
  </si>
  <si>
    <t>SLGK</t>
  </si>
  <si>
    <t>176040</t>
  </si>
  <si>
    <t>SOLICITUD DE CERTIFICACION DE CONSTITUCION DEL DEPOSITO DE FIANZAS DE ARRENDAMIENTOS URBANOS.</t>
  </si>
  <si>
    <t>SLGL</t>
  </si>
  <si>
    <t>176041</t>
  </si>
  <si>
    <t>DEVOLUCION DEL DEPOSITO DE FIANZA DE ARRENDAMIENTOS URBANOS.</t>
  </si>
  <si>
    <t>SL7X</t>
  </si>
  <si>
    <t>176042</t>
  </si>
  <si>
    <t>LIQUIDACION ORDINARIA/EXTRAORDINARIA.</t>
  </si>
  <si>
    <t>SLGN</t>
  </si>
  <si>
    <t>176043</t>
  </si>
  <si>
    <t>MODIFICACION DEL CONCIERTO</t>
  </si>
  <si>
    <t>SLGO</t>
  </si>
  <si>
    <t>176044</t>
  </si>
  <si>
    <t>CESE DEL CONCIERTO.</t>
  </si>
  <si>
    <t>SLGP</t>
  </si>
  <si>
    <t>176045</t>
  </si>
  <si>
    <t>ACCESO AL REGIMEN ESPECIAL DE CONCIERTO.</t>
  </si>
  <si>
    <t>SLGM</t>
  </si>
  <si>
    <t>180110</t>
  </si>
  <si>
    <t>PROCEDIMIENTO DE PROVISION DE PUESTOS DE TRABAJO POR EL PROCEDIMIENTO LIBRE DESIGNACION.</t>
  </si>
  <si>
    <t>SK1K</t>
  </si>
  <si>
    <t>180236</t>
  </si>
  <si>
    <t>CONCURSO SINGULARIZADO DE MERITOS (CSM FOM 1/2022) PARA LA PROVISION DE PUESTOS DE TRABAJO VACANTES EN LA ADMINISTRACION DE LA JUNTA DE COMUNIDADES DE CASTILLA-LA MANCHA.</t>
  </si>
  <si>
    <t>SLU5</t>
  </si>
  <si>
    <t>190003</t>
  </si>
  <si>
    <t>CONCESION SOBRE BIENES Y/O DERECHOS DE TITULARIDAD DE LA JUNTA DE COMUNIDADES DE CASTILLA-LA MANCHA ADSCRITOS A LA CONSEJERIA DE FOMENTO</t>
  </si>
  <si>
    <t>- ADJUDICACIÓN DIRECTA: TRES MESES._x000D_
- ADJUDICACIÓN EN RÉGIMEN DE CONCURRENCIA:SEIS MESES.</t>
  </si>
  <si>
    <t>SJ7S</t>
  </si>
  <si>
    <t>190004</t>
  </si>
  <si>
    <t>ENAJENACION DE BIENES Y/O DERECHOS TITULARIDAD DE LA JUNTA DE COMUNIDADES DE CASTILLA-LA MANCHA ADSCRITOS A LA CONSEJERIA DE FOMENTO</t>
  </si>
  <si>
    <t>- ADJUDICACIÓN MEDIANTE SUBASTA: TRES MESES._x000D_
- ADJUDICACIÓN MEDIANTE CONCURSO: SEIS MESES.</t>
  </si>
  <si>
    <t>SJ7V</t>
  </si>
  <si>
    <t>190005</t>
  </si>
  <si>
    <t>CESION GRATUITA DE BIENES DE TITULARIDAD DE LA JUNTA DE COMUNIDADES DE CASTILLA-LA MANCHA ADSCRITOS A LA CONSEJERIA DE FOMENTO.</t>
  </si>
  <si>
    <t>SJ7W</t>
  </si>
  <si>
    <t>210008</t>
  </si>
  <si>
    <t>PRESENTACION DE ALEGACIONES DURANTE EL PERIODO DE INFORMACION PUBLICA DE EXPEDIENTES DE PROYECTOS Y ESTUDIOS DE CARRETERAS.</t>
  </si>
  <si>
    <t>ML0Q</t>
  </si>
  <si>
    <t>030172</t>
  </si>
  <si>
    <t>AYUDAS SOCIALES A MUJERES VICTIMAS DE VIOLENCIA DE GENERO CON ESPECIALES DIFICULTADES PARA ENCONTRAR EMPLEO</t>
  </si>
  <si>
    <t>INSTITUTO DE LA MUJER DE CASTILLA-LA MANCHA</t>
  </si>
  <si>
    <t>SIV5</t>
  </si>
  <si>
    <t>030174</t>
  </si>
  <si>
    <t>AYUDAS DE SOLIDARIDAD PARA MUJERES VICTIMAS DE VIOLENCIA DOMESTICA</t>
  </si>
  <si>
    <t>SIMG</t>
  </si>
  <si>
    <t>030514</t>
  </si>
  <si>
    <t>CONCESION DEL DISTINTIVO DE EXCELENCIA EN IGUALDAD DE GENERO.</t>
  </si>
  <si>
    <t>SJZU</t>
  </si>
  <si>
    <t>030564</t>
  </si>
  <si>
    <t>SUBVENCIONES  PARA EL ACCESO A PISOS TUTELADOS DESTINADOS A MUJERES VICTIMAS DE VIOLENCIA DE GENERO, MEDIANTE LA MODALIDAD DE SUBVENCION EN ESPECIE</t>
  </si>
  <si>
    <t>SKAF</t>
  </si>
  <si>
    <t>030565</t>
  </si>
  <si>
    <t>AYUDAS PARA PLANES DE IGUALDAD</t>
  </si>
  <si>
    <t>SKAL</t>
  </si>
  <si>
    <t>030573</t>
  </si>
  <si>
    <t>AYUDAS PARA LA REDUCCION DE BRECHAS DE GENERO EN EL AMBITO LABORAL</t>
  </si>
  <si>
    <t>SKBI</t>
  </si>
  <si>
    <t>030644</t>
  </si>
  <si>
    <t>PREMIO INTERNACIONAL DE CASTILLA-LA MANCHA A LA IGUALDAD DE GENERO "LUISA DE MEDRANO"</t>
  </si>
  <si>
    <t>SKMC</t>
  </si>
  <si>
    <t>030650</t>
  </si>
  <si>
    <t>AYUDAS A LA INVESTIGACION</t>
  </si>
  <si>
    <t>SKMS</t>
  </si>
  <si>
    <t>030651</t>
  </si>
  <si>
    <t>AYUDAS PARA LOS CONSEJOS LOCALES DE LA MUJER O DE IGUALDAD .</t>
  </si>
  <si>
    <t>SKMU</t>
  </si>
  <si>
    <t>030660</t>
  </si>
  <si>
    <t>RESOLUCION POR LA QUE SE CONVOCAN LOS PREMIOS Y MUESTRA MUJERES EN EL ARTE DEL INSTITUTO DE LA MUJER DE CASTILLA-LA MANCHA  AMALIA AVIA  EN EL AÑO 2022.</t>
  </si>
  <si>
    <t>6 MESES A PARTIR DE LA FECHA DE PUBLICACIÓN DE LA RESOLUCIÓN DE CONVOCATORIA EN EL DIARIO OFICIAL DE CASTILLA-LA MANCHA</t>
  </si>
  <si>
    <t>SKNQ</t>
  </si>
  <si>
    <t>030666</t>
  </si>
  <si>
    <t>BECAS LEONOR SERRANO PABLO DE ESTUDIOS UNIVERSITARIOS A MUJERES VICTIMAS DE VIOLENCIA DE GENERO Y A SUS HIJAS E HIJOS</t>
  </si>
  <si>
    <t>UN MES A PARTIR DE LA FECHA DE PUBLICACIÓN DE LA CONVOCATORIA EN EL DIARIO OFICIAL DE CASTILLA-LA MANCHA.</t>
  </si>
  <si>
    <t>SKO2</t>
  </si>
  <si>
    <t>030688</t>
  </si>
  <si>
    <t>REINTEGRO DE SUBVENCIONES EN EL AMBITO DEL INSTITUTO DE LA MUJER DE CASTILLA-LA MANCHA</t>
  </si>
  <si>
    <t>NKRI</t>
  </si>
  <si>
    <t>030729</t>
  </si>
  <si>
    <t>PRESENTACION DE ALEGACIONES Y/O DOCUMENTACION EN PROCEDIMIENTOS DEL INSTITUTO DE LA MUJER DE CASTILLA-LA MANCHA</t>
  </si>
  <si>
    <t>SKWB</t>
  </si>
  <si>
    <t>030741</t>
  </si>
  <si>
    <t>AYUDAS PARA PLANES ESTRATEGICOS DE IGUALDAD MUNICIPALES.</t>
  </si>
  <si>
    <t>TRES MESES DESDE LA FECHA DE LA FECHA DE PUBLICACIÓN DE LA RESOLUCIÓN DE CONVOCATORIA EN EL DIARIO OFICIAL DE CASTILLA-LA MANCHA.</t>
  </si>
  <si>
    <t>SKYT</t>
  </si>
  <si>
    <t>030742</t>
  </si>
  <si>
    <t>AYUDAS PARA FAVORECER LA NO DISCRIMINACION DE LAS PERSONAS PERTENECIENTES AL COLECTIVO LGTBI</t>
  </si>
  <si>
    <t>TRES MESES DESDE LA FECHA DE PUBLICACIÓN DE LA PRESENTE CONVOCATORIA EN EL DIARIO OFICIAL DE CASTILLA-LA MANCHA</t>
  </si>
  <si>
    <t>SKYU</t>
  </si>
  <si>
    <t>030760</t>
  </si>
  <si>
    <t>AYUDAS PARA LA PROMOCION DE LA IGUALDAD DE GENERO</t>
  </si>
  <si>
    <t>3 MESES A PARTIR DE LA FECHA DE PUBLICACIÓN DE LA RESOLUCIÓN DE CONVOCATORIA EN EL DIARIO OFICIAL DE CASTILLA-LA MANCHA.</t>
  </si>
  <si>
    <t>SKZT</t>
  </si>
  <si>
    <t>030763</t>
  </si>
  <si>
    <t>AYUDAS PARA LA PREVENCION DE LA MUTILACION GENITAL FEMENINA (MGF)</t>
  </si>
  <si>
    <t>SKZY</t>
  </si>
  <si>
    <t>030777</t>
  </si>
  <si>
    <t>CONVOCATORIA DE SUBVENCIONES DIRIGIDAS A LA REALIZACION DE ACTIVIDADES O ACTUACIONES DE PROMOCION RELACIONADAS CON LOS VALORES, PRINCIPIOS Y ESTRATEGIAS DEL INSTITUTO DE LA MUJER DE CASTILLA-LA MANCHA</t>
  </si>
  <si>
    <t>SL1K</t>
  </si>
  <si>
    <t>030881</t>
  </si>
  <si>
    <t>AYUDAS PARA FOMENTAR EL ASOCIACIONISMO DE MUJERES</t>
  </si>
  <si>
    <t>SLE4</t>
  </si>
  <si>
    <t>030917</t>
  </si>
  <si>
    <t>DECRETO SUBVENCION DIRECTA PROYECTO CALI PARA LA PROMOCION DE LA IGUALDAD Y ATENCION A LA MULTIPLE DISCRIMINACION DE LAS MUJERES GITANAS</t>
  </si>
  <si>
    <t>PLGW</t>
  </si>
  <si>
    <t>030928</t>
  </si>
  <si>
    <t>PREMIO PERIODISTICO LUISA ALBERCA LORENTE POR LA IGUALDAD DE GENERO CLM</t>
  </si>
  <si>
    <t>3 MESES A PARTIR DE LA FECHA DE PUBLICACIÓN DE LA RESOLUCIÓN DE CONVOCATORIA EN EL DIARIO OFICIAL DE CASTILLA-LA MANCHA</t>
  </si>
  <si>
    <t>SLHO</t>
  </si>
  <si>
    <t>030934</t>
  </si>
  <si>
    <t>JUSTIFICACION DE CONCESION DIRECTA DE UNA SUBVENCION A LA FUNDACION MUJERES PARA FINANCIAR EL PROYECTO DANA + EN CASTILLA-LA MANCHA</t>
  </si>
  <si>
    <t>PLHZ</t>
  </si>
  <si>
    <t>030996</t>
  </si>
  <si>
    <t>CONCESION DIRECTA DE SUBVENCIONES A MUNICIPIOS Y A ENTIDADES DE AMBITO TERRITORIAL INFERIOR AL MUNICIPIO (EATIM) DE C-LM, A UGT Y CCOO, PARA EL DESARROLLO DE ACTUACIONES INCLUIDAS EN EL PLAN CORRESPONSABLES.</t>
  </si>
  <si>
    <t>PLMK</t>
  </si>
  <si>
    <t>031038</t>
  </si>
  <si>
    <t>SUBVENCIONES DESTINADAS A ACTUACIONES DE INVERSION EN LOS CENTROS DE LA MUJER Y RECURSOS DE ACOGIDA DE CASTILLA-LA MANCHA.</t>
  </si>
  <si>
    <t>SLPL</t>
  </si>
  <si>
    <t>031077</t>
  </si>
  <si>
    <t>PREMIO A LAS BUENAS PRACTICAS EN IGUALDAD DE GENERO Y CONTRA LA VIOLENCIA MACHISTA QUE IMPULSEN LOS CENTROS DE LA MUJER DE CASTILLA-LA MANCHA.</t>
  </si>
  <si>
    <t>SLRP</t>
  </si>
  <si>
    <t>031135</t>
  </si>
  <si>
    <t>CONCESION DIRECTA DE SUBVENCIONES A MUNICIPIOS Y A ENTIDADES DE AMBITO TERRITORIAL INFERIOR AL MUNICIPIO (EATIM) DE CASTILLA-LA MANCHA, PARA EL DESARROLLO DE ACTUACIONES INCLUIDAS EN EL PLAN CORRESPONSABLES</t>
  </si>
  <si>
    <t>PLUZ</t>
  </si>
  <si>
    <t>031209</t>
  </si>
  <si>
    <t>RESOLUCION POR LA QUE SE CONVOCAN LOS PREMIOS DE CASTILLA -LA MANCHA MUJERES EN EL CINE ALICE GUY.</t>
  </si>
  <si>
    <t>SLZ9</t>
  </si>
  <si>
    <t>035513</t>
  </si>
  <si>
    <t>AYUDAS PARA LA PREVENCION DE LA TRATA Y LA EXPLOTACION SEXUAL</t>
  </si>
  <si>
    <t>1 MES Y 15 DÍAS NATURALES</t>
  </si>
  <si>
    <t>SK31</t>
  </si>
  <si>
    <t>035514</t>
  </si>
  <si>
    <t>AYUDAS PARA LA PREVENCION DE LA DISCRIMINACION MULTIPLE</t>
  </si>
  <si>
    <t>SK30</t>
  </si>
  <si>
    <t>035561</t>
  </si>
  <si>
    <t>CONVOCATORIA DE SUBVENCIONES PARA LA GESTION DEL FUNCIONAMIENTO DE CENTROS DE LA MUJER PARA VICTIMAS DE VIOLENCIA DE GENERO EN CASTILLA- LA MANCHA, PARA 2023-2024</t>
  </si>
  <si>
    <t>1 MESES Y 15 DÍAS</t>
  </si>
  <si>
    <t>SK5K</t>
  </si>
  <si>
    <t>035562</t>
  </si>
  <si>
    <t>CONVOCATORIA DE SUBVENCIONES PARA LA GESTION DEL FUNCIONAMIENTO DE RECURSOS DE ACOGIDA PARA VICTIMAS DE VIOLENCIA DE GENERO EN CASTILLA- LA MANCHA, PARA 2023-2024</t>
  </si>
  <si>
    <t>SKJH</t>
  </si>
  <si>
    <t>035940</t>
  </si>
  <si>
    <t>AYUDAS A FAMILIARES EN SITUACION DE DEPENDENCIA DE LA MUJER VICTIMA MORTAL POR VIOLENCIA DE GENERO</t>
  </si>
  <si>
    <t>SL52</t>
  </si>
  <si>
    <t>035941</t>
  </si>
  <si>
    <t>AYUDAS A MENORES DE EDAD EN SITUACION DE ORFANDAD COMO CONSECUENCIA DE LA VIOLENCIA DE GENERO</t>
  </si>
  <si>
    <t>SL4I</t>
  </si>
  <si>
    <t>040363</t>
  </si>
  <si>
    <t>RECONOCIMIENTO DE LA EXPERIENCIA LABORAL FORMAL O NO FORMAL EN EL SECTOR DE LOS CUIDADOS DE MENORES HASTA 14 AÑOS EN EL AMBITO DEL PLAN CORRESPONSABLES.</t>
  </si>
  <si>
    <t>SLOO</t>
  </si>
  <si>
    <t>040378</t>
  </si>
  <si>
    <t>ACREDITACION ADMINISTRATIVA DE LA CONDICION DE VICTIMA DE VIOLENCIA DE GENERO</t>
  </si>
  <si>
    <t>SLVW</t>
  </si>
  <si>
    <t>180081</t>
  </si>
  <si>
    <t>PROCEDIMIENTO DE PROVISION DE PUESTO DE TRABAJO L.D. IM F1/2022</t>
  </si>
  <si>
    <t>SJUJ</t>
  </si>
  <si>
    <t>030887</t>
  </si>
  <si>
    <t>CASTILLA-LA MANCHA OPEN DAY DE CHINA 2022</t>
  </si>
  <si>
    <t>INSTITUTO DE PROMOCION EXTERIOR DE CASTILLA-LA MANCHA (IPEX)</t>
  </si>
  <si>
    <t>SLF0</t>
  </si>
  <si>
    <t>030889</t>
  </si>
  <si>
    <t>MISION COMERCIAL VIRTUAL A PAISES NORDICOS</t>
  </si>
  <si>
    <t>SLF7</t>
  </si>
  <si>
    <t>030899</t>
  </si>
  <si>
    <t>V2B WINE MEETING PEKIN</t>
  </si>
  <si>
    <t>SLFR</t>
  </si>
  <si>
    <t>030904</t>
  </si>
  <si>
    <t>V2B WINE MEETING GUANGZHOU</t>
  </si>
  <si>
    <t>SLFX</t>
  </si>
  <si>
    <t>030907</t>
  </si>
  <si>
    <t>V2B WINE MEETING TAILANDIA</t>
  </si>
  <si>
    <t>SLG2</t>
  </si>
  <si>
    <t>030910</t>
  </si>
  <si>
    <t>FERIA WBWE.</t>
  </si>
  <si>
    <t>SLGE</t>
  </si>
  <si>
    <t>030922</t>
  </si>
  <si>
    <t>PROMOCION EN MARKETPLACES INTERNACIONALES DE MODA B2B  JOOR Y WE WANT SHOES</t>
  </si>
  <si>
    <t>SLH7</t>
  </si>
  <si>
    <t>030923</t>
  </si>
  <si>
    <t>FERIAS INTERNACIONALES AGROALIMENTARIAS</t>
  </si>
  <si>
    <t>SLH9</t>
  </si>
  <si>
    <t>030932</t>
  </si>
  <si>
    <t>IMPULSA TU EMPRESA EN CHINA</t>
  </si>
  <si>
    <t>SLHX</t>
  </si>
  <si>
    <t>030938</t>
  </si>
  <si>
    <t>FERIA DE HOTELES DE CHENGDU</t>
  </si>
  <si>
    <t>SLI9</t>
  </si>
  <si>
    <t>030942</t>
  </si>
  <si>
    <t>ANTAD RETAIL CONNECT: INTERNATIONAL WEEK 2021</t>
  </si>
  <si>
    <t>SLIG</t>
  </si>
  <si>
    <t>030952</t>
  </si>
  <si>
    <t>FERIAS INTERNACIONALES AGROALIMENTARIAS SEGUNDO TRIMESTRE 2021.</t>
  </si>
  <si>
    <t>SLIT</t>
  </si>
  <si>
    <t>030953</t>
  </si>
  <si>
    <t>FERIAS INTERNACIONALES SECTORES INDUSTRIALES CUARTO TRIMESTRE 2022</t>
  </si>
  <si>
    <t>SLIU</t>
  </si>
  <si>
    <t>030954</t>
  </si>
  <si>
    <t>FERIAS INTERNACIONALES BIENES DE CONSUMO CUARTO TRIMESTRE 2022, (2ª CONVOCATORIA).</t>
  </si>
  <si>
    <t>SLIV</t>
  </si>
  <si>
    <t>030955</t>
  </si>
  <si>
    <t>FERIAS INTERNACIONALES SECTOR MODA</t>
  </si>
  <si>
    <t>SLIW</t>
  </si>
  <si>
    <t>030959</t>
  </si>
  <si>
    <t>V2B WINE MEETING EN SINGAPUR 2022</t>
  </si>
  <si>
    <t>SLJ4</t>
  </si>
  <si>
    <t>030960</t>
  </si>
  <si>
    <t>V2B WINE MEETING EN TAILANDIA.</t>
  </si>
  <si>
    <t>SLJ5</t>
  </si>
  <si>
    <t>030962</t>
  </si>
  <si>
    <t>V2B WINE MEETING CHINA: CHENGDU</t>
  </si>
  <si>
    <t>SLJA</t>
  </si>
  <si>
    <t>030964</t>
  </si>
  <si>
    <t>MISION COMERCIAL VIRTUAL DE VINO EN COSTA DE MARFIL</t>
  </si>
  <si>
    <t>SLJC</t>
  </si>
  <si>
    <t>030965</t>
  </si>
  <si>
    <t>MISION COMERCIAL DIRECTA DE VINO EN GHANA</t>
  </si>
  <si>
    <t>SLJD</t>
  </si>
  <si>
    <t>030966</t>
  </si>
  <si>
    <t>MISION COMERCIAL DIRECTA DE VINO EN CAMERUN</t>
  </si>
  <si>
    <t>SLJH</t>
  </si>
  <si>
    <t>030975</t>
  </si>
  <si>
    <t>VISITA FERIA A TASTE OF TAVOLA 2021 Y PLATAFORMA TAVOLA ONLINE</t>
  </si>
  <si>
    <t>SLK3</t>
  </si>
  <si>
    <t>030986</t>
  </si>
  <si>
    <t>VISITA A FERIA YUMMEX</t>
  </si>
  <si>
    <t>SLLI</t>
  </si>
  <si>
    <t>030991</t>
  </si>
  <si>
    <t>VISITA FERIA AMERICAS FOOD&amp;BEVERAGES SHOW 2021.</t>
  </si>
  <si>
    <t>SLM0</t>
  </si>
  <si>
    <t>030997</t>
  </si>
  <si>
    <t>MISION COMERCIAL DIRECTA MULTISECTORIAL A MARRUECOS 2021</t>
  </si>
  <si>
    <t>SLMO</t>
  </si>
  <si>
    <t>030998</t>
  </si>
  <si>
    <t>MISION COMERCIAL DIRECTA A ETIOPIA</t>
  </si>
  <si>
    <t>SLMZ</t>
  </si>
  <si>
    <t>031000</t>
  </si>
  <si>
    <t>SPANISH EXTRAVAGANZA CIUDAD DE MEXICO.</t>
  </si>
  <si>
    <t>SLN2</t>
  </si>
  <si>
    <t>031003</t>
  </si>
  <si>
    <t>MISION COMERCIAL DIRECTA A ESTADOS UNIDOS</t>
  </si>
  <si>
    <t>SLNL</t>
  </si>
  <si>
    <t>031005</t>
  </si>
  <si>
    <t>V2B WINE MEETING EN TAIWAN 2021.</t>
  </si>
  <si>
    <t>SLNP</t>
  </si>
  <si>
    <t>031009</t>
  </si>
  <si>
    <t>MISION COMERCIAL DIRECTA A SENEGAL Y COSTA DE MARFIL</t>
  </si>
  <si>
    <t>SLNW</t>
  </si>
  <si>
    <t>031010</t>
  </si>
  <si>
    <t>V2B WINE MEETING EN COREA 2021.</t>
  </si>
  <si>
    <t>SLNX</t>
  </si>
  <si>
    <t>031014</t>
  </si>
  <si>
    <t>V2B WINE MEETING EN NINGBO.</t>
  </si>
  <si>
    <t>SLO5</t>
  </si>
  <si>
    <t>031015</t>
  </si>
  <si>
    <t>V2B WINE MEETING EN QUINGDAO.</t>
  </si>
  <si>
    <t>SLO6</t>
  </si>
  <si>
    <t>031020</t>
  </si>
  <si>
    <t>AYUDAS PARA PLANES INDIVIDUALES DE INTERNACIONALIZACION</t>
  </si>
  <si>
    <t>SLOE</t>
  </si>
  <si>
    <t>031025</t>
  </si>
  <si>
    <t>FERIA WORLD BULK WINE EXHIBITION 2022</t>
  </si>
  <si>
    <t>SLP0</t>
  </si>
  <si>
    <t>031026</t>
  </si>
  <si>
    <t>FOOD AND HOTEL PROWINE CHINA.</t>
  </si>
  <si>
    <t>SLP1</t>
  </si>
  <si>
    <t>031027</t>
  </si>
  <si>
    <t>FERIA BATIMATEC ARGELIA.</t>
  </si>
  <si>
    <t>SLP2</t>
  </si>
  <si>
    <t>031028</t>
  </si>
  <si>
    <t>VISITA A LA FERIA WORLD TRAVEL MARKET LONDRES</t>
  </si>
  <si>
    <t>SLP3</t>
  </si>
  <si>
    <t>031030</t>
  </si>
  <si>
    <t>FERIA BIOFACH</t>
  </si>
  <si>
    <t>SLP8</t>
  </si>
  <si>
    <t>031031</t>
  </si>
  <si>
    <t>FERIA FRUIT LOGISTICA 2023</t>
  </si>
  <si>
    <t>SLP9</t>
  </si>
  <si>
    <t>031032</t>
  </si>
  <si>
    <t>FERIA VINEXPO NUEVA YORK.</t>
  </si>
  <si>
    <t>SLPA</t>
  </si>
  <si>
    <t>031033</t>
  </si>
  <si>
    <t>CONVOCATORIA FERIA PROWEIN</t>
  </si>
  <si>
    <t>SLPB</t>
  </si>
  <si>
    <t>031034</t>
  </si>
  <si>
    <t>FERIA FERIA MILLESIME BIO 2022</t>
  </si>
  <si>
    <t>SLPC</t>
  </si>
  <si>
    <t>031047</t>
  </si>
  <si>
    <t>FERIA ISM</t>
  </si>
  <si>
    <t>SLQG</t>
  </si>
  <si>
    <t>031048</t>
  </si>
  <si>
    <t>SALON DU FROMAGE ET DES PRODUITS LAITIERS</t>
  </si>
  <si>
    <t>SLQH</t>
  </si>
  <si>
    <t>031049</t>
  </si>
  <si>
    <t>MISION COMERCIAL DIRECTA A MEXICO.</t>
  </si>
  <si>
    <t>SLQI</t>
  </si>
  <si>
    <t>031055</t>
  </si>
  <si>
    <t>FERIA TAVOLA.</t>
  </si>
  <si>
    <t>SLQP</t>
  </si>
  <si>
    <t>031065</t>
  </si>
  <si>
    <t>FERIA SHANGRI LA CHENGDU</t>
  </si>
  <si>
    <t>SLR7</t>
  </si>
  <si>
    <t>031070</t>
  </si>
  <si>
    <t>B2B MEETINGS BRASIL</t>
  </si>
  <si>
    <t>SLRD</t>
  </si>
  <si>
    <t>031078</t>
  </si>
  <si>
    <t>MISION COMERCIAL DIRECTA A SUDAFRICA Y MOZAMBIQUE.</t>
  </si>
  <si>
    <t>SLRR</t>
  </si>
  <si>
    <t>031079</t>
  </si>
  <si>
    <t>PREPARA TU EMPRESA PARA VENDER EN EEUU</t>
  </si>
  <si>
    <t>SLRS</t>
  </si>
  <si>
    <t>031080</t>
  </si>
  <si>
    <t>MISION COMERCIAL DIRECTA A COLOMBIA</t>
  </si>
  <si>
    <t>SLRT</t>
  </si>
  <si>
    <t>031081</t>
  </si>
  <si>
    <t>FERIA GULFOOD</t>
  </si>
  <si>
    <t>SLRU</t>
  </si>
  <si>
    <t>031083</t>
  </si>
  <si>
    <t>FERIA IWA NUREMBERG</t>
  </si>
  <si>
    <t>SLRW</t>
  </si>
  <si>
    <t>031084</t>
  </si>
  <si>
    <t>MISION COMERCIAL DIRECTA A RUSIA</t>
  </si>
  <si>
    <t>TRES MESES CONTADOS DESDE EL DÍA SIGUIENTE DE LA PUBLICACIÓN DE LA CONVOCATORIA.</t>
  </si>
  <si>
    <t>SLRX</t>
  </si>
  <si>
    <t>031090</t>
  </si>
  <si>
    <t>FERIA IBERICA EXPO LONDON 2022</t>
  </si>
  <si>
    <t>SLSE</t>
  </si>
  <si>
    <t>031091</t>
  </si>
  <si>
    <t>ENCUENTRO EMPRESARIAL DE HABITAT B2B EN FRANCIA 2022</t>
  </si>
  <si>
    <t>SLSD</t>
  </si>
  <si>
    <t>031092</t>
  </si>
  <si>
    <t>SIAL PARIS</t>
  </si>
  <si>
    <t>SLSH</t>
  </si>
  <si>
    <t>031093</t>
  </si>
  <si>
    <t>PROMOCION EN PUNTO DE VENTA EN TIENDA ON-LINE IBERICA FOOD</t>
  </si>
  <si>
    <t>SLSI</t>
  </si>
  <si>
    <t>031104</t>
  </si>
  <si>
    <t>MISION COMERCIAL DIRECTA DE VINO EN COSTA DE MARFIL</t>
  </si>
  <si>
    <t>SLTC</t>
  </si>
  <si>
    <t>031113</t>
  </si>
  <si>
    <t>V2B WINE MEETING HANGZHOU</t>
  </si>
  <si>
    <t>TRES MESES CONTADOS DESDE EL DÍA SIGUIENTE DE LA PUBLICACIÓN DE LA CONVOCATORIA</t>
  </si>
  <si>
    <t>SLTY</t>
  </si>
  <si>
    <t>031114</t>
  </si>
  <si>
    <t>V2B WINE MEETING TIANJIN Y XIAMEN</t>
  </si>
  <si>
    <t>SERÁ DE TRES MESES CONTADOS DESDE EL DÍA SIGUIENTE DE LA PUBLICACIÓN DE LA CONVOCATORIA</t>
  </si>
  <si>
    <t>SLTZ</t>
  </si>
  <si>
    <t>031115</t>
  </si>
  <si>
    <t>MISION COMERCIAL DIRECTA NUEVA DELHI</t>
  </si>
  <si>
    <t>SLU0</t>
  </si>
  <si>
    <t>031116</t>
  </si>
  <si>
    <t>MISION COMERCIAL DIRECTA A EMIRATOS ARABES UNIDOS Y ARABIA SAUDI</t>
  </si>
  <si>
    <t>SLU1</t>
  </si>
  <si>
    <t>031117</t>
  </si>
  <si>
    <t>VISITA FERIA SUMMER FANCY FOOD SHOW</t>
  </si>
  <si>
    <t>SLU3</t>
  </si>
  <si>
    <t>031119</t>
  </si>
  <si>
    <t>PROMOCION EN PUNTO DE VENTA EN LA TIENDA ONLINE DE RIVERA WINE AND GOURMET</t>
  </si>
  <si>
    <t>EL PLAZO MÁXIMO PARA LA RESOLUCIÓN SERÁ DE TRES MESES CONTADOS DESDE EL DÍA SIGUIENTE DE LA PUBLICACIÓN DE LA CONVOCATORIA.</t>
  </si>
  <si>
    <t>SLU6</t>
  </si>
  <si>
    <t>031126</t>
  </si>
  <si>
    <t>MISION COMERCIAL DIRECTA A ECUADOR</t>
  </si>
  <si>
    <t>SLUG</t>
  </si>
  <si>
    <t>031134</t>
  </si>
  <si>
    <t>PROMOCION EN PUNTO DE VENTA EN MERCADOS ELECTRONICOS DE EEUU + PLATAFORMA LOGISTICA  2022</t>
  </si>
  <si>
    <t>SERÁ DE TRES MESES CONTADOS DESDE EL DÍA SIGUIENTE DE LA PUBLICACIÓN DE LA CONVOCATORIA.</t>
  </si>
  <si>
    <t>SLUY</t>
  </si>
  <si>
    <t>031136</t>
  </si>
  <si>
    <t>ACCEDE AL MERCADO ESTADOS UNIDOS 2022</t>
  </si>
  <si>
    <t>SLV1</t>
  </si>
  <si>
    <t>031137</t>
  </si>
  <si>
    <t>VISITA A LA FERIA DEL LIBRO DE FRANFURT 2022</t>
  </si>
  <si>
    <t>SLV2</t>
  </si>
  <si>
    <t>031138</t>
  </si>
  <si>
    <t>MISION COMERCIAL DIRECTA A REPUBLICA DOMINICANA Y PUERTO RICO 2022</t>
  </si>
  <si>
    <t>SLV3</t>
  </si>
  <si>
    <t>031141</t>
  </si>
  <si>
    <t>FERIA ISM MIDDLE EAST</t>
  </si>
  <si>
    <t>SLVA</t>
  </si>
  <si>
    <t>031142</t>
  </si>
  <si>
    <t>MISION COMERCIAL DIRECTA A RUMANIA SEGUNDA CONVOCATORIA</t>
  </si>
  <si>
    <t>SLVE</t>
  </si>
  <si>
    <t>031148</t>
  </si>
  <si>
    <t>MISION COMERCIAL DIRECTA A PAISES BAJOS</t>
  </si>
  <si>
    <t>SLVO</t>
  </si>
  <si>
    <t>031149</t>
  </si>
  <si>
    <t>MISION COMERCIAL DIRECTA A REINO UNIDO</t>
  </si>
  <si>
    <t>SLVP</t>
  </si>
  <si>
    <t>031150</t>
  </si>
  <si>
    <t>VISITA A LA FERIA SIAL PARIS 2022</t>
  </si>
  <si>
    <t>SLVQ</t>
  </si>
  <si>
    <t>031154</t>
  </si>
  <si>
    <t>B2B WINE ROAD SHOW JAPON Y COREA DEL SUR</t>
  </si>
  <si>
    <t>SLVV</t>
  </si>
  <si>
    <t>031155</t>
  </si>
  <si>
    <t>PRESENTACION DE PRODUCTOS EN PERU</t>
  </si>
  <si>
    <t>SLVY</t>
  </si>
  <si>
    <t>031156</t>
  </si>
  <si>
    <t>V2B FOOD MEETINGS BRASIL 2022</t>
  </si>
  <si>
    <t>SLVZ</t>
  </si>
  <si>
    <t>031157</t>
  </si>
  <si>
    <t>MISION COMERCIAL DIRECTA A JAPON Y COREA DEL SUR</t>
  </si>
  <si>
    <t>SLW5</t>
  </si>
  <si>
    <t>031159</t>
  </si>
  <si>
    <t>FERIA RESTAURANT AND BAR HONG KONG</t>
  </si>
  <si>
    <t>SLW6</t>
  </si>
  <si>
    <t>031162</t>
  </si>
  <si>
    <t>B2B WINE ROADSHOW FILIPINAS Y VIETNAM</t>
  </si>
  <si>
    <t>SLWA</t>
  </si>
  <si>
    <t>031163</t>
  </si>
  <si>
    <t>MISION COMERCIAL DIRECTA A CAMERUN Y GABON 2022</t>
  </si>
  <si>
    <t>SLWC</t>
  </si>
  <si>
    <t>031164</t>
  </si>
  <si>
    <t>B2B WINE ROADSHOW INDONESIA Y TAIWAN</t>
  </si>
  <si>
    <t>SLWF</t>
  </si>
  <si>
    <t>031169</t>
  </si>
  <si>
    <t>V2B WINE MEETING WUHAN 2022</t>
  </si>
  <si>
    <t>SLWK</t>
  </si>
  <si>
    <t>031171</t>
  </si>
  <si>
    <t>ACCESS TO MARKET WINE USA 2022</t>
  </si>
  <si>
    <t>SLWM</t>
  </si>
  <si>
    <t>031174</t>
  </si>
  <si>
    <t>EXPOSICION DE PRODUCTOS EN MEXICO</t>
  </si>
  <si>
    <t>SLWU</t>
  </si>
  <si>
    <t>031179</t>
  </si>
  <si>
    <t>PROMOCION PUNTO DE VENTA VINO:GRUPO CORNERS DELI CHINA</t>
  </si>
  <si>
    <t>SLX2</t>
  </si>
  <si>
    <t>031188</t>
  </si>
  <si>
    <t>FERIA FOOD EXPO GREECE</t>
  </si>
  <si>
    <t>SLXJ</t>
  </si>
  <si>
    <t>031195</t>
  </si>
  <si>
    <t>B2B WINE MEETING SUIZA</t>
  </si>
  <si>
    <t>SLY0</t>
  </si>
  <si>
    <t>031202</t>
  </si>
  <si>
    <t>PRESENTACION DE PRODUCTO VINO SINGAPUR Y HONG KONG</t>
  </si>
  <si>
    <t>SLYQ</t>
  </si>
  <si>
    <t>031203</t>
  </si>
  <si>
    <t>IMPULSA TU EMPRESA EN EEUU</t>
  </si>
  <si>
    <t>SLYU</t>
  </si>
  <si>
    <t>036117</t>
  </si>
  <si>
    <t>FERIA ANUGA, DIRIGIDA A EMPRESAS EXPOSITORAS.</t>
  </si>
  <si>
    <t>SLN3</t>
  </si>
  <si>
    <t>036118</t>
  </si>
  <si>
    <t>VISITA FERIA ANUGA, DIRIGIDA A EMPRESAS VISITANTES DE LA FERIA (NO EXPOSITORAS)</t>
  </si>
  <si>
    <t>SLN4</t>
  </si>
  <si>
    <t>036153</t>
  </si>
  <si>
    <t>VISITA FERIA MICAM I SHOE EVENT MILAN (NO EXPOSITORES)</t>
  </si>
  <si>
    <t>SLRV</t>
  </si>
  <si>
    <t>036154</t>
  </si>
  <si>
    <t>MICAM II SHOE EVENT MILAN , (DIRIGIDA A EMPRESAS EXPOSITORAS).</t>
  </si>
  <si>
    <t>SLSA</t>
  </si>
  <si>
    <t>110041</t>
  </si>
  <si>
    <t>PROCESO DE SELECCION PARA  LA CONTRATACION EN REGIMEN LABORAL DE UN/A TECNICO/A DE COMERCIO EXTERIOR EN EL IPEX.</t>
  </si>
  <si>
    <t>SLC2</t>
  </si>
  <si>
    <t>110043</t>
  </si>
  <si>
    <t>PROCESO DE SELECCION PARA  LA CONTRATACION EN REGIMEN LABORAL DE E UN/A GESTOR/A DE PROYECTOS PARA EL DEPARTAMENTO DE CAPTACION DE INVERSION EXTRANJERA DEL IPEX.</t>
  </si>
  <si>
    <t>SLFL</t>
  </si>
  <si>
    <t>020238</t>
  </si>
  <si>
    <t>EJERCICIO DE LOS DERECHOS DE ACCESO, RECTIFICACION, OPOSICION, LIMITACION, PORTABILIDAD, SUPRESION Y DECISIONES AUTOMATIZADAS A LOS TRATAMIENTOS DEL SESCAM (EXCLUIDOS LOS DATOS SANITARIOS)</t>
  </si>
  <si>
    <t>SERVICIO DE SALUD DE CASTILLA-LA MANCHA (SESCAM)</t>
  </si>
  <si>
    <t>DIRECCION GERENCIA SESCAM - SERVICIO DE SALUD DE CASTILLA-LA MANCHA (SESCAM)</t>
  </si>
  <si>
    <t>SKLN</t>
  </si>
  <si>
    <t>030357</t>
  </si>
  <si>
    <t>AYUDAS POR DESPLAZAMIENTOS Y MANUTENCION.</t>
  </si>
  <si>
    <t>SISW</t>
  </si>
  <si>
    <t>030362</t>
  </si>
  <si>
    <t>CURSOS DE FORMACION CONTINUADA</t>
  </si>
  <si>
    <t>DESDE FECHA DE SOLICITUD DE MATRICULACIÓN HASTA LA FECHA DE  INICIO DEL CURSO</t>
  </si>
  <si>
    <t>DIRECCION GENERAL RECURSOS HUMANOS - SERVICIO DE SALUD DE CASTILLA-LA MANCHA (SESCAM)</t>
  </si>
  <si>
    <t>SJOJ</t>
  </si>
  <si>
    <t>040230</t>
  </si>
  <si>
    <t>CORRECCIÓN DE DATOS RELATIVOS APORTACIÓN FARMACÉUTICA</t>
  </si>
  <si>
    <t>DIRECCION GENERAL ASISTENCIA SANITARIA - SERVICIO DE SALUD DE CASTILLA-LA MANCHA (SESCAM)</t>
  </si>
  <si>
    <t>SJTD</t>
  </si>
  <si>
    <t>040268</t>
  </si>
  <si>
    <t>EMISION DE INFORMES Y CERTIFICADOS DEL SERVICIO DE SALUD DE CASTILLA-LA MANCHA</t>
  </si>
  <si>
    <t>SK91</t>
  </si>
  <si>
    <t>040311</t>
  </si>
  <si>
    <t>ACREDITACION DE TUTORES DE FORMACION SANITARIA ESPECIALIZADA DE CASTILLA-LA MANCHA</t>
  </si>
  <si>
    <t>SKPJ</t>
  </si>
  <si>
    <t>040320</t>
  </si>
  <si>
    <t>INFORME DE USO DE UN DESFIBRILADOR EXTERNO AUTOMATIZADO (DEA) FUERA DEL AMBITO SANITARIO</t>
  </si>
  <si>
    <t>BKU7</t>
  </si>
  <si>
    <t>095353</t>
  </si>
  <si>
    <t>SUGERENCIAS,AGRADECIMIENTOS E INICIATIVAS RELATIVAS AL SESCAM</t>
  </si>
  <si>
    <t>30 DÍAS</t>
  </si>
  <si>
    <t>DIRECCION GENERAL CUIDADOS Y CALIDAD - DIRECCION GENERAL ASISTENCIA SANITARIA - SERVICIO DE SALUD DE CASTILLA-LA MANCHA (SESCAM)</t>
  </si>
  <si>
    <t>SJGR</t>
  </si>
  <si>
    <t>095354</t>
  </si>
  <si>
    <t>RECLAMACIONES Y QUEJAS RELATIVAS AL SESCAM</t>
  </si>
  <si>
    <t>SJGS</t>
  </si>
  <si>
    <t>110032</t>
  </si>
  <si>
    <t>ESTABILIZACION DE EMPLEO DEL PERSONAL ESTATUTARIO DEL SERVICIO DE SALUD DE CASTILLA-LA MANCHA</t>
  </si>
  <si>
    <t>SKL6</t>
  </si>
  <si>
    <t>110040</t>
  </si>
  <si>
    <t>OFERTA Y ADJUDICACION DE DESTINOS DERIVADOS DE LOS PROCESOS SELECTIVOS DEL PERSONAL ESTATUTARIO DEL SERVICIO DE SALUD DE CASTILLA-LA MANCHA.</t>
  </si>
  <si>
    <t>SL6J</t>
  </si>
  <si>
    <t>110054</t>
  </si>
  <si>
    <t>SOLICITUD DE BAJA DE CATEGORIA DE BOLSA DE SELECCION DE PERSONAL TEMPORAL DEL SESCAM.</t>
  </si>
  <si>
    <t>SLKA</t>
  </si>
  <si>
    <t>110105</t>
  </si>
  <si>
    <t>PROVISION MEDIANTE NOMBRAMIENTO ESTATUTARIO TEMPORAL DE TRES PLAZAS DE MEDICO/A PEAC (PERSONAL ESTATUTARIO DE ATENCION CONTINUADA) EN LA GERENCIA DE ATENCION INTEGRADA DE VALDEPEÑAS</t>
  </si>
  <si>
    <t>SLYW</t>
  </si>
  <si>
    <t>110106</t>
  </si>
  <si>
    <t>PROVISION MEDIANTE NOMBRAMIENTO ESTATUTARIO TEMPORAL, INTERINIDAD, DE UNA PLAZA DE MEDICO FACULTATIVO ESPECIALISTA DE AREA HEMATOLOGIA - HEMOTERAPIA, EN LA GAI TALAVERA DE LA REINA. SESCAM.</t>
  </si>
  <si>
    <t>GERENCIA DE ATENCION INTEGRADA TALAVERA DE LA REINA-HOSPITAL NTRA SRA DEL PRADO - SERVICIO DE SALUD DE CASTILLA-LA MANCHA (SESCAM)</t>
  </si>
  <si>
    <t>SLZ6</t>
  </si>
  <si>
    <t>110108</t>
  </si>
  <si>
    <t>PROVISION MEDIANTE NOMBRAMIENTO ESTATUTARIO TEMPORAL, INTERINIDAD, DE UNA PLAZA DE MEDICO FACULTATIVO ESPECIALISTA DE AREA ANALISIS CLINICOS, EN LA GAI TALAVERA DE LA REINA. SESCAM.</t>
  </si>
  <si>
    <t>EL PLAZO MÁXIMO PARA LA RESOLUCIÓN DE LA CONVOCATORIA SERÁ DE 3 MESES,  CONTADOS A PARTIR DEL DÍA SIGUIENTE A LA PUBLICACIÓN DE LA CONVOCATORIA.</t>
  </si>
  <si>
    <t>SLZ8</t>
  </si>
  <si>
    <t>115355</t>
  </si>
  <si>
    <t>PROCESOS DE SELECCION DEL PERSONAL ESTATUTARIO FIJO DE LAS INSTITUCIONES SANITARIAS DEL SERVICIO DE SALUD DE CASTILLA-LA MANCHA.</t>
  </si>
  <si>
    <t>SJC2</t>
  </si>
  <si>
    <t>115356</t>
  </si>
  <si>
    <t>SUBSANACION DE SOLICITUDES PRESENTADAS PARA PARTICIPAR EN LOS PROCESOS SELECTIVOS DE PERSONAL ESTATUTARIO FIJO DEL SESCAM</t>
  </si>
  <si>
    <t>SKWA</t>
  </si>
  <si>
    <t>115357</t>
  </si>
  <si>
    <t>SOLICITUD DE EXCLUSION TEMPORAL VOLUNTARIA</t>
  </si>
  <si>
    <t>SKR1</t>
  </si>
  <si>
    <t>115358</t>
  </si>
  <si>
    <t>SOLICITUD DE REINGRESO TRAS EXCLUSION TEMPORAL EN BOLSA DE TRABAJO</t>
  </si>
  <si>
    <t>SKR3</t>
  </si>
  <si>
    <t>115359</t>
  </si>
  <si>
    <t>SOLICITUD DE SUSPENSION TEMPORAL</t>
  </si>
  <si>
    <t>SKR2</t>
  </si>
  <si>
    <t>115360</t>
  </si>
  <si>
    <t>SOLICITUD DE REINGRESO TRAS SUSPENSION TEMPORAL / NO DISPONIBILIDAD</t>
  </si>
  <si>
    <t>SKR4</t>
  </si>
  <si>
    <t>115361</t>
  </si>
  <si>
    <t>SOLICITUD DE NO DISPONIBILIDAD</t>
  </si>
  <si>
    <t>SKXK</t>
  </si>
  <si>
    <t>115362</t>
  </si>
  <si>
    <t>SOLICITUD DE RECLAMACION Y/O SUBSANACION A LOS LISTADOS PROVISIONALES DE LA BOLSA DE TRABAJO DEL SESCAM</t>
  </si>
  <si>
    <t>SL00</t>
  </si>
  <si>
    <t>115363</t>
  </si>
  <si>
    <t>PROCESOS DE SELECCION DE PERSONAL TEMPORAL DE IISS DEL SESCAM (BOLSAS DE TRABAJO)</t>
  </si>
  <si>
    <t>RJC1, SJC1</t>
  </si>
  <si>
    <t>116189</t>
  </si>
  <si>
    <t>SOLICITUD PROVISION DE JEFATURA DE CARACTER ASISTENCIAL DEL SESCAM. JEFATURA DE SERVICIO DE PEDIATRIA. GAI DE ALCAZAR DE SAN JUAN</t>
  </si>
  <si>
    <t>GERENCIA ATENCION INTEGRADA ALCAZAR DE SAN JUAN - HOSPITAL LA MANCHA CENTRO - SERVICIO DE SALUD DE CASTILLA-LA MANCHA (SESCAM)</t>
  </si>
  <si>
    <t>SLX8</t>
  </si>
  <si>
    <t>116201</t>
  </si>
  <si>
    <t>PROVISION DE JEFATURA DE CARACTER ASISTENCIAL DEL SERVICIO DE SALUD DE CASILLA-LA MANCHA. JEFATURA DE SECCION DE NEUROLOGIA. GERENCIA DE ATENCION INTEGRADA ALBACETE.</t>
  </si>
  <si>
    <t>GERENCIA ATENCION INTEGRADA ALBACETE-COMPLEJO HOSPITALARIO UNIVERSITARIO - SERVICIO DE SALUD DE CASTILLA-LA MANCHA (SESCAM)</t>
  </si>
  <si>
    <t>SLY8</t>
  </si>
  <si>
    <t>120019</t>
  </si>
  <si>
    <t>SEGUNDA OPINION MEDICA</t>
  </si>
  <si>
    <t>SIU1</t>
  </si>
  <si>
    <t>120022</t>
  </si>
  <si>
    <t>CITA PREVIA CON SU MEDICO DE CABECERA, PEDIATRA O ENFERMERO</t>
  </si>
  <si>
    <t>SJBZ</t>
  </si>
  <si>
    <t>120023</t>
  </si>
  <si>
    <t>TRAMITACIÓN DE LA TARJETA SANITARIA</t>
  </si>
  <si>
    <t>SJI1</t>
  </si>
  <si>
    <t>120044</t>
  </si>
  <si>
    <t>CONVENIO ESPECIAL DE PRESTACION DE ASISTENCIA SANITARIA</t>
  </si>
  <si>
    <t>SECRETARIA GENERAL SESCAM - SERVICIO DE SALUD DE CASTILLA-LA MANCHA (SESCAM)</t>
  </si>
  <si>
    <t>SK34</t>
  </si>
  <si>
    <t>120047</t>
  </si>
  <si>
    <t>LIBRE ELECCION  EN AMBITO DE LA ATENCION PRIMARIA EN LAS PRESTACIONES DEL SERVICIO DE SALUD DE CASTILLA-LA MANCHA</t>
  </si>
  <si>
    <t>SKCP</t>
  </si>
  <si>
    <t>120048</t>
  </si>
  <si>
    <t>LIBRE ELECCION EN EL AMBITO DE LA ATENCION ESPECIALIZADA EN LAS PRESTACIONES DEL SERVICIO DE SALUD DE CASTILLA LA MANCHA</t>
  </si>
  <si>
    <t>SKCU</t>
  </si>
  <si>
    <t>120052</t>
  </si>
  <si>
    <t>AUTORIZACION PREVIA A LA ASISTENCIA SANITARIA TRANSFRONTERIZA.</t>
  </si>
  <si>
    <t>45 DÍAS A PARTIR DE LA FECHA DE RECEPCIÓN DE LA SOLICITUD.</t>
  </si>
  <si>
    <t>SKZS</t>
  </si>
  <si>
    <t>120055</t>
  </si>
  <si>
    <t>PROCEDIMIENTO DE ADHESION Y DE BAJA DE ESTABLECIMIENTOS DISPENSADORES DE MATERIAL ORTOPROTESICO EN CASTILLA-LA MANCHA.</t>
  </si>
  <si>
    <t>SL7I</t>
  </si>
  <si>
    <t>125689</t>
  </si>
  <si>
    <t>COMUNICACION DE MODIFICACION DE REQUISITOS PARA LA INCLUSION EN EL SISTEMA SANITARIO PUBLICO DE CASTILLA-LA MANCHA</t>
  </si>
  <si>
    <t>MKKO</t>
  </si>
  <si>
    <t>125690</t>
  </si>
  <si>
    <t>SOLICITUD DE TARJETA PARA LA ATENCION SANITARIA EN EL SESCAM</t>
  </si>
  <si>
    <t>SKKN</t>
  </si>
  <si>
    <t>125918</t>
  </si>
  <si>
    <t>REINTEGRO DE GASTOS POR ASISTENCIA SANITARIA TRANSFRONTERIZA</t>
  </si>
  <si>
    <t>SKZL</t>
  </si>
  <si>
    <t>125919</t>
  </si>
  <si>
    <t>REINTEGRO DE GASTOS POR ASISTENCIA SANITARIA URGENTE, INMEDIATA Y DE CARACTER VITAL.</t>
  </si>
  <si>
    <t>SISY</t>
  </si>
  <si>
    <t>125920</t>
  </si>
  <si>
    <t>REINTEGRO DE GASTOS POR PRESTACION ORTOPROTESICA</t>
  </si>
  <si>
    <t>SISV</t>
  </si>
  <si>
    <t>125921</t>
  </si>
  <si>
    <t>REINTEGRO DE GASTOS POR SALUD BUCODENTAL</t>
  </si>
  <si>
    <t>SJC3</t>
  </si>
  <si>
    <t>125922</t>
  </si>
  <si>
    <t>REINTEGRO DE GASTOS POR ADQUISICION DE MEDICAMENTOS Y EFECTOS Y ACCESORIOS PARA PACIENTES MENORES DE EDAD AFECTADOS POR DISCAPACIDAD IGUAL O SUPERIOR AL 33%.</t>
  </si>
  <si>
    <t>SL2R</t>
  </si>
  <si>
    <t>125923</t>
  </si>
  <si>
    <t>PROCEDIMIENTO DE REINTEGRO DE GASTOS POR ATENCION PODOLOGICA DEL PIE DIABETICO (QUIROPODIA BASICA)</t>
  </si>
  <si>
    <t>SL88</t>
  </si>
  <si>
    <t>170009</t>
  </si>
  <si>
    <t>REINTEGRO DE GASTOS POR APORTACIONES EN LA PRESTACION FARMACEUTICA AMBULATORIA</t>
  </si>
  <si>
    <t>SJCY</t>
  </si>
  <si>
    <t>180043</t>
  </si>
  <si>
    <t>EXENCION DE JORNADA COMPLEMENTARIA EN HORARIO DE ATENCION CONTINUADA POR GUARDIAS DEL PERSONAL DE IISS SESCAM</t>
  </si>
  <si>
    <t>3 meses</t>
  </si>
  <si>
    <t>SJPE</t>
  </si>
  <si>
    <t>180044</t>
  </si>
  <si>
    <t>DECLARACION DE SITUACIONES ADMINISTRATIVAS PERSONAL IISS SESCAM</t>
  </si>
  <si>
    <t>SJPF</t>
  </si>
  <si>
    <t>180046</t>
  </si>
  <si>
    <t>RECONOCIMIENTO DE SERVICIOS PREVIOS TRIENIOS DEL PERSONAL DE IISS SESCAM</t>
  </si>
  <si>
    <t>SJPG</t>
  </si>
  <si>
    <t>180047</t>
  </si>
  <si>
    <t>PROCEDIMIENTO DE TRAMITACIÓN Y CONCESIÓN DE ANTICIPOS DE RETRIBUCIONES DEL PERSONAL ESTATUTARIO DEL SESCAM</t>
  </si>
  <si>
    <t>1 mes</t>
  </si>
  <si>
    <t>SJPH</t>
  </si>
  <si>
    <t>180048</t>
  </si>
  <si>
    <t>AUTORIZACION DE COMPATIBILIDAD PARA SEGUNDA ACTIVIDAD PUBLICA  DEL PERSONAL DE IISS SESCAM</t>
  </si>
  <si>
    <t>SJPI</t>
  </si>
  <si>
    <t>180049</t>
  </si>
  <si>
    <t>AUTORIZACION DE COMPATIBILIDAD PARA SEGUNDA ACTIVIDAD PRIVADA DEL PERSONAL DEL IISS SESCAM</t>
  </si>
  <si>
    <t>SJPK</t>
  </si>
  <si>
    <t>180050</t>
  </si>
  <si>
    <t>REINGRESO AL SERVICIO ACTIVO SESCAM</t>
  </si>
  <si>
    <t>SJPL</t>
  </si>
  <si>
    <t>180060</t>
  </si>
  <si>
    <t>AUTORIZACION DE COMISIONES DE SERVICIOS Y SUS PRORROGAS DEL PERSONAL DE  IISS SESCAM</t>
  </si>
  <si>
    <t>SJOQ</t>
  </si>
  <si>
    <t>180087</t>
  </si>
  <si>
    <t>PROCESOS DE PROVISION DE JEFATURAS ASISTENCIALES DE IISS DEL SESCAM</t>
  </si>
  <si>
    <t>3 M., EXCEPTO  AMPLIACIÓN A 4 M.  Y MEDIO, CASOS PUBLICADOS EN  DOCM 28/02/2019, 22/03/2019, 29/03/2019 Y 17/04/2019</t>
  </si>
  <si>
    <t>SKDO</t>
  </si>
  <si>
    <t>180097</t>
  </si>
  <si>
    <t>PROVISION DE PUESTOS DE TRABAJO POR EL PROCEDIMIENTO DE LIBRE DESIGNACION L.D. SESCAM F2/2022 (PERSONAL FUNCIONARIO)</t>
  </si>
  <si>
    <t>SKCZ</t>
  </si>
  <si>
    <t>180107</t>
  </si>
  <si>
    <t>PROVISION DE  PUESTOS DE PERSONAL DIRECTIVO DE LAS INSTITUCIONES SANITARIAS DEL SERVICIO DE SALUD DE CASTILLA-LA MANCHA. 3/2022.</t>
  </si>
  <si>
    <t>SKEL</t>
  </si>
  <si>
    <t>180125</t>
  </si>
  <si>
    <t>TELETRABAJO DEL PERSONAL DE CENTROS E INSTITUCIONES SANITARIAS DEL SESCAM</t>
  </si>
  <si>
    <t>SK6N</t>
  </si>
  <si>
    <t>180159</t>
  </si>
  <si>
    <t>APLICACION DEL ARTICULO 13.5 DE LA LEY ORGANICA 1/1996, DE 15 DE ENERO, DE PROTECCION JURIDICA DEL MENOR A LOS PROFESIONALES PERTENECIENTES AL SERVICIO DE SALUD DE CASTILLA-LA MANCHA</t>
  </si>
  <si>
    <t>SKNO</t>
  </si>
  <si>
    <t>180169</t>
  </si>
  <si>
    <t>CONCURSO PERMANENTE PARA LA PROVISION DE PUESTOS DE TRABAJO DE LA ESCALA SUPERIOR DE SANITARIOS LOCALES, ESPECIALIDAD DE MEDICINA</t>
  </si>
  <si>
    <t>LA ADJUDICACIÓN DE  PUESTOS,  CONDICIONADA A QUE LOS MISMOS QUEDEN VACANTES, SE EFECTUARÁ MEDIANTE EL SISTEMA DE RESULTAS.</t>
  </si>
  <si>
    <t>SIJD</t>
  </si>
  <si>
    <t>180199</t>
  </si>
  <si>
    <t>SUBSANACION DEFECTOS PROVISION DE PUESTOS DE TRABAJO POR EL SISTEMA DE CONCURSO DE TRASLADOS PERSONAL ESTATUTARIO (FACULTATIVO)</t>
  </si>
  <si>
    <t>RLKL</t>
  </si>
  <si>
    <t>180200</t>
  </si>
  <si>
    <t>SUBSANACION DEFECTOS PROVISION DE PUESTOS DE TRABAJO POR EL SISTEMA DE CONCURSO DE TRASLADOS PERSONAL ESTATUTARIO PERSONAL SANITARIO DE GRADO, DIPLOMADO Y TECNICO Y PERSONAL DE GESTION Y SERVICIOS</t>
  </si>
  <si>
    <t>RLKM</t>
  </si>
  <si>
    <t>180212</t>
  </si>
  <si>
    <t>CONCURSO PERMANENTE PARA LA PROVISION DE PUESTOS DE TRABAJO DE LA ESCALA TECNICA DE SANITARIOS LOCALES DE LA ADMINISTRACION DE LA JUNTA DE COMUNIDADES DE CASTILLA-LA MANCHA.</t>
  </si>
  <si>
    <t>SLLH</t>
  </si>
  <si>
    <t>180220</t>
  </si>
  <si>
    <t>PROVISION DE LA JEFATURA DE SERVICIO DE DERMATOLOGIA MEDICO-QUIRURGICA Y VENEREOLOGIA. GERENCIA DE ATENCION INTEGRADA DE ALBACETE</t>
  </si>
  <si>
    <t>SLOT</t>
  </si>
  <si>
    <t>180228</t>
  </si>
  <si>
    <t>MOVILIDAD INTERNA VOLUNTARIA EN EL AMBITO DE LA ATENCION PRIMARIA DEL SERVICIO DE SALUD DE CASTILLA-LA MANCHA (SESCAM)</t>
  </si>
  <si>
    <t>SLS4</t>
  </si>
  <si>
    <t>180229</t>
  </si>
  <si>
    <t>MOVILIDAD INTERNA VOLUNTARIA EN EL AMBITO DE LA GERENCIA DE URGENCIAS, EMERGENCIAS Y TRANSPORTE SANITARIO (GUETS)</t>
  </si>
  <si>
    <t>SLS5</t>
  </si>
  <si>
    <t>180256</t>
  </si>
  <si>
    <t>PROVISION DE LA JEFATURA DE SECCION DE NEUROLOGIA  EN LA GERENCIA DE ATENCION ESPECIALIZADA DEL HOSPITAL NACIONAL DE PARAPLEJICOS. SESCAM</t>
  </si>
  <si>
    <t>GERENCIA HOSPITAL NACIONAL DE PARAPLEJICOS - SERVICIO DE SALUD DE CASTILLA-LA MANCHA (SESCAM)</t>
  </si>
  <si>
    <t>SLZ0</t>
  </si>
  <si>
    <t>185594</t>
  </si>
  <si>
    <t>PROCESOS DE PROVISION DEL PERSONAL  DE II.SS DEL SESCAM. PERSONAL FACULTATIVO.</t>
  </si>
  <si>
    <t>SKA2</t>
  </si>
  <si>
    <t>185595</t>
  </si>
  <si>
    <t>SOLICITUD SUBSANACION DE LOS DEFECTOS MOTIVO DE EXCLUSION EN EL CONCURSO DE TRASLADOS PARA LA PROVISION DE PLAZAS DE PERSONAL ESTATUTARIO DEL SESCAM</t>
  </si>
  <si>
    <t>SL0Z</t>
  </si>
  <si>
    <t>185596</t>
  </si>
  <si>
    <t>PROCESO DE PROVISION PERSONAL ESTATUTARIO FACULTATIVO ESPECIALISTA DE AREA Y ATENCION PRIMARIA</t>
  </si>
  <si>
    <t>SKWS</t>
  </si>
  <si>
    <t>185597</t>
  </si>
  <si>
    <t>PROCESO DE PROVISION DE PERSONAL ESTATUTARIO SANITARIO DE GRADO/DIPLOMADO Y SANITARIO TECNICO Y GESTION Y SERVICIOS.</t>
  </si>
  <si>
    <t>SKWT</t>
  </si>
  <si>
    <t>185598</t>
  </si>
  <si>
    <t>RECLAMACION CONTRA ADJUDICACION PROVISIONAL DE DESTINOS DEL CONCURSO DE TRASLADOS PERSONAL ESTATUTARIO DEL SESCAM, FACULTATIVO ESPECIALISTA DE AREA Y ATENCION PRIMARIA.</t>
  </si>
  <si>
    <t>RL3K</t>
  </si>
  <si>
    <t>185599</t>
  </si>
  <si>
    <t>RECLAMACION ADJUDICACION PROVISIONAL DE DESTINOS DEL CONCURSO DE TRASLADOS PARA LA PROVISION DE PLAZAS DE PERSONAL ESTATUTARIO SANITARIO NO FACULTATIVO Y PERSONAL DE GESTION Y SERVICIOS.</t>
  </si>
  <si>
    <t>RL76</t>
  </si>
  <si>
    <t>185896</t>
  </si>
  <si>
    <t>LISTADOS PROVISIONALES DE ADMITIDOS Y EXCLUIDOS CONCURSO PERSONAL ESTATUTARIO</t>
  </si>
  <si>
    <t>SL16</t>
  </si>
  <si>
    <t>185897</t>
  </si>
  <si>
    <t>SOLICITUD DE SUBSANACION DE DEFECTOS A LA PROVISION DE PUESTOS DE PERSONAL ESTATUTARIO SANITARIO, NO FACULTATIVO Y PERSONAL DE GESTION Y SERVICIOS DEL SESCAM</t>
  </si>
  <si>
    <t>SL1S</t>
  </si>
  <si>
    <t>185898</t>
  </si>
  <si>
    <t>SUBSANACION  DE EXCLUSION EN EL CONCURSO DE TRASLADOS PARA LA PROVISION DE PLAZAS DE PERSONAL ESTATUTARIO DEL SESCAM NO FACULTATIVO CATEGORIA GESTION Y SERVICIOS</t>
  </si>
  <si>
    <t>SL2S</t>
  </si>
  <si>
    <t>186050</t>
  </si>
  <si>
    <t>RECLAMACION A LA RELACION PROVISIONAL DE ADMITIDOS Y EXCLUIDOS APROBADA POR COMISION DE VALORACION PARA LA PROVISION DE LA JEFATURA DE Sº DE ANESTESIOLOGIA Y REANIMACION EN LA GAI DE CIUDAD REAL.</t>
  </si>
  <si>
    <t>GERENCIA ATENCION INTEGRADA CIUDAD REAL - HOSPITAL GENERAL UNIVERSITARIO - SERVICIO DE SALUD DE CASTILLA-LA MANCHA (SESCAM)</t>
  </si>
  <si>
    <t>RLHI</t>
  </si>
  <si>
    <t>186051</t>
  </si>
  <si>
    <t>RECLAMACION CONTRA EL ACUERDO PROVISIONAL DE LA COMISION DE VALORACION SOBRE EL RESULTADO PROVISIONAL DE LA CONVOCATORIA DE JEFE DE SERVICIO DE ANESTESIOLOGIA Y REANIMACION. GAI  DE CIUDAD REAL</t>
  </si>
  <si>
    <t>RLHJ</t>
  </si>
  <si>
    <t>186082</t>
  </si>
  <si>
    <t>RECLAMACION RELACION PROVISIONAL PERSONAS ADMITIDAS Y EXCLUIDAS APROBADA POR COMISION DE VALORACION PARA LA PROVISION JEFATURA DE SERVICIO DE NEUMOLOGIA. GAE HNP.</t>
  </si>
  <si>
    <t>RLL0</t>
  </si>
  <si>
    <t>186083</t>
  </si>
  <si>
    <t>RECLAMACION CONTRA EL ACUERDO PROVISIONAL COMISION DE VALORACION SOBRE EL RESULTADO PROVISIONAL  CONVOCATORIA DE JEFATURA DE SERVICIO DE NEUMOLOGIA. GAE  HNP.</t>
  </si>
  <si>
    <t>RLL1</t>
  </si>
  <si>
    <t>186097</t>
  </si>
  <si>
    <t>SEGUNDA CONVOCATORIA JEFATURA DE SECCION DE MEDICINA FISICA Y REHABILITACION . GERENCIA DE HOSPITAL NACIONAL DE PARAPLEJICOS.</t>
  </si>
  <si>
    <t>SLM3</t>
  </si>
  <si>
    <t>186098</t>
  </si>
  <si>
    <t>RECLAMACION A  RELACION PROVISIONAL  ADMITIDOS/AS Y EXCLUIDOS/AS APROBADA POR COMISION DE VALORACION PARA LA  2ª PROVISION DE JEFE/A DE SECCION DE MED. FISICA Y REHABILITACION. HNP</t>
  </si>
  <si>
    <t>RLM4</t>
  </si>
  <si>
    <t>186099</t>
  </si>
  <si>
    <t>RECLAMACION CONTRA EL ACUERDO PROVISIONAL DE COMISION DE VALORACION SOBRE RESULTADO PROVISIONAL DE CONVOCATORIA DE JEFE/A DE SECCION DE MED FISICA Y REHABILITACION H.N. PARAPLEJICOS.</t>
  </si>
  <si>
    <t>RLM5</t>
  </si>
  <si>
    <t>186114</t>
  </si>
  <si>
    <t>PROVISION DE JEFATURA DE CARACTER ASISTENCIAL DEL SERVICIO DE SALUD DE CASTILLA LA MANCHA. JEFATURA DE SECCION DE OBSTETRICIA Y GINECOLOGIA. GERENCIA A. INTEGRADA DE ALCAZAR DE SAN JUAN (SESCAM)</t>
  </si>
  <si>
    <t>SLMW</t>
  </si>
  <si>
    <t>186115</t>
  </si>
  <si>
    <t>RECLAMACION A LA RELACION PROVISIONAL DE PERSONAS ADMITIDAS Y EXCLUIDAS APROBADA POR COMISION VALORACION JEFATURA DE SECCION DE OBSTETRICIA Y GINECOLOGIA.GAI ALCAZAR DE SAN JUAN</t>
  </si>
  <si>
    <t>RLMX</t>
  </si>
  <si>
    <t>186116</t>
  </si>
  <si>
    <t>RECLAMACION CONTRA EL ACUERDO DE LA COMISION DE VALORACION SOBRE EL RESULTADO PROVISIONAL DE LA CONVOCATORIA DE JEFE DE SECCION DE OBST Y GINEC. GAI DE ALCAZAR SAN JUAN.</t>
  </si>
  <si>
    <t>RLMY</t>
  </si>
  <si>
    <t>186133</t>
  </si>
  <si>
    <t>RECLAMACION A LA RELACION PROVISIONAL DE PERSONAS ADMITIDAS Y EXCLUIDAS APROBADA POR COMISION VALORACION JEFATURA DE SERVICIO DE MEDICINA INTENSIVA. GERENCIA DE ATENCION INTEGRADA DE ALBACETE.</t>
  </si>
  <si>
    <t>SLOQ</t>
  </si>
  <si>
    <t>186134</t>
  </si>
  <si>
    <t>RECLAMACION CONTRA EL ACUERDO DE LA COMISION DE VALORACION SOBRE EL RESULTADO PROVISIONAL DE LA CONVOCATORIA DE LA JEFATURA DE SERVICIO DE MEDICINA INTENSIVA DE LA GAI DE ALBACETE (SESCAM).</t>
  </si>
  <si>
    <t>SLOR</t>
  </si>
  <si>
    <t>186135</t>
  </si>
  <si>
    <t>RECLAMACION A LA RELACION PROVISIONAL DE PERSONAS ADMITIDAS Y EXCLUIDAS APROBADA POR LA COMISION VALORACION JEFATURA DE SERVICIO DE OBSTETRICIA Y GINECOLOGIA. GAI DE ALBACETE</t>
  </si>
  <si>
    <t>RLOW</t>
  </si>
  <si>
    <t>186136</t>
  </si>
  <si>
    <t>RECLAMACION CONTRA EL ACUERDO DE LA COMISION DE VALORACION SOBRE EL RESULTADO PROVISIONAL DE LA CONVOCATORIA DE LA JEFATURA DE SERVICIO DE OBSTETRICIA Y GINECOLOGIA. GAI DE ALBACETE (SESCAM)</t>
  </si>
  <si>
    <t>RLOX</t>
  </si>
  <si>
    <t>186166</t>
  </si>
  <si>
    <t>PROVISION DE JEFATURA DE CARACTER ASISTENCIAL DEL SERVICIO DE SALUD DE CASILLA-LA MANCHA. JEFATURA DE SERVICIO DE CARDIOLOGIA, GERENCIA ATENCION INTEGRADA DE CIUDAD REAL.</t>
  </si>
  <si>
    <t>CUATRO MESES Y MEDIO.</t>
  </si>
  <si>
    <t>SLTR</t>
  </si>
  <si>
    <t>186167</t>
  </si>
  <si>
    <t>RECLAMACION A LA RELACION PROVISIONAL DE ADMITIDOS Y EXCLUIDOS APROBADA POR COMISION DE VALORACION EN LA PROVISION DE LA JEFATURA DE SERVICIO DE CARDIOLOGIA GAI DE CIUDAD REAL.</t>
  </si>
  <si>
    <t>RLTS</t>
  </si>
  <si>
    <t>186168</t>
  </si>
  <si>
    <t>RECLAMACION CONTRA EL ACUERDO PROVISIONAL DE LA COMISION DE VALORACION SOBRE EL RESULTADO PROVISIONAL DE LA CONVOCATORIA DE JEFATURA DE SERVICIO CARDIOLOGIA  GAI DE CIUDAD REAL.</t>
  </si>
  <si>
    <t>RLTT</t>
  </si>
  <si>
    <t>186175</t>
  </si>
  <si>
    <t>RECLAMACION A LA RELACION PROVISIONAL DE ADMITIDOS Y EXCLUIDOS APROBADA POR COMISION DE VALORACION EN LA PROVISION DE LA JEF. SERV. MEDICINA INTENSIVA GERENCIA DE ATENCION ESPECIALIZADA TOLEDO.</t>
  </si>
  <si>
    <t>SE RESOLVERÁN DENTRO DEL PLAZO MÁXIMO DE LOS 3 MESES ESTABLECIDOS PARA LA RESOLUCIÓN DE LA CONVOCATORIA, CONTADOS A PARTIR DEL DÍA SIGUIENTE AL DE LA FINALIZACIÓN DEL PLAZO DE PRESENTACIÓN DE SOLICITUDES.</t>
  </si>
  <si>
    <t>RLUS</t>
  </si>
  <si>
    <t>186177</t>
  </si>
  <si>
    <t>RECLAMACION CONTRA EL ACUERDO PROVISIONAL DE LA COMISION DE VALORACION SOBRE EL RESULTADO PROVISIONAL DE LA CONVOCATORIA DE JEF. DE SERV. MEDIC. INTENSIVA GERENCIA ATENCION ESPECIALIZADA TOLEDO.</t>
  </si>
  <si>
    <t>RLUR</t>
  </si>
  <si>
    <t>186178</t>
  </si>
  <si>
    <t>PROVISION DE JEFATURA DE CARACTER ASISTENCIAL DEL SERVICIO DE SALUD DE CASILLA-LA MANCHA. JEFATURA DE SERVICIO DE ANESTESILOGIA Y REANIMACION. GERENCIA DE ATENCION INTEGRADA ALBACETE.</t>
  </si>
  <si>
    <t>SE RESOLVERÁN DENTRO DEL PLAZO MÁXIMO DE LOS 4 MESES ESTABLECIDOS PARA LA RESOLUCIÓN DE LA CONVOCATORIA, CONTADOS A PARTIR DEL DÍA SIGUIENTE AL DE LA FINALIZACIÓN DEL PLAZO DE PRESENTACIÓN DE SOLICITUDES.</t>
  </si>
  <si>
    <t>SLUT</t>
  </si>
  <si>
    <t>186179</t>
  </si>
  <si>
    <t>RECLAMACION CONTRA EL ACUERDO DE LA COMISION DE VALORACION SOBRE EL RESULTADO PROVISIONAL DE LA CONVOCATORIA DE JEFATURA DE SERVICIO DE ANESTESIOLOGIA Y REANIMA. GAI DE ALBACETE. SESCAM.</t>
  </si>
  <si>
    <t>RLUV</t>
  </si>
  <si>
    <t>186180</t>
  </si>
  <si>
    <t>RECLAMACION A LA RELACION PROVISIONAL DE PERSONAS ADMITIDAS Y EXCLUIDAS APROBADA POR COMISION VALORACION JEFATURA DE SERVICIO DE ANESTESIOLOGIA Y REANIMACION. GAI DE ALBACETE.</t>
  </si>
  <si>
    <t>RLUU</t>
  </si>
  <si>
    <t>186192</t>
  </si>
  <si>
    <t>PROVISION DE JEFATURA DE CARACTER ASISTENCIAL DEL SERVICIO DE SALUD DE CASILLA-LA MANCHA. JEFATURA DE SERVICIO DE PEDIATRIA Y SUS AREAS ESPECIFICAS. GERENCIA DE ATENCION INTEGRADA ALBACETE.</t>
  </si>
  <si>
    <t>SLXR</t>
  </si>
  <si>
    <t>186198</t>
  </si>
  <si>
    <t>PROVISION DE JEFATURA DE CARACTER ASISTENCIAL DEL SERVICIO DE SALUD DE CASILLA-LA MANCHA. JEFATURA DE SECCION DE CIRUGIA GENERAL Y DEL APARATO DIGESTIVO. GERENCIA DE ATENCION INTEGRADA ALBACETE.</t>
  </si>
  <si>
    <t>SLXZ</t>
  </si>
  <si>
    <t>186202</t>
  </si>
  <si>
    <t>PROVISION DE JEFATURA DE CARACTER ASISTENCIAL DEL SERVICIO DE SALUD DE CASTILLA LA MANCHA. JEFATURA DE SECCION DE MEDICINA INTERNA. GERENCIA ATENCION INTEGRADA DE TOMELLOSO (SESCAM)</t>
  </si>
  <si>
    <t>3 MESES ESTABLECIDOS PARA LA RESOLUCIÓN DE LA CONVOCATORIA, CONTADOS A PARTIR DEL DÍA SIGUIENTE AL DE LA FINALIZACIÓN DEL PLAZO DE PRESENTACIÓN DE SOLICITUDES.</t>
  </si>
  <si>
    <t>GERENCIA ATENCION INTEGRADA TOMELLOSO - HOSPITAL GENERAL DE TOMELLOSO - SERVICIO DE SALUD DE CASTILLA-LA MANCHA (SESCAM)</t>
  </si>
  <si>
    <t>SLYB</t>
  </si>
  <si>
    <t>186205</t>
  </si>
  <si>
    <t>PROVISION DE JEFATURA DE CARACTER ASISTENCIAL DEL SERVICIO DE SALUD DE CASTILLA LA MANCHA. JEFATURA DE SECCION DE APARATO DIGESTIVO. GERENCIA ATENCION INTEGRADA DE TOMELLOSO (SESCAM)</t>
  </si>
  <si>
    <t>SLYE</t>
  </si>
  <si>
    <t>186208</t>
  </si>
  <si>
    <t>PROVISION DE JEFATURA DE CARACTER ASISTENCIAL DEL SERVICIO DE SALUD DE CASTILLA LA MANCHA. JEFATURA DE SECCION DE CIRUGIA ORTOPEDICA Y TRAUMATO. GERENCIA ATENCION INTEGRADA DE TOMELLOSO (SESCAM)</t>
  </si>
  <si>
    <t>SLYJ</t>
  </si>
  <si>
    <t>186211</t>
  </si>
  <si>
    <t>PROVISION DE DOS JEFATURAS DE CARACTER ASISTENCIAL DEL SERVICIO DE SALUD DE CASILLA-LA MANCHA. DOS JEFATURAS DE SECCION DE MEDICINA INTENSIVA, GERENCIA ATENCION INTEGRADA DE CIUDAD REAL.</t>
  </si>
  <si>
    <t>SLYN</t>
  </si>
  <si>
    <t>186216</t>
  </si>
  <si>
    <t>PROVISION DE DOS JEFATURAS DE CARACTER ASISTENCIAL DEL SERVICIO DE SALUD DE CASILLA-LA MANCHA. DOS JEFATURAS DE SECCION DE CIRUGIA GRAL. Y A. DIG., GERENCIA ATENCION INTEGRADA DE CIUDAD REAL.</t>
  </si>
  <si>
    <t>SLYR</t>
  </si>
  <si>
    <t>235057</t>
  </si>
  <si>
    <t>RECLAMACION A LA RELACION PROVISIONAL DE PERSONAS ADMITIDAS Y EXCLUIDAS APROBADA POR COMISION VALORACION JEFATURA DE SERVICIO DE DERMATOLOGIA MEDICO-QUIRURGICA Y VENEREOLOGIA. GAI DE ALBACETE.</t>
  </si>
  <si>
    <t>SIN DETERMINAR</t>
  </si>
  <si>
    <t>Autogestion</t>
  </si>
  <si>
    <t>SLOU</t>
  </si>
  <si>
    <t>030042</t>
  </si>
  <si>
    <t>SUBVENCIONES A EATIM, MUNICIPIOS,MANCOMUNIDADES Y AGRUPACIONES TERRITORIALES, PARA EL MANTENIMIENTO DE PLAZAS EN CENTROS DE ATENCION A PERSONAS MAYORES EN CASTILLA-LA MANCHA.</t>
  </si>
  <si>
    <t>SIXK</t>
  </si>
  <si>
    <t>030049</t>
  </si>
  <si>
    <t>SUBVENCIONES PARA LA REALIZACION DE PROYECTOS DE COOPERACION INTERNACIONAL PARA EL DESARROLLO</t>
  </si>
  <si>
    <t>5 MESES.</t>
  </si>
  <si>
    <t>SIU2</t>
  </si>
  <si>
    <t>030050</t>
  </si>
  <si>
    <t>SUBVENCIONES PARA LA REALIZACION DE PROYECTOS DE EDUCACION PARA EL DESARROLLO</t>
  </si>
  <si>
    <t>SIX1</t>
  </si>
  <si>
    <t>030051</t>
  </si>
  <si>
    <t>SUBVENCIONES PARA LA REALIZACION DE PROYECTOS DE ACCION HUMANITARIA Y DE EMERGENCIA</t>
  </si>
  <si>
    <t>25 DÍAS, CONTADO A PARTIR DEL DÍA SIGUIENTE AL DE LA PRESENTACIÓN DE LA SOLICITUD.</t>
  </si>
  <si>
    <t>S973</t>
  </si>
  <si>
    <t>030483</t>
  </si>
  <si>
    <t>RECONOCIMIENTO A LA INICIATIVA SOCIAL DE CASTILLA-LA MANCHA</t>
  </si>
  <si>
    <t>20 DÍAS DESDE LA FINALIZACIÓN PLAZO DE PRESENTACIÓN DE SOLICITUDES.</t>
  </si>
  <si>
    <t>SJPA</t>
  </si>
  <si>
    <t>030619</t>
  </si>
  <si>
    <t>SUBVENCIONES A ENTIDADES DE INICIATIVA SOCIAL PARA EL DESARROLLO DEL PROGRAMA DE ACCION  ATENCION TUTELAR DE LAS PERSONAS CON CAPACIDAD DE OBRAR MODIFICADA JUDICIALMENTE</t>
  </si>
  <si>
    <t>SKJG</t>
  </si>
  <si>
    <t>030628</t>
  </si>
  <si>
    <t>PROGRAMA DE TERMALISMO DE CASTILLA-LA MANCHA</t>
  </si>
  <si>
    <t>NH93, SH93</t>
  </si>
  <si>
    <t>030634</t>
  </si>
  <si>
    <t>SUBVENCIONES A ENTIDADES DE INICIATIVA SOCIAL PARA EL DESARROLLO DE PROGRAMAS DESTINADOS AL SERVICIO DE PROMOCION DE LA AUTONOMIA PERSONAL PARA LAS PERSONAS EN SITUACION DE DEPENDENCIA EN CASTILLA-LA MANCHA.</t>
  </si>
  <si>
    <t>VICECONSEJERIA PROMOCION DE LA AUTONOMIA Y ATENCION A LA DEPENDENCIA - CONSEJERIA DE BIENESTAR SOCIAL</t>
  </si>
  <si>
    <t>SKLV</t>
  </si>
  <si>
    <t>030701</t>
  </si>
  <si>
    <t>SUBVENCIONES DESTINADAS A LA REALIZACION DE PROYECTOS DE INTERES GENERAL CON CARGO A LA ASIGNACION TRIBUTARIA DEL IMPUESTO SOBRE LA RENTA DE LAS PERSONAS FISICAS , EN EL AMBITO DE CASTILLA-LA MANCHA.</t>
  </si>
  <si>
    <t>PARA LA CONVOCATORIA 2021 EL PLAZO MÁXIMO PARA RESOLVER Y NOTIFICAR EL PROCEDIMIENTO DE CONCESIÓN DE LAS SUBVENCIONES SERÁ DE SEIS MESES CONTADO DESDE LA FECHA DE FINALIZACIÓN DEL PLAZO DE PRESENTACIÓN DE SOLICITUDES.</t>
  </si>
  <si>
    <t>SKTS</t>
  </si>
  <si>
    <t>030705</t>
  </si>
  <si>
    <t>SUBVENCIONES A ENTIDADES LOCALES PARA EL DESARROLLO DE PROGRAMAS DESTINADOS AL SERVICIO DE PROMOCION DE LA AUTONOMIA PERSONAL PARA LAS PERSONAS EN SITUACION DE DEPENDENCIA EN CASTILLA-LA MANCHA.</t>
  </si>
  <si>
    <t>SKU2</t>
  </si>
  <si>
    <t>030794</t>
  </si>
  <si>
    <t>TARJETA DORADA DE TRANSPORTE PARA MAYORES DE 65 AÑOS.</t>
  </si>
  <si>
    <t>NL3F, SL3F</t>
  </si>
  <si>
    <t>030874</t>
  </si>
  <si>
    <t>AYUDAS  EMERGENCIA EXCEPCIONAL COVID-19</t>
  </si>
  <si>
    <t>NLDH, SLDH</t>
  </si>
  <si>
    <t>031042</t>
  </si>
  <si>
    <t>DECRETO 128/20241 POR EL QUE SE REGULA LA CONCESION DIRECTA DE UNA SUBVENCION A UNICEF COMITE ESPAÑOL, PARA LA DISTRIBUCION SEGURA Y EQUITATIVA DE LAS VACUNAS CONTRA LA COVID-19, A TRAVES DEL MECANISMO COVAX.</t>
  </si>
  <si>
    <t>SLQ3</t>
  </si>
  <si>
    <t>031067</t>
  </si>
  <si>
    <t>CONCESION DIRECTA DE SUBVENCIONES A LAS DIPUTACIONES PROVINCIALES DE CASTILLA-LA MANCHA PARA LA GARANTIA DE CUIDADOS DE LAS PERSONAS EN SU ENTORNO.</t>
  </si>
  <si>
    <t>PLR9</t>
  </si>
  <si>
    <t>031068</t>
  </si>
  <si>
    <t>SUBVENCIONES DESTINADAS A LA REALIZACION DE PROYECTOS DESTINADOS A LA MEJORA DE LOS MODELOS DE ATENCION RESIDENCIAL Y ACOGIMIENTO FAMILIAR DE NIÑOS, NIÑAS Y ADOLESCENTES, Y A PROYECTOS PILOTO DE INNOVACION EN SERVICIOS SOCIALES EN EL AMBITO DE INFANCIA Y FAMILIA</t>
  </si>
  <si>
    <t>EL PLAZO MÁXIMO PARA RESOLVER Y NOTIFICAR EL PROCEDIMIENTO DE CONCESIÓN DE LAS SUBVENCIONES REGULADAS EN ESTA ORDEN SERÁ DE TRES MESES, CONTADOS DESDE LA FECHA DE FINALIZACIÓN DEL PLAZO DE PRESENTACIÓN DE SOLICITUDES</t>
  </si>
  <si>
    <t>SLRA</t>
  </si>
  <si>
    <t>031099</t>
  </si>
  <si>
    <t>DECRETO 34/22  POR EL QUE SE REGULA LA CONCESION DIRECTA DE UNA SUBVENCION A RED EUROPEA DE LUCHA CONTRA LA POBREZA EN CASTILLA-LA MANCHA, PARA EL DESARROLLO Y MEJORA DE LAS CAPACIDADES DIGITALES DE LA POBLACION MAS VULNERABLE DE LA REGION.</t>
  </si>
  <si>
    <t>PLSU</t>
  </si>
  <si>
    <t>031107</t>
  </si>
  <si>
    <t>SUBVENCIONES PARA LA FINANCIACION DE PROYECTOS DE INVERSION EN ACTUACIONES SOBRE LA NUEVA ECONOMIA DE LOS CUIDADOS EN VIVIENDAS Y CENTROS DE MAYORES DE TITULARIDAD MUNICIPAL EN LA COMUNIDAD AUTONOMA DE CASTILLA-LA MANCHA, EN EL MARCO DEL PLAN DE RECUPERACION, TRANSFORMACION Y RESILENCIA</t>
  </si>
  <si>
    <t>EL PLAZO MÁXIMO PARA RESOLVER Y NOTIFICAR LA SUBVENCIÓN CONCEDIDA SERÁ DE TRES MESES, CONTADOS DESDE LA FECHA DE FINALIZACIÓN DEL PLAZO DE PRESENTACIÓN DE SOLICITUDES.</t>
  </si>
  <si>
    <t>SLTK</t>
  </si>
  <si>
    <t>031108</t>
  </si>
  <si>
    <t>SUBVENCIONES PARA LA FINANCIACION DE PROYECTOS DE CONSTRUCCION DE RESIDENCIAS DESTINADAS A PERSONAS MAYORES EN CASTILLA-LA MANCHA, CON CARGO AL PLAN DE RECUPERACION, TRANSFORMACION Y RESILIENCIA</t>
  </si>
  <si>
    <t>EL PLAZO MÁXIMO PARA RESOLVER Y NOTIFICAR LA SUBVENCIÓN CONCEDIDA SERÁ DE CINCO_x000D_
MESES, CONTADOS DESDE LA FECHA DE FINALIZACIÓN DEL PLAZO DE PRESENTACIÓN DE SOLICITUDES.</t>
  </si>
  <si>
    <t>SLTL</t>
  </si>
  <si>
    <t>031120</t>
  </si>
  <si>
    <t>CONCESION DIRECTA DE SUBVENCIONES A DIVERSAS ENTIDADES DE INICIATIVA SOCIAL PARA LA INFORMACION, FORMACION Y VALORACION DE IDONEIDAD DE FAMILIAS PARA ACOGIMIENTO FAMILIAR.</t>
  </si>
  <si>
    <t>PLU7</t>
  </si>
  <si>
    <t>031147</t>
  </si>
  <si>
    <t>SUBVENCIONES A PERSONAS MAYORES CON DISCAPACIDAD O EN SITUACION DE DEPENDENCIA QUE VIVEN EN ZONAS DE RIESGO O DE EXTREMA/INTENSA DESPOBLACION PARA MEJORA DE LA ACCESIBILIDAD DE SUS VIVIENDAS</t>
  </si>
  <si>
    <t>SLVL</t>
  </si>
  <si>
    <t>031151</t>
  </si>
  <si>
    <t>CONCESION DIRECTA DE UNA SUBVENCION A LA POI-CLM, DENTRO DEL MECANISMO DE RECUPERACION, TRANSFORMACION Y RESILIENCIA, NEXT GENERATION EU.</t>
  </si>
  <si>
    <t>PLVR</t>
  </si>
  <si>
    <t>035167</t>
  </si>
  <si>
    <t>SOLICITUD DE SUBVENCIONES PARA EL DESARROLLO DE PROGRAMAS DE ACTIVIDADES DESTINADAS A MENORES AFECTADOS POR MEDIDAS DE PROTECCION O JUDICIALES.</t>
  </si>
  <si>
    <t>SI9C</t>
  </si>
  <si>
    <t>035168</t>
  </si>
  <si>
    <t>JUSTIFICACION SUBVENCIONES PARA EL DESARROLLO DE PROGRAMAS DE ACTIVIDADES DESTINADAS A MENORES AFECTADOS POR MEDIDAS DE PROTECCION O JUDICIALES.</t>
  </si>
  <si>
    <t>PKQE</t>
  </si>
  <si>
    <t>035171</t>
  </si>
  <si>
    <t>JUSTIFICACION DE SUBVENCION A ENTIDADES PRIVADAS DE INICIATIVA SOCIAL PARA EL DESARROLLO DE PROGRAMAS DE ATENCION A PERSONAS MAYORES.</t>
  </si>
  <si>
    <t>PKQP</t>
  </si>
  <si>
    <t>035172</t>
  </si>
  <si>
    <t>SOLICITUD DE SUBVENCION A ENTIDADES PRIVADAS DE INICIATIVA SOCIAL PARA EL DESARROLLO DE PROGRAMAS DE ATENCION A PERSONAS MAYORES</t>
  </si>
  <si>
    <t>SIUF</t>
  </si>
  <si>
    <t>035177</t>
  </si>
  <si>
    <t>JUSTIFICACION DE SUBVENCION A ENTIDADES PRIVADAS, DE INICIATIVA SOCIAL, PARA MANTENIMIENTO DE CENTROS, SERVICIOS Y DESARROLLO DE PROGRAMAS PARA LA ATENCION A PERSONAS CON DISCAPACIDAD.</t>
  </si>
  <si>
    <t>PKS3</t>
  </si>
  <si>
    <t>035178</t>
  </si>
  <si>
    <t>SUBVENCION A ENTIDADES PRIVADAS, DE INICIATIVA SOCIAL, PARA MANTENIMIENTO DE CENTROS, SERVICIOS Y DESARROLLO DE PROGRAMAS PARA LA ATENCION A PERSONAS CON DISCAPACIDAD.</t>
  </si>
  <si>
    <t>SH58</t>
  </si>
  <si>
    <t>035292</t>
  </si>
  <si>
    <t>SOLICITUD DE SUBVENCIONES PARA EL MANTENIMIENTO DE CENTROS DESTINADOS A MENORES AFECTADOS POR MEDIDAS DE PROTECCION O JUDICIALES.</t>
  </si>
  <si>
    <t>SB55</t>
  </si>
  <si>
    <t>035293</t>
  </si>
  <si>
    <t>JUSTIFICACION DE SUBVENCIONES PARA EL MANTENIMIENTO DE CENTROS DESTINADOS A MENORES AFECTADOS POR MEDIDAS DE PROTECCION O JUDICIALES.</t>
  </si>
  <si>
    <t>PKP2</t>
  </si>
  <si>
    <t>035294</t>
  </si>
  <si>
    <t>SUBVENCION PARA LA FINANCIACION DE PROYECTOS DE INCLUSION SOCIAL DEL SISTEMA PUBLICO DE SERVICIOS SOCIALES.</t>
  </si>
  <si>
    <t>SIR1</t>
  </si>
  <si>
    <t>035295</t>
  </si>
  <si>
    <t>JUSTIFICACION DE SUBVENCION PARA LA FINANCIACION DE PROYECTOS DE INCLUSION SOCIAL DEL SISTEMA PUBLICO DE SERVICIOS SOCIALES</t>
  </si>
  <si>
    <t>PKU4</t>
  </si>
  <si>
    <t>035296</t>
  </si>
  <si>
    <t>SUBVENCIONES A ENTIDADES LOCALES EN EL AMBITO DE LA ATENCION A LAS PERSONAS CON DISCAPACIDAD INTELECTUAL EN CASTILLA-LA MANCHA.</t>
  </si>
  <si>
    <t>EL PLAZO MÁXIMO PARA RESOLVER Y NOTIFICAR LA RESOLUCIÓN DE CONCESIÓN DE LAS SUBVENCIONES REGULADAS EN LA ORDEN SERÁ DE TRES MESES, CONTADOS DESDE LA FECHA DE FINALIZACIÓN DEL  PLAZO DE PRESENTACIÓN DE SOLICITUDES.</t>
  </si>
  <si>
    <t>SJ2X</t>
  </si>
  <si>
    <t>035297</t>
  </si>
  <si>
    <t>JUSTIFICACION DE LAS SUBVENCIONES A ENTIDADES LOCALES EN EL AMBITO DE LA ATENCION A LAS PERSONAS CON DISCAPACIDAD INTELECTUAL EN CASTILLA-LA MANCHA.</t>
  </si>
  <si>
    <t>PKTF</t>
  </si>
  <si>
    <t>035298</t>
  </si>
  <si>
    <t>SOLICITUD SUBVENCIONES A ENTIDADES PARA EL MANTENIMIENTO DE SERVICIOS Y PROGRAMAS DE ATENCION A INFANCIA Y FAMILIA.</t>
  </si>
  <si>
    <t>SJLO</t>
  </si>
  <si>
    <t>035299</t>
  </si>
  <si>
    <t>JUSTIFICACION SUBVENCIONES PARA EL DESARROLLO DE SERVICIOS Y PROGRAMAS DE PREVENCION Y ATENCION A LA INFANCIA Y A LAS FAMILIAS.</t>
  </si>
  <si>
    <t>PKPH</t>
  </si>
  <si>
    <t>035934</t>
  </si>
  <si>
    <t>JUSTIFICACION DE LAS RUTAS CONCEDIDAS EN EL MARCO DEL PROGRAMA MAYORES ACTIVOS. RUTAS CULTURALES Y DE OCIO PARA PERSONAS MAYORES DE CASTILLA-LA MANCHA.</t>
  </si>
  <si>
    <t>PL4Y</t>
  </si>
  <si>
    <t>035935</t>
  </si>
  <si>
    <t>PROGRAMA MAYORES ACTIVOS. RUTAS CULTURALES Y DE OCIO PARA PERSONAS MAYORES DE CASTILLA-LA MANCHA</t>
  </si>
  <si>
    <t>SL3G</t>
  </si>
  <si>
    <t>036028</t>
  </si>
  <si>
    <t>JUSTIFICACION DE LA SUBVENCION A CENTROS RESIDENCIALES, COMO CONSECUENCIA DE LA COVID-19, PARA LA ATENCION Y CUIDADO DE LAS PERSONAS MAYORES.</t>
  </si>
  <si>
    <t>EL PLAZO MÁXIMO PARA RESOLVER Y NOTIFICAR LA SUBVENCIÓN CONCEDIDA SERÁ DE UN MES, CONTADO DESDE LA FECHA DE FINALIZACIÓN DEL PLAZO DE PRESENTACIÓN DE SOLICITUDES.</t>
  </si>
  <si>
    <t>PLFG</t>
  </si>
  <si>
    <t>036029</t>
  </si>
  <si>
    <t>SOLICITUD DE SUBVENCION A CENTROS RESIDENCIALES, COMO CONSECUENCIA DE LA COVID-19, PARA LA ATENCION Y CUIDADO DE LAS PERSONAS MAYORES.</t>
  </si>
  <si>
    <t>SLFF</t>
  </si>
  <si>
    <t>036063</t>
  </si>
  <si>
    <t>SOLICITUD DE SUBVENCION LINEA 1. CENTROS Y SERVICIOS DE ATENCION A PERSONAS MAYORES.</t>
  </si>
  <si>
    <t>SLJN</t>
  </si>
  <si>
    <t>036065</t>
  </si>
  <si>
    <t>SOLICITUD DE SUBVENCION LINEA 2. CENTROS Y SERVICIOS DE ATENCION A PERSONAS CON DISCAPACIDAD</t>
  </si>
  <si>
    <t>SLJP</t>
  </si>
  <si>
    <t>036067</t>
  </si>
  <si>
    <t>SOLICITUD DE SUBVENCION LINEA 3. CENTROS Y SERVICIOS DE ATENCION A PERSONAS SIN HOGAR</t>
  </si>
  <si>
    <t>SLJR</t>
  </si>
  <si>
    <t>036069</t>
  </si>
  <si>
    <t>SOLICITUD DE SUBVENCION LINEA 4. SERVICIOS DE PROMOCION DE LA AUTONOMIA PERSONAL (SEPAP MERJORAT) Y SERVICIOS DE PREVENCION DE LA DEPENDENCIA</t>
  </si>
  <si>
    <t>SLJT</t>
  </si>
  <si>
    <t>036071</t>
  </si>
  <si>
    <t>SOLICITUD DE SUBVENCION LINEA 5. CENTROS Y HOGARES DE ATENCION RESIDENCIAL DE NIÑOS, NIÑAS Y ADOLESCENTES TUTELADOS, SERVICIOS DE APOYO A MENORES.</t>
  </si>
  <si>
    <t>SLJV</t>
  </si>
  <si>
    <t>036073</t>
  </si>
  <si>
    <t>SOLICITUD DE SUBVENCION LINEA 6. ENTIDADES DEL TERCER SECTOR DE ACCION SOCIAL</t>
  </si>
  <si>
    <t>SLJX</t>
  </si>
  <si>
    <t>036129</t>
  </si>
  <si>
    <t>MODELO DE CUENTA JUSTIFICATIVA SIMPLIFICADA DE SUBVENCIONES DESTINADAS A LA MEJORA DE LA ACCESIBILIDAD DE INFRAESTRUCTURAS Y EQUIPAMIENTOS EELL  CON POBLACION INFERIOR O IGUAL A 1000 HABITANTES</t>
  </si>
  <si>
    <t>PLOL</t>
  </si>
  <si>
    <t>036130</t>
  </si>
  <si>
    <t>SUBVENCIONES A ENTIDADES LOCALES DE CASTILLA-LA MANCHA CON POBLACION INFERIOR O IGUAL A MIL HABITANTES PARA MEJORA DE LA ACCESIBILIDAD DE SUS INFRAESTRUCTURAS Y EQUIPAMIENTOS.</t>
  </si>
  <si>
    <t>SLOK</t>
  </si>
  <si>
    <t>036138</t>
  </si>
  <si>
    <t>SOLICITUD DE SUBVENCION LINEA 2. CENTROS DE TITULARIDAD MUNICIPAL DE ATENCION A PERSONAS CON DISCAPACIDAD</t>
  </si>
  <si>
    <t>SLP5</t>
  </si>
  <si>
    <t>036139</t>
  </si>
  <si>
    <t>SOLICITUD DE SUBVENCION LINEA 1. CENTROS DE TITULARIDAD MUNICIPAL DE ATENCION A PERSONAS MAYORES.</t>
  </si>
  <si>
    <t>SLP4</t>
  </si>
  <si>
    <t>040008</t>
  </si>
  <si>
    <t>ACREDITACION DE ESTABLECIMIENTOS, INSTALACIONES Y VEHICULOS DE TRANSPORTE PUBLICO Y ACCESIBLES</t>
  </si>
  <si>
    <t>S824</t>
  </si>
  <si>
    <t>040009</t>
  </si>
  <si>
    <t>ACREDITACION DE LA CALIDAD DE LOS SERVICIOS</t>
  </si>
  <si>
    <t>SB00</t>
  </si>
  <si>
    <t>040021</t>
  </si>
  <si>
    <t>RECONOCIMIENTO DECLARACION Y CALIFICACION GRADO DISCAPACIDAD</t>
  </si>
  <si>
    <t>NB19, SB19</t>
  </si>
  <si>
    <t>040187</t>
  </si>
  <si>
    <t>TITULO DE FAMILIA NUMEROSA</t>
  </si>
  <si>
    <t>NA11, SA11</t>
  </si>
  <si>
    <t>040193</t>
  </si>
  <si>
    <t>TARJETA ACREDITATIVA DE GRADO DE DISCAPACIDAD</t>
  </si>
  <si>
    <t>SJJ2</t>
  </si>
  <si>
    <t>040243</t>
  </si>
  <si>
    <t>ACREDITACION DE SERVICIOS DE ATENCION DOMICILIARIA: AYUDA A DOMICILIO Y TELEASISTENCIA</t>
  </si>
  <si>
    <t>SK1J</t>
  </si>
  <si>
    <t>040300</t>
  </si>
  <si>
    <t>HABILITACION EXCEPCIONAL Y HABILITACION PROVISIONAL PARA EL PERSONAL DE ATENCION DIRECTA DE LOS CENTROS Y SERVICIOS DEL SISTEMA PARA LA AUTONOMIA Y ATENCION A LA DEPENDENCIA.</t>
  </si>
  <si>
    <t>SKJM</t>
  </si>
  <si>
    <t>040336</t>
  </si>
  <si>
    <t>INFORME SECTORIAL DE ACCESIBILIDAD</t>
  </si>
  <si>
    <t>20 DÍAS, EXCEPTO CUANDO LA SOLICITUD SE SOLAPE CON:_x000D_
 PLAZO DE INFORMACIÓN PÚBLICA DEL DOCUMENTO DE PLANEAMIENTO: 1 MES_x000D_
 PLAZO DE INFORME DE MEDIO AMBIENTE: 45 DÍAS</t>
  </si>
  <si>
    <t>SL55</t>
  </si>
  <si>
    <t>040374</t>
  </si>
  <si>
    <t>INFORME PREVIO SOBRE ADECUACION DEL PROYECTO A LA NORMATIVA ESPECIFICA</t>
  </si>
  <si>
    <t>SLSR</t>
  </si>
  <si>
    <t>060007</t>
  </si>
  <si>
    <t>CONCIERTO SOCIAL PARA LA GESTION DE SERVICIOS SOCIALES Y ATENCION A LAS PERSONAS EN SITUACION DE DEPENDENCIA EN CASTILLA-LA MANCHA</t>
  </si>
  <si>
    <t>SLUX</t>
  </si>
  <si>
    <t>120005</t>
  </si>
  <si>
    <t>ADMISION EN  CENTROS RESIDENCIALES DE MAYORES DE LA RED PUBLICA DE CASTILLA-LA MANCHA</t>
  </si>
  <si>
    <t>N031, S031</t>
  </si>
  <si>
    <t>120006</t>
  </si>
  <si>
    <t>ESTANCIAS TEMPORALES RESIDENCIAS DE MAYORES</t>
  </si>
  <si>
    <t>NI32, SI32</t>
  </si>
  <si>
    <t>120009</t>
  </si>
  <si>
    <t>TRASLADOS VOLUNTARIOS EN CENTROS RESIDENCIALES DE MAYORES DE LA RED PUBLICA DE CASTILLA-LA MANCHA</t>
  </si>
  <si>
    <t>NA16, SA16</t>
  </si>
  <si>
    <t>120010</t>
  </si>
  <si>
    <t>INGRESO EN CENTROS DE ATENCION PARA PERSONAS CON DISCAPACIDAD INTELECTUAL</t>
  </si>
  <si>
    <t>SH76</t>
  </si>
  <si>
    <t>120012</t>
  </si>
  <si>
    <t>TRASLADOS DE CENTROS DE ATENCION PERSONAS DISCAPACIDAD INTELECTUAL</t>
  </si>
  <si>
    <t>SIL4</t>
  </si>
  <si>
    <t>120014</t>
  </si>
  <si>
    <t>INGRESO EN CENTROS DE ATENCION A PERSONAS CON DISCAPACIDAD FISICA</t>
  </si>
  <si>
    <t>SISG</t>
  </si>
  <si>
    <t>120015</t>
  </si>
  <si>
    <t>PERMUTA EN CENTROS DE ATENCION A PERSONAS CON DISCAPACIDAD FISICA</t>
  </si>
  <si>
    <t>SISJ</t>
  </si>
  <si>
    <t>120017</t>
  </si>
  <si>
    <t>ALOJAMIENTO TEMPORAL EN CENTROS DE ATENCION PERSONAS DISCAPACIDAD FISICA</t>
  </si>
  <si>
    <t>SISI</t>
  </si>
  <si>
    <t>120024</t>
  </si>
  <si>
    <t>RECONOCIMIENTO DE DERECHO A PENSIONES NO CONTRIBUTIVAS DE LA SEGURIDAD SOCIAL POR INVALIDEZ Y A MAYORES DE 65 AÑOS</t>
  </si>
  <si>
    <t>N664, S664</t>
  </si>
  <si>
    <t>120026</t>
  </si>
  <si>
    <t>PRESTACIONES ECONOMICAS DERIVADAS DE LA LEY DE INTEGRACION SOCIAL DE MINUSVALIDOS</t>
  </si>
  <si>
    <t>SH79</t>
  </si>
  <si>
    <t>120027</t>
  </si>
  <si>
    <t>ADMISION EN SERVICIOS DE ESTANCIAS DIURNAS EN CENTROS DE MAYORES DE LA RED PUBLICA DE CASTILLA-LA MANCHA</t>
  </si>
  <si>
    <t>NI33, SI33</t>
  </si>
  <si>
    <t>120030</t>
  </si>
  <si>
    <t>RECONOCIMIENTO DE LA SITUACION DE DEPENDENCIA Y DEL DERECHO DE ACCESO A LOS SERVICIOS Y PRESTACIONES ECONOMICAS DEL SISTEMA PARA LA AUTONOMIA Y ATENCION A LA DEPENDENCIA EN CASTILLA LA MANCHA.</t>
  </si>
  <si>
    <t>6 MESES PARA MAYORES DE 6 AÑOS. _x000D_
3 MESES PARA MENORES DE 6 AÑOS</t>
  </si>
  <si>
    <t>NIYI, SIYI</t>
  </si>
  <si>
    <t>120033</t>
  </si>
  <si>
    <t>TRASLADO EN CENTROS DE ATENCION PERSONAS CON DISCAPACIDAD FISICA</t>
  </si>
  <si>
    <t>SISH</t>
  </si>
  <si>
    <t>120034</t>
  </si>
  <si>
    <t>COMPLEMENTO PARA TITULARES DE PENSION NO CONTRIBUTIVA QUE RESIDAN EN UNA VIVIENDA ALQUILADA</t>
  </si>
  <si>
    <t>NIZN, SIZN</t>
  </si>
  <si>
    <t>120040</t>
  </si>
  <si>
    <t>SERVICIO DE TELEASISTENCIA</t>
  </si>
  <si>
    <t>SJX5</t>
  </si>
  <si>
    <t>120041</t>
  </si>
  <si>
    <t>PERMUTA ENTRE CENTROS DE ATENCION A PERSONAS CON DISCAPACIDAD INTELECTUAL</t>
  </si>
  <si>
    <t>SJX7</t>
  </si>
  <si>
    <t>120042</t>
  </si>
  <si>
    <t>ALOJAMIENTO TEMPORAL EN CENTROS DE ATENCION A PERSONAS CON DISCAPACIDAD INTELECTUAL.</t>
  </si>
  <si>
    <t>SJX8</t>
  </si>
  <si>
    <t>120045</t>
  </si>
  <si>
    <t>SOLICITUD DE REVISION EN EL MARCO DEL SISTEMA PARA LA AUTONOMIA Y ATENCION A LA DEPENDENCIA (SAAD).</t>
  </si>
  <si>
    <t>6 MESES PARA  MAYORES DE 6 AÑOS. _x000D_
3 MESES PARA MENORES DE 6 AÑOS</t>
  </si>
  <si>
    <t>NK67, SK67</t>
  </si>
  <si>
    <t>120057</t>
  </si>
  <si>
    <t>ACCESO AL SERVICIO DE ATENCION TEMPRANA</t>
  </si>
  <si>
    <t>SLOY</t>
  </si>
  <si>
    <t>150032</t>
  </si>
  <si>
    <t>CONCIERTO SOCIAL PARA LA GESTION DE SERVICIOS SOCIALES Y ATENCION A LAS PERSONAS EN SITUACION DE DEPENDENCIA EN CASTILLA LA MANCHA</t>
  </si>
  <si>
    <t>SLPW</t>
  </si>
  <si>
    <t>155737</t>
  </si>
  <si>
    <t>SOLICITUD DE CONVENIO UNIFICADO CON LAS ENTIDADES LOCALES  PARA LA PRESTACION DE SERVICIOS SOCIALES DE ATENCION PRIMARIA</t>
  </si>
  <si>
    <t>SKOI</t>
  </si>
  <si>
    <t>180157</t>
  </si>
  <si>
    <t>PROVISION DE PUESTOS POR EL PROCEDIMIENTO DE LIBRE DESIGNACION (CONSEJERIA DE BIENESTAR SOCIAL)</t>
  </si>
  <si>
    <t>SKLJ</t>
  </si>
  <si>
    <t>180174</t>
  </si>
  <si>
    <t>CONVOCATORIA DE CONCURSO SINGULARIZADO DE MERITOS PARA LA PROVISION DE PUESTOS DE TRABAJO VACANTES EN LA ADMINISTRACION DE LA JUNTA DE COMUNIDADES DE CASTILLA-LA MANCHA.</t>
  </si>
  <si>
    <t>RL7E, SL7E</t>
  </si>
  <si>
    <t>200001</t>
  </si>
  <si>
    <t>VALORACION DE LA IDONEIDAD DE LAS PERSONAS QUE SE OFRECEN PARA LA ADOPCION</t>
  </si>
  <si>
    <t>N777, S777</t>
  </si>
  <si>
    <t>200002</t>
  </si>
  <si>
    <t>SELECCION Y VALORACION DE FAMILIAS ACOGEDORAS</t>
  </si>
  <si>
    <t>S778</t>
  </si>
  <si>
    <t>200004</t>
  </si>
  <si>
    <t>INFORME PARA DESPLAZAMIENTO TEMPORAL DE MENORES EXTRANJEROS</t>
  </si>
  <si>
    <t>SJRK</t>
  </si>
  <si>
    <t>200007</t>
  </si>
  <si>
    <t>PROCESO SELECTIVO PARA DESIGNACION DE LOS VOCALES DEL CONSEJO REGIONAL DE INFANCIA Y FAMILIA DE CASTILLA-LA MANCHA EN REPRESENTACION DE LAS ENTIDADES SIN FIN DE LUCRO MAS REPRESENTATIVAS EN LA REGION Y DE LAS FEDERACIONES O ASOCIACIONES DE FAMILIAS.</t>
  </si>
  <si>
    <t>SLB5</t>
  </si>
  <si>
    <t>205378</t>
  </si>
  <si>
    <t>INFORME DE SEGUIMIENTO POSTADOPTIVO DE ADOPCION INTERNACIONAL DE NIÑOS Y NIÑAS</t>
  </si>
  <si>
    <t>BLB4</t>
  </si>
  <si>
    <t>205379</t>
  </si>
  <si>
    <t>ADOPCION INTERNACIONAL DE NIÑOS Y NIÑAS</t>
  </si>
  <si>
    <t>NC29, SC29</t>
  </si>
  <si>
    <t>Nº 
PROCEDIMIENTO</t>
  </si>
  <si>
    <t xml:space="preserve">NOMBRE </t>
  </si>
  <si>
    <t>PLAZO</t>
  </si>
  <si>
    <t>CONSEJERÍA</t>
  </si>
  <si>
    <t xml:space="preserve">CÓDIGO </t>
  </si>
  <si>
    <t>012</t>
  </si>
  <si>
    <t>020254</t>
  </si>
  <si>
    <t>REGISTRO DE GRUPOS DE INTERES DE CASTILLA-LA MANCHA</t>
  </si>
  <si>
    <t>PRESIDENCIA DE LA JUNTA DE COMUNIDADES</t>
  </si>
  <si>
    <t>OFICINA DE TRANSPARENCIA, BUEN GOBIERNO Y PARTICIPACION - VICEPRESIDENCIA - PRESIDENCIA DE LA JUNTA DE COMUNIDADES</t>
  </si>
  <si>
    <t>SKZO</t>
  </si>
  <si>
    <t>030582</t>
  </si>
  <si>
    <t>BECAS PARA LA FORMACION DE ESPECIALISTAS EN ASUNTOS RELACIONADOS CON LA UNION EUROPEA</t>
  </si>
  <si>
    <t>DIRECCION GENERAL ASUNTOS EUROPEOS - VICEPRESIDENCIA - PRESIDENCIA DE LA JUNTA DE COMUNIDADES</t>
  </si>
  <si>
    <t>SKD0</t>
  </si>
  <si>
    <t>030983</t>
  </si>
  <si>
    <t>PREMIOS GABILEX, REVISTA DEL GABINETE JURIDICO DE LA ADMINISTRACION DE LA JUNTA DE COMUNIDADES DE CASTILLA-LA MANCHA.</t>
  </si>
  <si>
    <t>GABINETE JURIDICO DE LA JUNTA DE COMUNIDADES - VICEPRESIDENCIA - PRESIDENCIA DE LA JUNTA DE COMUNIDADES</t>
  </si>
  <si>
    <t>SLKX</t>
  </si>
  <si>
    <t>035185</t>
  </si>
  <si>
    <t>SUBVENCIONES PARA LA PROMOCION Y FOMENTO DE LAS COMUNIDADES ORIGINARIAS DE CASTILLA-LA MANCHA Y AYUDAS A CASAS REGIONALES DE OTRAS COMUNIDADES O CIUDADES AUTONOMAS UBICADAS EN CASTILLA-LA MANCHA.</t>
  </si>
  <si>
    <t>VICECONSEJERIA RELACIONES INSTITUCIONALES - VICEPRESIDENCIA - PRESIDENCIA DE LA JUNTA DE COMUNIDADES</t>
  </si>
  <si>
    <t>SIXD</t>
  </si>
  <si>
    <t>035186</t>
  </si>
  <si>
    <t>JUSTIFICACION DE LAS SUBVENCIONES PARA LA PROMOCION Y FOMENTO DE LAS COMUNIDADES ORIGINARIAS DE CLM Y AYUDAS A CASAS REGIONALES DE OTRAS COMUNIDADES O CIUDADES AUTONOMAS EN CLM.</t>
  </si>
  <si>
    <t>PKS0</t>
  </si>
  <si>
    <t>035187</t>
  </si>
  <si>
    <t>CONCESION DIRECTA DE SUBVENCIONES DE CARACTER EXCEPCIONAL DE LA PRESIDENCIA DE LA JUNTA DE COMUNIDADES DE CASTILLA-LA MANCHA.</t>
  </si>
  <si>
    <t>VICEPRESIDENCIA - PRESIDENCIA DE LA JUNTA DE COMUNIDADES</t>
  </si>
  <si>
    <t>SJ0X</t>
  </si>
  <si>
    <t>035188</t>
  </si>
  <si>
    <t>JUSTIFICACION DE LAS SUBVENCIONES DE CARACTER EXCEPCIONAL DE LA PRESIDENCIA DE LA JUNTA DE COMUNIDADES DE CASTILLA-LA MANCHA.</t>
  </si>
  <si>
    <t>PKSR</t>
  </si>
  <si>
    <t>060005</t>
  </si>
  <si>
    <t>EMISION DE DILIGENCIAS DE BASTANTEO DE PODERES.</t>
  </si>
  <si>
    <t>SKS2</t>
  </si>
  <si>
    <t>090008</t>
  </si>
  <si>
    <t>SOLICITUD DE ACCESO A LA INFORMACION PUBLICA PREVISTA EN LA LEY 4/2016, DE 15 DE DICIEMBRE, DE TRANSPARECIA Y BUEN GOBIERNO DE CASTILLA-LA MANCHA Y EN LA LEY 19/2013, DE 9 DE DICIEMBRE, DE TRANSPARENCIA, ACCESO A LA INFORMACION PUBLICA Y BUEN GOBIERNO</t>
  </si>
  <si>
    <t>UN MES. PODRÁ PRORROGARSE POR IGUAL PERIODO CUANDO SEA NECESARIO POR EL VOLUMEN O LA COMPLEJIDAD DE LA INFORMACIÓN SOLICITADA.</t>
  </si>
  <si>
    <t>SKK0</t>
  </si>
  <si>
    <t>175847</t>
  </si>
  <si>
    <t>APLAZAMIENTO O FRACCIONAMIENTO DEL  PAGO DE LAS COSTAS JUDICIALES A PERCIBIR POR LA JCCM.</t>
  </si>
  <si>
    <t>3 MESES EN EL SUPUESTO DE LAS COSTAS JUDICIALES Y 6 MESES PARA EL APLAZAMIENTO O FRACCIONAMIENTO DE PAGO</t>
  </si>
  <si>
    <t>SKWW</t>
  </si>
  <si>
    <t>180154</t>
  </si>
  <si>
    <t>PROCEDIMIENTO DE LIBRE DESIGNACION DE PUESTOS DE TRABAJO VACANTES EN LA ADMINISTRACION DE LA JUNTA DE COMUNIDADES DE CASTILLA-LA MANCHA. (PRESIDENCIA DE LA JUNTA DE COMUNIDADES)</t>
  </si>
  <si>
    <t>SECRETARIA GENERAL DE LA PRESIDENCIA - PRESIDENCIA DE LA JUNTA DE COMUNIDADES</t>
  </si>
  <si>
    <t>SKKW</t>
  </si>
  <si>
    <t>180160</t>
  </si>
  <si>
    <t>INSTRUCCION Nº 2/2017 DE LA DIRECCION DE LOS SERVICIOS JURIDICOS DE LA JUNTA DE COMUNIDADES DE CASTILLA-LA MANCHA PARA LA REPRESENTACION Y DEFENSA EN JUICIO DE LOS EMPLEADOS PUBLICOS DE LA JUNTA DE COMUNIDADES DE CASTILLA-LA MANCHA POR EL GABINETE JURIDICO</t>
  </si>
  <si>
    <t>DEPENDE LOS PLAZOS PROCESALES</t>
  </si>
  <si>
    <t>SKRH</t>
  </si>
  <si>
    <t>180173</t>
  </si>
  <si>
    <t>CONVOCATORIA PARA LA CONSTITUCION DE LA BOLSA DE TRABAJO DEL CUERPO DE LETRADOS DE LA ADMINISTRACION DE LA JUNTA DE COMUNIDADES DE CASTILLA-LA MANCHA.</t>
  </si>
  <si>
    <t>SL5N</t>
  </si>
  <si>
    <t>180225</t>
  </si>
  <si>
    <t>CONVOCATORIA PARA LA PROVISION DE PUESTO DE TRABAJO DE PERSONAL DIRECTIVO PROFESIONAL.</t>
  </si>
  <si>
    <t>DOS MESES.</t>
  </si>
  <si>
    <t>SLQ7</t>
  </si>
  <si>
    <t>Nº
 PROCEDIMIENTO</t>
  </si>
  <si>
    <t xml:space="preserve">CONSEJERIA </t>
  </si>
  <si>
    <t xml:space="preserve">CONSEJERIA   </t>
  </si>
  <si>
    <t>Órgano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</si>
</sst>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0"/>
      <name val="Arial"/>
    </font>
    <font>
      <sz val="8"/>
      <name val="Arial"/>
      <family val="2"/>
    </font>
    <font>
      <sz val="9"/>
      <name val="Arial"/>
      <family val="2"/>
    </font>
    <font>
      <b/>
      <sz val="9"/>
      <name val="Arial"/>
      <family val="2"/>
    </font>
    <font>
      <sz val="9"/>
      <color indexed="81"/>
      <name val="Tahoma"/>
      <family val="2"/>
    </font>
    <font>
      <b/>
      <sz val="9"/>
      <color indexed="81"/>
      <name val="Tahoma"/>
      <family val="2"/>
    </font>
    <font>
      <sz val="10"/>
      <color theme="1"/>
      <name val="Arial"/>
      <family val="2"/>
    </font>
  </fonts>
  <fills count="6">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theme="5" tint="0.79998168889431442"/>
        <bgColor indexed="64"/>
      </patternFill>
    </fill>
    <fill>
      <patternFill patternType="solid">
        <fgColor theme="3" tint="0.79998168889431442"/>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bottom style="thin">
        <color indexed="64"/>
      </bottom>
      <diagonal/>
    </border>
    <border>
      <left style="thin">
        <color rgb="FF999999"/>
      </left>
      <right/>
      <top style="thin">
        <color rgb="FF999999"/>
      </top>
      <bottom/>
      <diagonal/>
    </border>
    <border>
      <left style="thin">
        <color rgb="FF999999"/>
      </left>
      <right/>
      <top/>
      <bottom/>
      <diagonal/>
    </border>
    <border>
      <left style="thin">
        <color rgb="FF999999"/>
      </left>
      <right/>
      <top style="thin">
        <color rgb="FF999999"/>
      </top>
      <bottom style="thin">
        <color rgb="FF999999"/>
      </bottom>
      <diagonal/>
    </border>
    <border>
      <left style="thin">
        <color rgb="FF999999"/>
      </left>
      <right style="thin">
        <color rgb="FF999999"/>
      </right>
      <top style="thin">
        <color rgb="FF999999"/>
      </top>
      <bottom style="thin">
        <color rgb="FF999999"/>
      </bottom>
      <diagonal/>
    </border>
    <border>
      <left style="thin">
        <color indexed="65"/>
      </left>
      <right style="thin">
        <color rgb="FF999999"/>
      </right>
      <top style="thin">
        <color rgb="FF999999"/>
      </top>
      <bottom/>
      <diagonal/>
    </border>
    <border>
      <left/>
      <right style="thin">
        <color rgb="FF999999"/>
      </right>
      <top style="thin">
        <color rgb="FF999999"/>
      </top>
      <bottom/>
      <diagonal/>
    </border>
    <border>
      <left/>
      <right style="thin">
        <color rgb="FF999999"/>
      </right>
      <top/>
      <bottom/>
      <diagonal/>
    </border>
    <border>
      <left/>
      <right style="thin">
        <color rgb="FF999999"/>
      </right>
      <top style="thin">
        <color rgb="FF999999"/>
      </top>
      <bottom style="thin">
        <color rgb="FF999999"/>
      </bottom>
      <diagonal/>
    </border>
  </borders>
  <cellStyleXfs count="1">
    <xf numFmtId="0" fontId="0" fillId="0" borderId="0"/>
  </cellStyleXfs>
  <cellXfs count="36">
    <xf numFmtId="0" fontId="0" fillId="0" borderId="0" xfId="0"/>
    <xf numFmtId="0" fontId="2" fillId="0" borderId="0" xfId="0" applyFont="1" applyAlignment="1">
      <alignment horizontal="center" vertical="center" wrapText="1"/>
    </xf>
    <xf numFmtId="0" fontId="3" fillId="0" borderId="1" xfId="0" applyFont="1" applyBorder="1" applyAlignment="1">
      <alignment horizontal="center" vertical="center" wrapText="1"/>
    </xf>
    <xf numFmtId="0" fontId="2" fillId="0" borderId="1" xfId="0" applyFont="1" applyBorder="1" applyAlignment="1">
      <alignment horizontal="center" vertical="center" wrapText="1"/>
    </xf>
    <xf numFmtId="0" fontId="3" fillId="0" borderId="1" xfId="0" quotePrefix="1" applyFont="1" applyBorder="1" applyAlignment="1">
      <alignment horizontal="center" vertical="center" wrapText="1"/>
    </xf>
    <xf numFmtId="0" fontId="2" fillId="0" borderId="0" xfId="0" applyFont="1"/>
    <xf numFmtId="0" fontId="3" fillId="0" borderId="1" xfId="0" applyFont="1" applyBorder="1" applyAlignment="1">
      <alignment horizontal="center" vertical="center"/>
    </xf>
    <xf numFmtId="0" fontId="3" fillId="0" borderId="1" xfId="0" quotePrefix="1" applyFont="1" applyBorder="1" applyAlignment="1">
      <alignment horizontal="center" vertical="center"/>
    </xf>
    <xf numFmtId="0" fontId="2" fillId="0" borderId="0" xfId="0" applyFont="1" applyAlignment="1">
      <alignment horizontal="center" vertical="center"/>
    </xf>
    <xf numFmtId="0" fontId="0" fillId="0" borderId="1" xfId="0" applyBorder="1" applyAlignment="1">
      <alignment horizontal="center" vertical="center" wrapText="1"/>
    </xf>
    <xf numFmtId="0" fontId="6" fillId="0" borderId="1" xfId="0" applyFont="1" applyBorder="1" applyAlignment="1">
      <alignment horizontal="center" vertical="center" wrapText="1"/>
    </xf>
    <xf numFmtId="0" fontId="2" fillId="0" borderId="0" xfId="0" applyFont="1" applyAlignment="1">
      <alignment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0" fillId="0" borderId="4" xfId="0" applyBorder="1"/>
    <xf numFmtId="0" fontId="0" fillId="0" borderId="4" xfId="0" pivotButton="1" applyBorder="1"/>
    <xf numFmtId="0" fontId="0" fillId="0" borderId="5" xfId="0" applyBorder="1"/>
    <xf numFmtId="0" fontId="0" fillId="0" borderId="6" xfId="0" applyBorder="1"/>
    <xf numFmtId="0" fontId="0" fillId="0" borderId="7" xfId="0" pivotButton="1" applyBorder="1"/>
    <xf numFmtId="0" fontId="0" fillId="0" borderId="7" xfId="0" applyBorder="1"/>
    <xf numFmtId="0" fontId="0" fillId="0" borderId="7" xfId="0" applyBorder="1" applyAlignment="1">
      <alignment horizontal="center" vertical="center"/>
    </xf>
    <xf numFmtId="0" fontId="0" fillId="0" borderId="0" xfId="0" applyAlignment="1">
      <alignment horizontal="center" vertical="center"/>
    </xf>
    <xf numFmtId="0" fontId="0" fillId="0" borderId="0" xfId="0" applyAlignment="1">
      <alignment vertical="center"/>
    </xf>
    <xf numFmtId="0" fontId="0" fillId="0" borderId="9" xfId="0" applyBorder="1"/>
    <xf numFmtId="0" fontId="0" fillId="0" borderId="4" xfId="0" applyBorder="1" applyAlignment="1">
      <alignment horizontal="center" vertical="center"/>
    </xf>
    <xf numFmtId="10" fontId="0" fillId="0" borderId="9" xfId="0" applyNumberFormat="1" applyBorder="1" applyAlignment="1">
      <alignment horizontal="center" vertical="center"/>
    </xf>
    <xf numFmtId="0" fontId="0" fillId="0" borderId="5" xfId="0" applyBorder="1" applyAlignment="1">
      <alignment horizontal="center" vertical="center"/>
    </xf>
    <xf numFmtId="10" fontId="0" fillId="0" borderId="10" xfId="0" applyNumberFormat="1" applyBorder="1" applyAlignment="1">
      <alignment horizontal="center" vertical="center"/>
    </xf>
    <xf numFmtId="0" fontId="0" fillId="0" borderId="6" xfId="0" applyBorder="1" applyAlignment="1">
      <alignment horizontal="center" vertical="center"/>
    </xf>
    <xf numFmtId="10" fontId="0" fillId="0" borderId="11" xfId="0" applyNumberFormat="1" applyBorder="1" applyAlignment="1">
      <alignment horizontal="center" vertical="center"/>
    </xf>
    <xf numFmtId="0" fontId="0" fillId="0" borderId="8" xfId="0" applyBorder="1" applyAlignment="1">
      <alignment horizontal="center" vertical="center"/>
    </xf>
    <xf numFmtId="0" fontId="0" fillId="2" borderId="5" xfId="0" applyFill="1" applyBorder="1"/>
    <xf numFmtId="0" fontId="0" fillId="3" borderId="5" xfId="0" applyFill="1" applyBorder="1" applyAlignment="1">
      <alignment horizontal="center" vertical="center"/>
    </xf>
    <xf numFmtId="0" fontId="0" fillId="4" borderId="5" xfId="0" applyFill="1" applyBorder="1" applyAlignment="1">
      <alignment horizontal="center" vertical="center"/>
    </xf>
    <xf numFmtId="0" fontId="0" fillId="4" borderId="0" xfId="0" applyFill="1"/>
    <xf numFmtId="0" fontId="0" fillId="5" borderId="0" xfId="0" applyFill="1"/>
  </cellXfs>
  <cellStyles count="1">
    <cellStyle name="Normal" xfId="0" builtinId="0"/>
  </cellStyles>
  <dxfs count="17">
    <dxf>
      <alignment horizontal="center"/>
    </dxf>
    <dxf>
      <alignment horizontal="center"/>
    </dxf>
    <dxf>
      <alignment horizontal="center"/>
    </dxf>
    <dxf>
      <alignment vertical="center"/>
    </dxf>
    <dxf>
      <alignment vertical="center"/>
    </dxf>
    <dxf>
      <alignment vertical="center"/>
    </dxf>
    <dxf>
      <numFmt numFmtId="14" formatCode="0.00%"/>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5"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Felipe Antonio Duarte Espinoza" refreshedDate="44937.432887384261" createdVersion="1" refreshedVersion="8" recordCount="2139" upgradeOnRefresh="1" xr:uid="{00000000-000A-0000-FFFF-FFFF07000000}">
  <cacheSource type="worksheet">
    <worksheetSource ref="A1:M2140" sheet="Total"/>
  </cacheSource>
  <cacheFields count="13">
    <cacheField name="DEPTO" numFmtId="0">
      <sharedItems count="14">
        <s v="Presidencia"/>
        <s v="Economía, Empresas y Empleo"/>
        <s v="Hacienda y AA.PP."/>
        <s v="Sanidad"/>
        <s v="D. Sostenible"/>
        <s v="Agencia del Agua CLM"/>
        <s v="Agricultura,Agua y D. R."/>
        <s v="IRIAF"/>
        <s v="Educación, Cultura y Deportes"/>
        <s v="Fomento"/>
        <s v="Instituto de la Mujer"/>
        <s v="IPEX"/>
        <s v="SESCAM"/>
        <s v="BIENESTAR SOCIAL"/>
      </sharedItems>
    </cacheField>
    <cacheField name="Nº PROCEDIMIENTO" numFmtId="0">
      <sharedItems/>
    </cacheField>
    <cacheField name="NOMBRE" numFmtId="0">
      <sharedItems/>
    </cacheField>
    <cacheField name="PLAZO  " numFmtId="0">
      <sharedItems/>
    </cacheField>
    <cacheField name="SILENCIO" numFmtId="0">
      <sharedItems count="6">
        <s v="Estimatorio"/>
        <s v="Desestimatorio"/>
        <s v=""/>
        <s v="Caducidad"/>
        <s v="Actividad de control"/>
        <s v="Autogestion"/>
      </sharedItems>
    </cacheField>
    <cacheField name="CONSEJERIA  " numFmtId="0">
      <sharedItems count="13">
        <s v="CONSEJERIA DE BIENESTAR SOCIAL"/>
        <s v="CONSEJERIA DE ECONOMIA, EMPRESAS Y EMPLEO"/>
        <s v="CONSEJERIA DE HACIENDA Y ADMINISTRACIONES PUBLICAS"/>
        <s v="CONSEJERIA DE SANIDAD"/>
        <s v="CONSEJERIA DE DESARROLLO SOSTENIBLE"/>
        <s v="AGENCIA DEL AGUA DE CASTILLA-LA MANCHA"/>
        <s v="CONSEJERIA DE AGRICULTURA, AGUA Y DESARROLLO RURAL"/>
        <s v="INSTITUTO REGIONAL INVESTIGACION Y DESARROLLO AGROALIMENTARIO Y FORESTAL (IRIAF)"/>
        <s v="CONSEJERIA DE EDUCACION, CULTURA Y DEPORTES"/>
        <s v="CONSEJERIA DE FOMENTO"/>
        <s v="INSTITUTO DE LA MUJER DE CASTILLA-LA MANCHA"/>
        <s v="INSTITUTO DE PROMOCION EXTERIOR DE CASTILLA-LA MANCHA (IPEX)"/>
        <s v="SERVICIO DE SALUD DE CASTILLA-LA MANCHA (SESCAM)"/>
      </sharedItems>
    </cacheField>
    <cacheField name="ÓRGANO" numFmtId="0">
      <sharedItems count="78">
        <s v="SECRETARIA GENERAL BIENESTAR SOCIAL - CONSEJERIA DE BIENESTAR SOCIAL"/>
        <s v="DIRECCION GENERAL DISCAPACIDAD - CONSEJERIA DE BIENESTAR SOCIAL"/>
        <s v="CONSEJERIA DE BIENESTAR SOCIAL"/>
        <s v="DIRECCION GENERAL ACCION SOCIAL - CONSEJERIA DE BIENESTAR SOCIAL"/>
        <s v="DIRECCION GENERAL INFANCIA Y FAMILIA - CONSEJERIA DE BIENESTAR SOCIAL"/>
        <s v="VICECONSEJERIA SERVICIOS Y PRESTACIONES SOCIALES - CONSEJERIA DE BIENESTAR SOCIAL"/>
        <s v="DIRECCION GENERAL MAYORES - CONSEJERIA DE BIENESTAR SOCIAL"/>
        <s v="DIRECCION GENERAL TURISMO, COMERCIO Y ARTESANIA - CONSEJERIA DE ECONOMIA, EMPRESAS Y EMPLEO"/>
        <s v="VICECONSEJERIA EMPLEO, DIALOGO SOCIAL Y BIENESTAR LABORAL - CONSEJERIA DE ECONOMIA, EMPRESAS Y EMPLEO"/>
        <s v="DIRECCION GENERAL AUTONOMOS, TRABAJO  Y ECONOMIA SOCIAL - CONSEJERIA DE ECONOMIA, EMPRESAS Y EMPLEO"/>
        <s v="DIRECCION GENERAL FORMACION PROFESIONAL PARA EL EMPLEO - CONSEJERIA DE ECONOMIA, EMPRESAS Y EMPLEO"/>
        <s v="CONSEJERIA DE ECONOMIA, EMPRESAS Y EMPLEO"/>
        <s v="DIRECCION GENERAL PROGRAMAS DE EMPLEO - CONSEJERIA DE ECONOMIA, EMPRESAS Y EMPLEO"/>
        <s v="DIRECCION GENERAL EMPRESAS - CONSEJERIA DE ECONOMIA, EMPRESAS Y EMPLEO"/>
        <s v="SECRETARIA GENERAL ECONOMIA, EMPRESAS Y EMPLEO - CONSEJERIA DE ECONOMIA, EMPRESAS Y EMPLEO"/>
        <s v="VICECONSEJERIA DE ADMINISTRACION LOCAL Y COORDINACION ADMINISTRATIVA - CONSEJERIA DE HACIENDA Y ADMINISTRACIONES PUBLICAS"/>
        <s v="DIRECCION GENERAL PROTECCION CIUDADANA - VICECONSEJERIA DE ADMINISTRACION LOCAL Y COORDINACION ADMINISTRATIVA - CONSEJERIA DE HACIENDA Y ADMINISTRACIONES PUBLICAS"/>
        <s v="DIRECCION GENERAL TRIBUTOS Y ORDENACION DEL JUEGO - CONSEJERIA DE HACIENDA Y ADMINISTRACIONES PUBLICAS"/>
        <s v="DIRECCION GENERAL FUNCION PUBLICA - CONSEJERIA DE HACIENDA Y ADMINISTRACIONES PUBLICAS"/>
        <s v="SECRETARIA GENERAL CONSEJERIA DE HACIENDA Y ADMINISTRACIONES PUBLICAS - CONSEJERIA DE HACIENDA Y ADMINISTRACIONES PUBLICAS"/>
        <s v="DIRECCION GENERAL POLITICA FINANCIERA, TESORERIA Y FONDOS COMUNITARIOS - CONSEJERIA DE HACIENDA Y ADMINISTRACIONES PUBLICAS"/>
        <s v="DIRECCION GENERAL ADMINISTRACION DIGITAL - CONSEJERIA DE HACIENDA Y ADMINISTRACIONES PUBLICAS"/>
        <s v="INTERVENCION GENERAL DE LA JUNTA DE COMUNIDADES - CONSEJERIA DE HACIENDA Y ADMINISTRACIONES PUBLICAS"/>
        <s v="ESCUELA DE ADMINISTRACION REGIONAL - DIRECCION GENERAL FUNCION PUBLICA - CONSEJERIA DE HACIENDA Y ADMINISTRACIONES PUBLICAS"/>
        <s v="CONSEJERIA DE HACIENDA Y ADMINISTRACIONES PUBLICAS"/>
        <s v="DIRECCION GENERAL PLANIFICACION, ORDENACION E INSPECCION SANITARIA - CONSEJERIA DE SANIDAD"/>
        <s v="DIRECCION GENERAL SALUD PUBLICA - CONSEJERIA DE SANIDAD"/>
        <s v="DIRECCION GENERAL HUMANIZACION Y ATENCION SOCIOSANITARIA - CONSEJERIA DE SANIDAD"/>
        <s v="CONSEJERIA DE SANIDAD"/>
        <s v="SECRETARIA GENERAL SANIDAD - CONSEJERIA DE SANIDAD"/>
        <s v="DIRECCION GENERAL TRANSICION ENERGETICA - CONSEJERIA DE DESARROLLO SOSTENIBLE"/>
        <s v="DIRECCION GENERAL MEDIO NATURAL Y BIODIVERSIDAD - CONSEJERIA DE DESARROLLO SOSTENIBLE"/>
        <s v="DIRECCION GENERAL ECONOMIA CIRCULAR - CONSEJERIA DE DESARROLLO SOSTENIBLE"/>
        <s v="VICECONSEJERIA MEDIO AMBIENTE - CONSEJERIA DE DESARROLLO SOSTENIBLE"/>
        <s v="DIRECCION GENERAL COHESION TERRITORIAL - CONSEJERIA DE DESARROLLO SOSTENIBLE"/>
        <s v="DIRECCION GENERAL AGENDA 2030 Y CONSUMO - CONSEJERIA DE DESARROLLO SOSTENIBLE"/>
        <s v="CONSEJERIA DE DESARROLLO SOSTENIBLE"/>
        <s v="SECRETARIA GENERAL DESARROLLO SOSTENIBLE - CONSEJERIA DE DESARROLLO SOSTENIBLE"/>
        <s v="AGENCIA DEL AGUA DE CASTILLA-LA MANCHA"/>
        <s v="DIRECCION GENERAL DESARROLLO RURAL - CONSEJERIA DE AGRICULTURA, AGUA Y DESARROLLO RURAL"/>
        <s v="DIRECCION GENERAL AGRICULTURA Y GANADERIA - CONSEJERIA DE AGRICULTURA, AGUA Y DESARROLLO RURAL"/>
        <s v="DIRECCION GENERAL ALIMENTACION - CONSEJERIA DE AGRICULTURA, AGUA Y DESARROLLO RURAL"/>
        <s v="SECRETARIA GENERAL AGRICULTURA, AGUA Y DESARROLLO RURAL - CONSEJERIA DE AGRICULTURA, AGUA Y DESARROLLO RURAL"/>
        <s v="DIRECCION GENERAL POLITICAS AGROAMBIENTALES - CONSEJERIA DE AGRICULTURA, AGUA Y DESARROLLO RURAL"/>
        <s v="CONSEJERIA DE AGRICULTURA, AGUA Y DESARROLLO RURAL"/>
        <s v="VICECONSEJERIA MEDIO RURAL - CONSEJERIA DE AGRICULTURA, AGUA Y DESARROLLO RURAL"/>
        <s v="INSTITUTO REGIONAL INVESTIGACION Y DESARROLLO AGROALIMENTARIO Y FORESTAL (IRIAF)"/>
        <s v="DIRECCION GENERAL JUVENTUD Y DEPORTES - CONSEJERIA DE EDUCACION, CULTURA Y DEPORTES"/>
        <s v="DIRECCION GENERAL INCLUSION EDUCATIVA Y PROGRAMAS - CONSEJERIA DE EDUCACION, CULTURA Y DEPORTES"/>
        <s v="VICECONSEJERIA EDUCACION - CONSEJERIA DE EDUCACION, CULTURA Y DEPORTES"/>
        <s v="SECRETARIA GENERAL EDUCACION, CULTURA Y DEPORTES - CONSEJERIA DE EDUCACION, CULTURA Y DEPORTES"/>
        <s v="VICECONSEJERIA CULTURA Y DEPORTES - CONSEJERIA DE EDUCACION, CULTURA Y DEPORTES"/>
        <s v="DIRECCION GENERAL FORMACION PROFESIONAL - CONSEJERIA DE EDUCACION, CULTURA Y DEPORTES"/>
        <s v="DIRECCION GENERAL RECURSOS HUMANOS Y PLANIFICACION EDUCATIVA - CONSEJERIA DE EDUCACION, CULTURA Y DEPORTES"/>
        <s v="DIRECCION GENERAL UNIVERSIDADES, INVESTIGACION E INNOVACION - CONSEJERIA DE EDUCACION, CULTURA Y DEPORTES"/>
        <s v="CONSEJERIA DE EDUCACION, CULTURA Y DEPORTES"/>
        <s v="DELEGACION PROVINCIAL CONSEJERIA EDUCACION, CULTURA Y DEPORTES CUENCA - CONSEJERIA DE EDUCACION, CULTURA Y DEPORTES"/>
        <s v="DIRECCION GENERAL CARRETERAS - CONSEJERIA DE FOMENTO"/>
        <s v="DIRECCION GENERAL VIVIENDA - CONSEJERIA DE FOMENTO"/>
        <s v="DIRECCION GENERAL TRANSPORTES Y MOVILIDAD - CONSEJERIA DE FOMENTO"/>
        <s v="SECRETARIA GENERAL FOMENTO - CONSEJERIA DE FOMENTO"/>
        <s v="DIRECCION GENERAL PLANIFICACION TERRITORIAL Y URBANISMO - CONSEJERIA DE FOMENTO"/>
        <s v="CONSEJERIA DE FOMENTO"/>
        <s v="INSTITUTO DE LA MUJER DE CASTILLA-LA MANCHA"/>
        <s v="INSTITUTO DE PROMOCION EXTERIOR DE CASTILLA-LA MANCHA (IPEX)"/>
        <s v="DIRECCION GERENCIA SESCAM - SERVICIO DE SALUD DE CASTILLA-LA MANCHA (SESCAM)"/>
        <s v="DIRECCION GENERAL RECURSOS HUMANOS - SERVICIO DE SALUD DE CASTILLA-LA MANCHA (SESCAM)"/>
        <s v="DIRECCION GENERAL ASISTENCIA SANITARIA - SERVICIO DE SALUD DE CASTILLA-LA MANCHA (SESCAM)"/>
        <s v="SERVICIO DE SALUD DE CASTILLA-LA MANCHA (SESCAM)"/>
        <s v="DIRECCION GENERAL CUIDADOS Y CALIDAD - DIRECCION GENERAL ASISTENCIA SANITARIA - SERVICIO DE SALUD DE CASTILLA-LA MANCHA (SESCAM)"/>
        <s v="GERENCIA DE ATENCION INTEGRADA TALAVERA DE LA REINA-HOSPITAL NTRA SRA DEL PRADO - SERVICIO DE SALUD DE CASTILLA-LA MANCHA (SESCAM)"/>
        <s v="GERENCIA ATENCION INTEGRADA ALCAZAR DE SAN JUAN - HOSPITAL LA MANCHA CENTRO - SERVICIO DE SALUD DE CASTILLA-LA MANCHA (SESCAM)"/>
        <s v="GERENCIA ATENCION INTEGRADA ALBACETE-COMPLEJO HOSPITALARIO UNIVERSITARIO - SERVICIO DE SALUD DE CASTILLA-LA MANCHA (SESCAM)"/>
        <s v="SECRETARIA GENERAL SESCAM - SERVICIO DE SALUD DE CASTILLA-LA MANCHA (SESCAM)"/>
        <s v="GERENCIA HOSPITAL NACIONAL DE PARAPLEJICOS - SERVICIO DE SALUD DE CASTILLA-LA MANCHA (SESCAM)"/>
        <s v="GERENCIA ATENCION INTEGRADA CIUDAD REAL - HOSPITAL GENERAL UNIVERSITARIO - SERVICIO DE SALUD DE CASTILLA-LA MANCHA (SESCAM)"/>
        <s v="GERENCIA ATENCION INTEGRADA TOMELLOSO - HOSPITAL GENERAL DE TOMELLOSO - SERVICIO DE SALUD DE CASTILLA-LA MANCHA (SESCAM)"/>
        <s v="VICECONSEJERIA PROMOCION DE LA AUTONOMIA Y ATENCION A LA DEPENDENCIA - CONSEJERIA DE BIENESTAR SOCIAL"/>
      </sharedItems>
    </cacheField>
    <cacheField name="CÓDIGO" numFmtId="0">
      <sharedItems/>
    </cacheField>
    <cacheField name="TRAMITE" numFmtId="0">
      <sharedItems count="2100">
        <s v="AUTORIZACION ADMINISTRATIVA DE CENTROS SOCIALES"/>
        <s v="TARJETA DE ESTACIONAMIENTO PARA PERSONAS CON DISCAPACIDAD CON MOVILIDAD REDUCIDA"/>
        <s v="RECONOCIMIENTO OFICIAL DE LA ENTIDAD DE ADIESTRAMIENTO DE PERROS DE ASISTENCIA, BAJA O MODIFICACION DE DATOS EN EL REGISTRO DE UNIDADES DE VINCULACION."/>
        <s v="COMUNICACION DE CAMBIO DE ENTIDAD TITULAR O GESTORA, CESE DE ACTIVIDAD DE UN SERVICIO SOCIAL"/>
        <s v="AUTORIZACION ADMINISTRATIVA DE SERVICIOS SOCIALES"/>
        <s v="ACREDITACION E INSCRIPCION REGISTRAL DE ENTIDADES DE VOLUNTARIADO"/>
        <s v="PROCEDIMIENTO DE RECONOCIMIENTO DE LA UNIDAD DE VINCULACION CON PERRO DE ASISTENCIA/ PERRO DE ASISTENCIA JUBILADO,SOLICITUD DE DUPLICADOS CARNETS Y DISTINTIVOS Y BAJA EN EL REGISTRO DE UNIDADES"/>
        <s v="AYUDAS ECONOMICAS DE APOYO POR ACOGIMIENTO FAMILIAR DE MENORES."/>
        <s v="AYUDAS DE AUTONOMIA PERSONAL"/>
        <s v="AYUDAS DE EMERGENCIA SOCIAL"/>
        <s v="AYUDAS ECONOMICAS A FAMILIAS NUMEROSAS"/>
        <s v="INGRESO MINIMO DE SOLIDARIDAD"/>
        <s v="SOLICITUD DE AYUDA PARA EL MANTENIMIENTO DE LAS CONDICIONES BASICAS DE VIDA"/>
        <s v="SOLICITUD DE SUBVENCIONES A EATIM, MUNICIPIOS, MANCOMUNIDADES Y AGRUPACIONES MUNICIPALES PARA EL DESARROLLO DE PROGRAMAS Y PROYECTOS DE ATENCION A PERSONAS MAYORES."/>
        <s v="COMUNICACION DE CELEBRACION DE ACTIVIDADES FERIALES EN CASTILLA-LA MANCHA. REGISTRO."/>
        <s v="COMUNICACION VENTAS EN LIQUIDACION"/>
        <s v="COMUNICACION VENTAS AUTOMATICAS"/>
        <s v="COMUNICACION VENTA SUBASTA PUBLICA"/>
        <s v="DECLARACION RESPONSABLE PARA EL INICIO/MODIFICACIONES DE CAMPAMENTO DE TURISMO EN CASTILLA-LA MANCHA E INSCRIPCION EN  EL REGISTRO GENERAL DE EMPRESAS, ESTABLECIMIENTOS Y ASOCIACIONES DE EMPRESAS TURI"/>
        <s v="AUTORIZACION DE PERSONAS O ENTIDADES ESPECIALIZADAS QUE PRETENDAN DESARROLLAR LA ACTIVIDAD DE AUDITORIA DEL SISTEMA DE PREVENCION."/>
        <s v="COMUNICACION DE APERTURA DE CENTROS DE TRABAJO."/>
        <s v="AUTORIZACION DE EMPRESAS DE TRABAJO TEMPORAL"/>
        <s v="SOLICITUD DE AUTORIZACION PARA LA PARTICIPACION DE MENORES DE 16 AÑOS EN ESPECTACULOS PUBLICOS."/>
        <s v="COMUNICACION INICIO DE ACTIVIDAD COMO AGENCIA DE COLOCACION Y ACTUALIZACION DE CENTROS DE TRABAJO"/>
        <s v="REGISTRO DE CENTROS Y ENTIDADES QUE IMPARTEN FORMACION PROFESIONAL PARA EL EMPLEO EN CASTILLA-LA MANCHA"/>
        <s v="COMUNICACION DE VENTA DOMICILIARIA"/>
        <s v="COMUNICACION DE DESPLAZAMIENTO EN EL MARCO DE UNA PRESTACION DE SERVICIOS TRANSNACIONAL"/>
        <s v="AUTORIZACION PARA LA REALIZACION DE ACCION FORMATIVA CONDUCENTE A LA OBTENCION  DE CERTIFICADO DE PROFESIONALIDAD REALIZADA POR EMPRESAS Y CENTROS DE INCIATIVA PRIVADA"/>
        <s v="HUELGA: COMUNICACION A LA AUTORIDAD LABORAL"/>
        <s v="HABILITACION DEL LIBRO DE SUBCONTRATACION EN EL SECTOR DE LA CONSTRUCCION."/>
        <s v="AUTORIZACION PARA LA ADQUISICION DE LA CONDICION DE NUEVO MIEMBRO Y SOCIO DE LA RED EURES EN ESPAÑA."/>
        <s v="MEDIDAS EN MATERIA DE SUBVENCIONES PARA EL FOMENTO DEL EMPLEO, PARA PALIAR LOS EFECTOS DE LA CRISIS PROVOCADA POR EL COVID-19."/>
        <s v="DECLARACION RESPONSABLE SOBRE LA IMPARTICION EXCEPCIONAL DE LAS ACCIONES FORMATIVAS DE LA MODALIDAD PRESENCIAL DE FPPE"/>
        <s v="EXPEDIENTES DE SOLICITUD DE DECLARACION DE EMPRESA DEPENDIENTE O INTEGRANTE DE LA CADENA DE VALOR EN EXPEDIENTES DE REGULACION TEMPORAL DE EMPLEO"/>
        <s v="COMUNICACION DE DATOS AL REGISTRO DE EMPRESAS DE VENTAS A DISTANCIA"/>
        <s v="DECLARACION RESPONSABLE DE CESE DE ACTIVIDAD COMO ESTABLECIMIENTO HOTELERO DE CASTILLA-LA MANCHA Y BAJA EN EL REGISTRO GENERAL REGULADO EN EL DECRETO 5/2007, DE 22 DE ENERO"/>
        <s v="DECLARACION RESPONSABLE DE INICIO DE ACTIVIDAD COMO ESTABLECIMIENTO HOTELERO DE CASTILLA-LA MANCHA E INSCRIPCION EN EL REGISTRO GENERAL REGULADO EN EL DECRETO 5/2007, DE 22 DE ENERO"/>
        <s v="DECLARACION RESPONSABLE DE CAMBIO DE TITULARIDAD, CATEGORIA O DENOMINACION/MODIFICACION DE CAPACIDAD, COMO ESTABLECIMIENTO HOTELERO DE CASTILLA-LA MANCHA E INSCRIPCION  EN EL REGISTRO GENERAL REG"/>
        <s v="MODIFICACION DE ACTIVIDAD/ES COMO EMPRESA DE TURISMO ACTIVO/ECOTURISMO"/>
        <s v="CAMBIO DE TITULARIDAD,  CAMBIO DE DENOMINACION, CESE TOTAL DE ACTIVIDAD/ES, O CESE PARCIAL DE ACTIVIDAD/ES, COMO EMPRESA DE TURISMO ACTIVO/ECOTURISMO"/>
        <s v="DECLARACION RESPONSABLE DE INICIO DE ACTIVIDAD COMO EMPRESA DE TURISMO ACTIVO/ECOTURISMO"/>
        <s v="MODIFICACION DE CAPACIDAD COMO ALOJAMIENTO DE TURISMO RURAL EN EL REGISTRO GENERAL."/>
        <s v="INICIO DE ACTIVIDAD COMO ALOJAMIENTOS DE TURISMO RURAL DE CASTILLA-LA MANCHA E INSCRIPCION EN EL REGISTRO GENERAL."/>
        <s v="CESE DE ACTIVIDAD, CAMBIO DE TITULARIDAD Y CAMBIO  DE DENOMINACION COMO ALOJAMIENTO DE TURISMO RURAL DE CASTILLA-LA MANCHA Y BAJA EN EL REGISTRO GENERAL"/>
        <s v="DECLARACION DE EXCEPCIONALIDAD PARA EL CUMPLIMIENTO ALTERNATIVO DE LA CUOTA DE RESERVA DE PLANTILLA A FAVOR DE TRABAJADORES CON DISCAPACIDAD"/>
        <s v="COMUNICACION DE MEDIDAS ALTERNATIVAS AL CUMPLIMIENTO DE LA OBLIGACION DE RESERVA DEL 2% DE PLANTILLA A FAVOR DE TRABAJADORES CON DISCAPACIDAD."/>
        <s v="AUTORIZACION PARA LA COMUNICACION DE LA CONTRATACION A TRAVES DE LA APLICACION CONTRAT@"/>
        <s v="COMUNICACION PRESENCIAL EXCEPCIONAL DE CONTRATOS DE TRABAJO,COPIAS BASICAS, PRORROGAS,TRANSFORMACIONES, MODIFICACIONES,CORRECCIONES/ANULACIONES Y LLAMAMIENTOS A LA CONSEJERIA DE EMPLEO Y ECONOMIA"/>
        <s v="COMUNICACION DE CAMBIO DE TITULARIDAD, CAMBIO DE DENOMINACION O CESE DE ACTIVIDAD COMO APARTAMENTO TURISTICO EN EL REGISTRO GENERAL REGULADO EN EL DECRETO 5/2007."/>
        <s v="DECLARACION RESPONSABLE DE MODIFICACION DE CAPACIDAD O CAMBIO DE CATEGORIA, COMO APARTAMENTO TURISTICO DE CASTILLA-LA MANCHA E INSCRIPCION  EN EL REGISTRO GENERAL REGULADO EN EL DECRETO 5/2007"/>
        <s v="DECLARACION RESPONSABLE DE INICIO DE ACTIVIDAD COMO APARTAMENTO TURISTICO DE CASTILLA-LA MANCHA E INSCRIPCION EN EL REGISTRO GENERAL REGULADO EN EL DECRETO 5/2007, DE 22 DE ENERO"/>
        <s v="DECLARACION RESPONSABLE DE INICIO DE ACTIVIDAD COMO VIVIENDA DE USO  TURISTICO DE CASTILLA-LA MANCHA E INSCRIPCION EN EL REGISTRO GENERAL REGULADO EN EL DECRETO 5/2007, DE 22 DE ENERO"/>
        <s v="COMUNICACION DE CAMBIO DE TITULARIDAD, CAMBIO DE DENOMINACION O CESE DE ACTIVIDAD COMO VIVIENDA DE USO TURISTICO EN EL REGISTRO GENERAL REGULADO EN EL DECRETO 5/2007."/>
        <s v="DECLARACION RESPONSABLE DE  MODIFICACION DE CAPACIDAD COMO VIVIENDA DE USO TURISTICO  E INSCRIPCION EN EL REGISTRO GENERAL REGULADO EN EL DECRETO 5/2007"/>
        <s v="COMUNICACION RELATIVA AL CESE DE ACTIVIDAD, CAMBIO DE TITULARIDAD Y CAMBIO  DE DENOMINACION COMO ALBERGUE TURISTICO DE CASTILLA-LA MANCHA Y BAJA EN EL REGISTRO GENERAL"/>
        <s v="DECLARACION RESPONSABLE RELATIVA A LA MODIFICACION DE CAPACIDAD COMO ALBERGUE TURISTICO EN EL REGISTRO GENERAL."/>
        <s v="DECLARACION RESPONSABLE RELATIVA AL INICIO DE ACTIVIDAD COMO ALBERGUE TURISTICO DE CASTILLA-LA MANCHA E INSCRIPCION EN EL REGISTRO GENERAL."/>
        <s v="ADHESION RED DE HOSPEDERIAS DE CASTILLA- LA MANCHA."/>
        <s v="COMUNICACION DE BAJA VOLUNTARIA, CAMBIO DE TITULARIDAD Y CAMBIO DE DENOMINACION DE HOTEL ADHERIDO A LA RED DE HOSPEDERIAS DE CASTILLA-LA MANCHACOMUNICACION DE BAJA VOLUNTARIA, CAMBIO DE TITULARIDAD Y"/>
        <s v="DECLARACION RESPONSABLE RELATIVA A LA MODIFICACION DE LA CAPACIDAD Y MODIFICACION DE LA CATEGORIA DEL HOTEL ADHERIDO A LA RED DE HOSPEDERIAS DE CASTILLA-LA MANCHA"/>
        <s v="COMUNICACION RELATIVA AL CESE DE ACTIVIDAD, CAMBIO DE TITULARIDAD Y CAMBIO  DE DENOMINACION COMO AREAS DE PERNOCTA PARA AUTOCARAVANAS Y BAJA EN EL REGISTRO GENERAL"/>
        <s v="DECLARACION RESPONSABLE RELATIVA AL INICIO DE ACTIVIDAD COMO AREAS DE PERNOCTA PARA AUTOCARAVANAS DE CASTILLA-LA MANCHA  E INSCRIPCION EN EL REGISTRO GENERAL."/>
        <s v="DECLARACION RESPONSABLE RELATIVA A LA MODIFICACION DE CAPACIDAD COMO AREA DE PERNOCTA PARA AUTOCARAVANAS EN EL REGISTRO GENERAL."/>
        <s v="COMUNICACION RELATIVA AL CESE DE ACTIVIDAD, CAMBIO DE TITULARIDAD Y CAMBIO  DE DENOMINACION COMO CAMPING Y BAJA EN EL REGISTRO GENERAL"/>
        <s v="DECLARACION RESPONSABLE RELATIVA AL INICIO DE ACTIVIDAD COMO CAMPING DE CASTILLA-LA MANCHA E INSCRIPCION EN EL REGISTRO GENERAL."/>
        <s v="DECLARACION RESPONSABLE RELATIVA A LA MODIFICACION DE CAPACIDAD COMO CAMPING EN EL REGISTRO GENERAL."/>
        <s v="RENOVACION, DUPLICADO O MODIFICACION DE DATOS DEL CARNE DE INFORMADOR TURISTICO DE AMBITO LOCAL DE CASTILLA-LA MANCHA"/>
        <s v="EXPEDICION,RENOVACION, DUPLICADO O MODIFICACION DE DATOS DEL CARNE DE GUIA DE TURISMO DE CASTILLA-LA MANCHA"/>
        <s v="RECONOCIMIENTO CUALIFICACION PROFESIONAL COMO GUIA DE TURISMO DE CASTILLA-LA MANCHA POR PROFESIONALES DE LA UNION EUROPEA. ESTABLECIMIENTO"/>
        <s v="DECLARACION EJERCICIO DE LA ACTIVIDAD DE GUIA DE TURISMO EN CASTILLA-LA MANCHA POR PROFESIONALES DE LA UNION EUROPEA"/>
        <s v="SOLICITUD DE HABILITACION DE INFORMADOR TURISTICO DE AMBITO LOCAL DE CASTILLA-LA MANCHA"/>
        <s v="DECLARACION RESPONSABLE RELATIVA AL INICIO DE ACTIVIDAD COMO EMPRESA DE INFORMACION TURISTICA DE CASTILLA-LA MANCHA E INSCRIPCION EN EL REGISTRO GENERAL"/>
        <s v="COMUNICACION DE CESE DE ACTIVIDAD, CAMBIO DE TITULARIDAD Y CAMBIO DE DENOMINACION DE EMPRESA DE INFORMACION TURISTICA ."/>
        <s v="COMUNICACION PREVIA DEL INICIO DE TRABAJOS."/>
        <s v="REGISTRO DE DATOS DE EVALUACION DE LA EXPOSICION EN LOS TRABAJOS CON AMIANTO."/>
        <s v="APROBACION DE PLAN DE TRABAJO CON RIESGO DE AMIANTO."/>
        <s v="EXPEDIENTES DE REGULACION TEMPORAL DE EMPLEO. PRORROGA DE ERTE."/>
        <s v="ERTE POR MECANISMO RED"/>
        <s v="ERTE POR FUERZA MAYOR TEMPORAL, IMPEDIMENTO Y LIMITACION."/>
        <s v="ERTE POR CAUSAS ECONOMICAS, TECNICAS, ORGANIZATIVAS O DE PRODUCCION."/>
        <s v="EMPRESA DE INTERMEDIACION TURISTICA DE CASTILLA-LA MANCHA INICIO DE ACTIVIDAD SEDE PRINCIPAL"/>
        <s v="EMPRESA DE INTERMEDIACION TURISTICA DE C-LM.  COMUNICACION DE CAMBIO DE DENOMINACION, DE CLASIFICACION DE AGENCIAS DE VIAJE, ASI COMO DE CESE DE ACTIVIDAD"/>
        <s v="EMPRESAS INTERMEDIACION TURISTICA DE C-LM. DECLARACION RESPONSABLE APERTURA DE NUEVAS SUCURSALES, ASI COMO EL CIERRE DE LAS YA EXISTENTES (SOLO PARA ESTABLECIMIENTOS FISICOS)"/>
        <s v="OBTENCION DE CERTIFICACION DE DENOMINACION NO COINCIDENTE Y DE SUS PRORROGAS PARA UNA SOCIEDAD COOPERATIVA EN EL REGISTRO DE COOPERATIVAS DE CASTILLA-LA MANCHA."/>
        <s v="REGISTRO, DEPOSITO Y PUBLICACION DE CONVENIOS COLECTIVOS,  ACUERDOS COLECTIVOS DE TRABAJO Y PLANES DE IGUALDAD"/>
        <s v="REGISTRO Y DEPOSITO DE ESTATUTOS DE ASOCIACIONES EMPRESARIALES Y SINDICALES, ASI COMO LAS FEDERACIONES, CONFEDERACIONES Y FUSIONES DE LAS MISMAS"/>
        <s v="REGISTRO REGIONAL DE EMPRESAS EXENTAS DE AUDITORIAS DE SU SISTEMA DE PREVENCION."/>
        <s v="REGISTRO ADMINISTRATIVO DE EMPRESAS DE INSERCION."/>
        <s v="HABILITACION/LEGALIZACION DE LIBROS SOCIALES Y CONTABLES DE LAS SOCIEDADES COOPERATIVAS POR EL REGISTRO DE COOPERATIVAS DE CASTILLA-LA MANCHA."/>
        <s v="INSCRIPCION EN EL REGISTRO DE EMPRESAS CON RIESGO DE AMIANTO (RERA) DE LAS EMPRESAS QUE VAYAN A REALIZAR ACTIVIDADES U OPERACIONES CON RIESGO DE EXPOSICION A AMIANTO"/>
        <s v="REGISTRO DE TECNICOS EN PREVENCION DE RIESGOS LABORALES."/>
        <s v="REGISTRO DE FORMADORES PARA LA IMPARTICION DE ACCIONES FORMATIVAS CONDUCENTES A LA OBTENCION DE CERTIFICADOS DE PROFESIONALIDAD"/>
        <s v="DEPOSITO DE LAS CUENTAS ANUALES DE LAS SOCIEDADES COOPERATIVAS EN EL REGISTRO DE COOPERATIVAS DE C-LM (TRAMITE ORDINARIO Y TRAMITE PROVISIONAL)."/>
        <s v="REGISTRO ESPECIAL DE ASOCIACIONES DE TRABAJADORAS Y TRABAJADORES AUTONOMOS DE CASTILLA-LA MANCHA"/>
        <s v="OFICINA DE ELECCIONES SINDICALES"/>
        <s v="MEMORIA ANUAL DE LOS CENTROS ESPECIALES DE EMPLEO"/>
        <s v="CALIFICACION E INSCRIPCION  EN EL REGISTRO DE CENTROS ESPECIALES DE EMPLEO, COMO CENTRO ESPECIAL DE EMPLEO."/>
        <s v="COMUNICACION DE CAMBIOS REGISTRALES Y BAJA  EN EL REGISTRO DE CENTROS ESPECIALES DE EMPLEO, COMO CENTRO ESPECIAL DE EMPLEO."/>
        <s v="SOLICITUD DE CAMBIO DE TITULARIDAD EN EL REGISTRO DE CENTROS ESPECIALES DE CASTILLA-LA MANCHA."/>
        <s v="CALIFICACION PREVIA DEL PROYECTO DE ESTATUTOS E INSCRIPCION DE LA CONSTITUCION DE UNA NUEVA SOCIEDAD COOPERATIVA EN EL REGISTRO DE COOPERATIVAS DE CASTILLA-LA MANCHA."/>
        <s v="INSCRIPCION DE ACTOS RELATIVOS A LAS COOPERATIVAS Y ASOCIACIONES DE COOPERATIVAS EN EL REGISTRO DE COOPERATIVAS DE CASTILLA-LA MANCHA."/>
        <s v="INSCRIPCION Y RENOVACION EN EL REGISTRO DE EMPRESAS ACREDITADAS EN EL SECTOR DE LA CONSTRUCCION (REA)."/>
        <s v="COMUNICACION DE VARIACION DE DATOS EN EL REGISTRO DE EMPRESAS ACREDITADAS EN EL SECTOR DE LA CONSTRUCCION (REA)."/>
        <s v="CANCELACION DE INSCRIPCION EN EL REGISTRO DE EMPRESAS ACREDITADAS EN EL SECTOR DE LA CONSTRUCCION (REA)."/>
        <s v="REGISTRO DE FRANQUICIADORES"/>
        <s v="EXPEDICION DE CERTIFICADO DE PROFESIONALIDAD"/>
        <s v="EXPEDICION DE ACREDITACION DE UNIDADES DE COMPETENCIA"/>
        <s v="SOLICITUD DE BAJA COMO DEMANDANTE EN LOS SERVICIOS PUBLICOS DE EMPLEO DE CASTILLA LA MANCHA"/>
        <s v="COMUNICACION DE DESPLAZAMIENTO DE DEMANDANTES INSCRITOS EN LOS SERVICIOS PUBLICOS DE EMPLEO DE CASTILLA LA MANCHA"/>
        <s v="SOLICITUD DE SUSPENSION DE LA DEMANDA EN LOS SERVICIOS PUBLICOS DE EMPLEO DE CASTILLA LA MANCHA"/>
        <s v="SOLICITUD DE RECUPERACION DE PERIODO EN BAJA DE LA DEMANDA"/>
        <s v="INSCRIPCION COMO DEMANDANTE DE PERSONAS TRABAJADORAS EN OFICINAS DE EMPLEO Y EMPRENDEDORES DE LA CONSEJERIA DE EMPLEO Y ECONOMIA, ASI COMO MANTENIMIENTO Y ACTUALIZACION DE LOS DATOS DE SU DEMANDA"/>
        <s v="DECLARACION RESPONSABLE DE USO DE LA MARCA  CASTILLA-LA MANCHA"/>
        <s v="COMUNICACION DE BAJA VOLUNTARIA EN EL REGISTRO REGIONAL DE USUARIOS DE LA MARCA  CASTILLA-LA MANCHA"/>
        <s v="BAJA DEL REGISTRO DE ENTIDADES HOMOLOGADAS"/>
        <s v="HOMOLOGACION DE ENTIDADES PARA LA PRESTACION DE SERVICIOS DE ASESORAMIENTO Y TUTORIZACION A PERSONAS EMPRENDEDORAS Y ALTA EN EL REGISTRO DE ENTIDADES HOMOLOGADAS"/>
        <s v="MODIFICACION DE LOS DATOS DEL REGISTRO DE ENTIDADES HOMOLOGADAS"/>
        <s v="AYUDAS ESPECIALES DEL DECRETO 312/2011, DE 29 DE DICIEMBRE, DE LAS PERSONAS TRABAJADORAS AFECTADAS POR LOS ERES 76/2000, DE 08/03/2001 Y 25/2001, DE 31/07/2001"/>
        <s v="CONCESION DE BECAS Y/O AYUDAS PARA PERSONAS TRABAJADORAS  DESEMPLEADAS QUE PARTICIPEN EN LAS DIFERENTES MODALIDADES DE FORMACION PROFESIONAL PARA EL EMPLEO EN CASTILLA - MANCHA."/>
        <s v="INSCRIPCION PARA LA REALIZACION DE ACCIONES DE FORMACION PROFESIONAL PARA EL EMPLEO."/>
        <s v="SUBVENCIONES PARA LA REALIZACION DE PROYECTOS DENTRO DEL PROGRAMA GARANTIA +52 AÑOS."/>
        <s v="PREMIOS PERIODISTICOS DE CASTILLA-LA MANCHA."/>
        <s v="PREMIOS RAIZ CULINARIA CASTILLA-LA MANCHA"/>
        <s v="SUBVENCIONES DESTINADAS A FOMENTAR LA CONTRATACION INDEFINIDA, Y EN ESPECIAL DE PERSONAS MAYORES DE 45 AÑOS, EN CASTILLA-LA MANCHA"/>
        <s v="AYUDAS A ENTIDADES LOCALES PARA  LA CONTRATACION DE PERSONAS DESEMPLEADAS, EN EL MARCO DEL PLAN EXTRAORDINARIO POR EL EMPLEO EN CASTILLA LA MANCHA"/>
        <s v="CONCESION DIRECTA DE SUBVENCIONES A ENTIDADES BENEFICIARIAS DEL PROGRAMA OPERATIVO DE INCLUSION SOCIAL Y ECONOMIA SOCIAL  Y EL PROGRAMA OPERATIVO EMPLEO JUVENIL, FONDO SOCIAL EUROPEO"/>
        <s v="LIQUIDACION DE LA SUBVENCION VINCULADA A LA PARTICIPACION INSTITUCIONAL EN EL PLAN DE MEDIDAS EXTRAORDINARIAS PARA LA RECUPERACION ECONOMICA DE CASTILLA-LA MANCHA."/>
        <s v="LIQUIDACION DE LA SUBVENCION PARA LA DIVULGACION, ASESORAMIENTO Y EL SEGUIMIENTO DE LOS INCENTIVOS A LA CONTRATACION Y DURANTE EL EJERCICIO 2017"/>
        <s v="SOLICITUD PRESENTACION CANDIDATURA PREMIOS AL MERITO EMPRESARIAL DE CASTILLA-LA MANCHA (MEEM 2022)."/>
        <s v="SUBVENCION  AL CONSEJO DE CAMARAS PARA LA DIFUSION Y SEGUIMIENTO DE AYUDAS DEL PLAN ADELANTE Y DE PROGRAMAS DIRIGIDOS A LAS EMPRESAS DE LA REGION"/>
        <s v="JUSTIFICACION DE LA AYUDA A FUNDACION EOI, PARA EL DESARROLLO DE ACCIONES DE FORMACION Y TUTORIZACION EN EL MARCO DE ESPACIOS DE COWORKING"/>
        <s v="SOLICITUD DE AYUDA DE LA CONVOCATORIA DE EXPRESIONES DE INTERES PARA LA SELECCION Y EJECUCION DE PROYECTOS PARA LA PROMOCION, MEJORA E INCREMENTO DE LOS RECURSOS TURISTICOS DE LA REGION."/>
        <s v="AYUDAS PARA FOMENTAR LA INSERCION LABORAL DE PERSONAS EN EXCLUSION SOCIAL A TRAVES DE EMPRESAS DE INSERCION."/>
        <s v="SUBVENCIONES DESTINADAS A ESTIMULAR EL MERCADO DE TRABAJO Y FOMENTAR EL EMPLEO ESTABLE Y DE CALIDAD."/>
        <s v="PREMIOS REGIONALES DE TURISMO DE CASTILLA-LA MANCHA."/>
        <s v="SUBVENCIONES PARA FINANCIAR PROYECTOS PARA EL EMPLEO DE PERSONAS JOVENES CUALIFICADAS INSCRITAS EN EL SISTEMA NACIONAL DE GARANTIA JUVENIL, COFINANCIADA POR EL PROGRAMA OPERATIVO DE EMPLEO JUVENIL."/>
        <s v="JUSTIFICACION DE LA SUBVENCION DE CONCESION DIRECTA AL CONSEJO DE CAMARAS OFICIALES DE COMERCIO, INDUSTRIA Y SERVICIOS DE CASTILLA-LA MANCHA"/>
        <s v="SUBVENCIONES DESTINADAS A INCENTIVAR LA CONTRATACION EN EL MARCO DEL PROGRAMA  CHEQUE TRANSICION ."/>
        <s v="CONCESION DIRECTA DE SUBVENCIONES A LAS ENTIDADES BENEFICIARIAS DE PROGRAMAS DE FORMACION Y EMPLEO"/>
        <s v="SERVICIOS DE ASESORAMIENTO Y TUTORIZACION A LAS PERSONAS EMPRENDEDORAS, EN EL MARCO DEL PLAN REGIONAL DE AUTOEMPLEO, CREACION DE EMPRESAS Y EMPRENDIMIENTO."/>
        <s v="JUSTIFICACION DE LA SUBVENCION DIRECTA A LA FUNDACION ESCUELA DE ORGANIZACION INDUSTRIAL (EOI), PARA EL DESARROLLO DEL PROGRAMA DE FORMACION CAMPUS ADELANTE-SOY DIGITAL CLM."/>
        <s v="JUSTIFICACION DE LA SUBVENCION DIRECTA  AL AYUNTAMIENTO DE YUNCOS POR LA CELEBRACION DEL XVI CONGRESO NACIONAL DEL TORO DE CUERDA."/>
        <s v="AYUDAS A ENTIDADES LOCALES, EMPRESAS Y ENTIDADES SIN ANIMO DE LUCRO, PARA  LA CONTRATACION DE MUJERES VICTIMAS DE VIOLENCIA DE GENERO Y DE MUJERES EN SITUACION DE ESPECIAL VULNERABILIDAD."/>
        <s v="AYUDAS DIRECTAS AFECTADOS COVID19 (AUTONOMOS Y MICROEMPRESAS)"/>
        <s v="SOLICITUD DE SUBVENCIONES PARA LA ADQUISICION DE ELEMENTOS DE PROTECCION SANITARIA EN LOS ESTABLECIMIENTOS DE COMERCIO, HOSTELERIA Y RESTAURACION DE CASTILLA-LA MANCHA"/>
        <s v="AYUDAS DESTINADAS A FAVORECER EL EMPLEO EN LAS CAMPAÑAS AGRARIAS DE CASTILLA-LA MANCHA."/>
        <s v="CONCESION DIRECTA DE AYUDAS DIRIGIDAS A COOPERATIVAS Y SOCIEDADES LABORALES AFECTADAS POR COVID-19,  PARA LA REACTIVACION DE LA ACTIVIDAD ECONOMICA Y EL EMPLEO EN CASTILLA-LA MANCHA"/>
        <s v="SUBVENCIONES PARA LA CONCILIACION DE LA VIDA FAMILIAR Y LABORAL COMO MEDIDA DE FOMENTO DE LA CONCILIACION."/>
        <s v="SUBVENCION PARA CONTRATOS TEMPORALES O INDEFINIDOS A TIEMPO PARCIAL CON PERSONAS CUYOS CONTRATOS DE TRABAJO SE HAN EXTINGUIDO  COMO CONSECUENCIA DE LA CRISIS PROVOCADA POR EL COVID-19."/>
        <s v="CONCESION DIRECTA DE SUBVENCIONES DIRIGIDAS A PERSONAS TRABAJADORAS AUTONOMAS Y PYMES PARA FOMENTO DEL TRABAJO A DISTANCIA COMO MODALIDAD DE ORGANIZACION LABORAL, CON MOTIVO DEL COVID-19."/>
        <s v="AYUDAS A ENTIDADES SIN ANIMO DE LUCRO, PARA  LA CONTRATACION DE PERSONAS DESEMPLEADAS Y EN SITUACION DE EXCLUSION SOCIAL, CON MOTIVO DE LA CRISIS DEL COVID-19."/>
        <s v="CONCESION DIRECTA DE SUBVENCIONES DESTINADAS A LA INSERCION  DE PERSONAS JOVENES EN EL MERCADO LABORAL EN SECTORES DE ACTIVIDAD DENTRO DE LA ESTRATEGIA DE CRECIMIENTO SOSTENIBLE"/>
        <s v="AYUDAS PARA EL INICIO Y MANTENIMIENTO DE LA ACTIVIDAD DE LAS PERSONAS TRABAJADORAS AUTONOMAS Y DEL FAMILIAR COLABORADOR AFECTADAS POR EL COVID-19."/>
        <s v="AYUDAS DIRECTAS MANTENIMIENTO ACTIVIDAD DE LOS SECTORES MAS AFECTADOS DERIVADO DEL COVID19 (AUTONOMOS Y PYMES)"/>
        <s v="AYUDA ADICIONAL DEL 5% DEL SMI, PARA LAS PERSONAS TRABAJADORAS CON DISCAPACIDAD SEVERA DE LOS CENTROS ESPECIALES DE EMPLEO"/>
        <s v="PROGRAMA DE APOYO A LA INNOVACION: INNOVA-ADELANTE"/>
        <s v="SUBVENCIONES A PERSONAS TRABAJADORAS AUTONOMAS Y PYMES DE CASTILLA-LA MANCHA DESTINADAS A FOMENTAR EL TRABAJO A DISTANCIA. EJERCICIO 2022."/>
        <s v="AYUDAS DESTINADAS A PERSONAS AFECTADAS POR UN ERTE CON MOTIVO DEL COVID-19 Y QUE HAN PERDIDO SU PUESTO DE TRABAJO CON POSTERIORIDAD A SU FINALIZACION."/>
        <s v="SUBVENCIONES PARA EL APOYO A LA SOLVENCIA EMPRESARIAL EN RESPUESTA A LA PANDEMIA DE LA COVID-19"/>
        <s v="JUSTIFICACION DE LA AYUDA NOMINATIVA GENERAL A FAVOR DE LA ASOCIACION RUTA DEL VINO DE LA MANCHA."/>
        <s v="JUSTIFICACION DE UNA SUBVENCION A FAVOR DE LA ASOCIACIACION RUTA DEL VINO DE LA MANCHUELA."/>
        <s v="JUSTIFICACION DE UNA SUBVENCION A FAVOR DE LA ASOCIACIACION RUTA DEL VINO DE VALDEPEÑAS"/>
        <s v="JUSTIFICACION DE LA AYUDA DIRECTA AL AYUNTAMIENTO DE CAMPO DE CRIPTANA PARA LA EJECUCION DEL PLAN DE MEJORA DE LOS RECURSOS TURISTICOS DE CAMPO DE CRIPTANA."/>
        <s v="JUSTIFICACION DE LA AYUDA DIRECTA AL AYUNTAMIENTO DE CMOLINA DE ARAGON PARA LA EJECUCION DEL PLAN DE RECONVERSION DE ZONAS TURISTICAS."/>
        <s v="JUSTIFICACION DE LA AYUDA DIRECTA AL AYTO. DE ELCHE DE LA SIERRA PARA LA EJECUCION DE DETERMINADAS ACTUACIONES EN EL PROYECTO MUSEOLOGICO Y DE CONTENIDOS DEL MUSEO DE LAS ALFOMBRAS DE SERRIN"/>
        <s v="SOLICITUD DE SUBVENCION DEL PROGRAMA ADELANTE DIGITALIZACION, PARA LA TRANSFORMACION DIGITAL DE LAS PYMES DE CASTILLA-LA MANCHA. (DISP 9.7 RESOL. 14/10/2021, CONV 2021)"/>
        <s v="SUBVENCIONES DESTINADAS A FINANCIAR EL PROGRAMA DE PRIMERA EXPERIENCIA PROFESIONAL EN LAS ADMINISTRACIONES PUBLICAS, PLAN DE RECUPERACION, TRANSFORMACION Y RESILIENCIA  NEXT-GERENATION EU."/>
        <s v="SUBVENCIONES DESTINADAS A FINANCIAR EL PROGRAMA INVESTIGO EN  EL MARCO DEL PLAN DE RECUPERACION, TRANSFORMACION Y RESILIENCIA  FINANCIADO POR LA UNION EUROPEA-NEXTGERENATION EU."/>
        <s v="CONCESION DIRECTA DE SUBVENCIONES A LOS AYUNTAMIENTOS DE RIOPAR, ALMADEN, QUINTANAR DEL REY, MOLINA DE ARAGON Y BELVIS DE LA JARA, PARA LA PUESTA EN MARCHA DE UN ESPACIO COWORKING"/>
        <s v="SOLICITUD LINEA 2. PROGRAMA CLM MAS SEGURA."/>
        <s v="SOLICITUD LINEA 3. PROGRAMA CLM MAS SEGURA."/>
        <s v="SOLICITUD LINEA 4. PROGRAMA CLM MAS SEGURA."/>
        <s v="SUBVENCION  A FAVOR DE LA ASOCIACION RUTA DEL VINO DE ALMANSA."/>
        <s v="SOLICITUD DE INCREMENTO DEL SALARIO MINIMO INTERPROFESIONAL DE LA LINEA 2 DE COSTES SALARIALES  DE LAS PERSONAS CON DISCAPACIDAD"/>
        <s v="SUBVENCIONES DEL PROGRAMA DE INCLUSION LABORAL DE PERSONAS CON DISCAPACIDAD EN EL MERCADO PROTEGIDO DE CASTILLA-LA MANCHA-LINEA 3-ADAPTACION DE PUESTOS DE TRABAJO"/>
        <s v="LINEA 2. SUBVENCION PARA LA INCORPORACION, CON CARACTER INDEFINIDO, DE PERSONAS SOCIAS TRABAJADORAS O SOCIAS DE TRABAJO A COOPERATIVAS Y SOCIEDADES LABORALES"/>
        <s v="LINEA 3. SUBVENCION PARA LA REALIZACION DE ACTIVIDADES DE FORMACION, DIFUSION Y FOMENTO DE LA ECONOMIA SOCIAL VINCULADAS DIRECTAMENTE AL FOMENTO DEL EMPLEO."/>
        <s v="LINEA 4. SUBVENCION PARA LA PRESTACION DE ASISTENCIA TECNICA"/>
        <s v="SUBVENCION  A FAVOR DE LA ASOCIACION RUTA DEL VINO DE MENTRIDA-TOLEDO."/>
        <s v="AYUDAS PARA LA ADAPTACION DE LOS PUESTOS DE TRABAJO DE PERSONAS TRABAJADORAS CON DISCAPACIDAD."/>
        <s v="AYUDAS PARA LA CONTRATACION INDEFINIDA DE TRABAJADORES CON DISCAPACIDAD, QUE PRESENTAN ESPECIALES DIFICULTADES PARA EL ACCESO AL MERCADO ORDINARIO DE TRABAJO, PROCEDENTES DE ENCLAVES LABORALES."/>
        <s v="AYUDAS COSTES SALARIALES Y DE SEG. SOCIAL DEL PREPARADOR LABORAL. SUBVENCIONES PARA INSERCION LABORAL DE PERSONAS CON DISCAPACIDAD EN EL MERCADO ORDINARIO DE TRABAJO."/>
        <s v="LINEA 2 : AYUDAS PARA INCENTIVAR LA CONTRATACION FIJA-DISCONTINUA."/>
        <s v="LINEA 1: AYUDAS PARA INCENTIVAR LA CONTRATACION INDEFINIDA."/>
        <s v="LINEA 3; AYUDA PROGRAMA  CHEQUE TRANSICION ."/>
        <s v="LINEA V:AYUDAS PARA LA CONVERSION EN CONTRATOS INDEFINIDOS DE CONTRATOS TEMPORALES CELEBRADOS ANTES DEL 31 DE DICIEMBRE DE 2021."/>
        <s v="LINEA IV; AYUDAS PARA LA CONVERSION DE CONTRATOS INDEFINIDOS A TIEMPO PARCIAL EN CONTRATOS INDEFINIDOS A JORNADA COMPLETA."/>
        <s v="BECAS PARA LAS PARTICIPANTES EN LOS PROGRAMAS PERSONALIZADOS DE INSERCION SOCIOLABORAL CON COMPROMISO DE CONTRATACION PARA MUJERES VICTIMAS DE VIOLENCIA DE GENERO O DE TRATA Y EXPLOTACION SEXUAL"/>
        <s v="SUBVENCIONES PARA LA REALIZACION DE ACCIONES DE  FORMACION MODULAR PARA LA CUALIFICACION Y RECUALIFICACION DE LA POBLACION ACTIVA  (PLAN DE TRANSFORMACION, RECUPERACION Y RESILIENCIA)"/>
        <s v="INSCRIPCION PARA LA REALIZACION DE ACCIONES DE FORMACION MODULAR PARA LA CUALIFICACION Y RECUALIFICACION (PLAN DE RECUPERACION,TRANSFORMACION Y RESILIENCIA- NEXT GENERATION-EU)"/>
        <s v="AYUDAS PARA LA ELABORACION Y DESARROLLO DE ACTIVIDADES DE ACCION Y/O FORMACION SINDICAL CON CARGO AL FONDO DE AYUDA SINDICAL. SOLICITUD"/>
        <s v="AYUDAS PARA LA ELABORACION Y DESARROLLO DE ACTIVIDADES DE ACCION Y/O FORMACION SINDICAL CON CARGO AL FONDO DE AYUDA SINDICAL. JUSTIFICACION"/>
        <s v="JUSTIFICACION MENSUAL Y SOLICITUD DE ABONO DE AYUDA PARA EL MANTENIMIENTO DE PUESTOS DE TRABAJO DE PERSONAS CON DISCAPACIDAD: SUBVENCION DE COSTES SALARIALES"/>
        <s v="SOLICITUD DE AYUDA PARA EL MANTENIMIENTO DE PUESTOS DE TRABAJO DE PERSONAS CON DISCAPACIDAD. SUBVENCION DE COSTES SALARIALES (SEGUNDO SEMESTRE)"/>
        <s v="JUSTIFICACION DE AYUDAS A PROYECTOS GENERADORES DE EMPLEO MODALIDAD INVERSION EN ACTIVOS FIJOS"/>
        <s v="SOLICITUD DE AYUDA PARA EL MANTENIMIENTO DE PUESTOS DE TRABAJO DE PERSONAS CON DISCAPACIDAD. SUBVENCION DE COSTES SALARIALES"/>
        <s v="SUBVENCIONES DEL PROGRAMA DE INCLUSION LABORAL DE PERSONAS CON DISCAPACIDAD EN EL MERCADO PROTEGIDO DE CASTILLA-LA MANCHA-LINEA 1-INVERSION FIJA GENERADORA DE EMPLEO"/>
        <s v="CONVOCATORIA DE TALLERES DE EMPLEO"/>
        <s v="FORMACION DE OFERTA QUE SE IMPARTE EN LOS CENTROS DEPENDIENTES DE LA ADMINISTRACION AUTONOMICA (MODADALIDAD V)"/>
        <s v="SUBVENCIONES PARA LA REALIZACION DE ACCIONES DE FORMACION PROFESIONAL PARA EL EMPLEO, DIRIGIDAS A PERSONAS TRABAJADORAS DESEMPLEADAS (MODALIDAD II)."/>
        <s v="SUBVENCIONES PARA LA REALIZACION DE ACCIONES DE FORMACION PROFESIONAL PARA EL EMPLEO, DIRIGIDAS A PERSONAS TRABAJADORAS OCUPADAS (MODALIDAD I)."/>
        <s v="SUBVENCIONES TRIMESTRALES DE ABONO DE CUOTAS A LA SEGURIDAD SOCIAL DE LOS PERCEPTORES DE LA PRESTACION POR DESEMPLEO EN SU MODALIDAD DE PAGO UNICO."/>
        <s v="SOLICITUD. PROYECTOS DE PREVENCION Y PROTECCION FRENTE AL RIESGO BIOLOGICO DE CONTAGIO POR COVID-19 (MODALIDAD 3)"/>
        <s v="MEMORIA JUSTIFICATIVA DE PROYECTOS DE INVERSION EN INSTALACIONES Y EQUIPOS QUE REDUNDEN EN LA MEJORA DE LAS CONDICIONES DE SEGURIDAD Y SALUD EN EMPRESAS Y CENTROS DE TRABAJO (MODALIDAD 2)."/>
        <s v="SOLICITUD. PROYECTOS DE INVERSION EN INSTALACIONES Y EQUIPOS QUE REDUNDEN EN LA MEJORA DE LAS CONDICIONES DE SEGURIDAD Y SALUD EN EMPRESAS Y CENTROS DE TRABAJO (MODALIDAD 2)"/>
        <s v="MEMORIA JUSTIFICATIVA DE LOS PROYECTOS DE PREVENCION Y PROTECCION FRENTE AL RIESGO BIOLOGICO DE CONTAGIO POR COVID-19 (MODALIDAD 3)"/>
        <s v="AYUDAS PARA LA CONTRATACION INICIAL INDEFINIDA Y PARA LA TRANSFORMACION EN CONTRATOS POR TIEMPO INDEFINIDO DE CONTRATOS TEMPORALES DE PERSONAS TRABAJADORAS CON DISCAPACIDAD."/>
        <s v="SUBVENCIONES PARA FOMENTAR EL DESARROLLO DE ACTIVIDADES DE ASESORAMIENTO, DIVULGACION Y DIFUSION EN MATERIA DE PREVENCION DE RIESGOS LABORALES."/>
        <s v="JUSTIFICACION DE LOS PROGRAMAS. SUBVENCIONES PARA FOMENTAR EL DESARROLLO DE ACTIVIDADES DE ASESORAMIENTO, DIVULGACION Y DIFUSION EN MATERIA DE PREVENCION DE RIESGOS LABORALES."/>
        <s v="JUSTIFICACION FOMENTO DEL EMPRENDIMIENTO INNOVADOR"/>
        <s v="FOMENTO DEL EMPRENDIMIENTO INNOVADOR"/>
        <s v="ABONO DE LAS SUBVENCIONES PARA EL FOMENTO DE LA INVERSION Y LA MEJORA DE LA PRODUCTIVIDAD EMPRESARIAL EN CASTILLA-LA MANCHA"/>
        <s v="SUBVENCIONES PARA EL FOMENTO DE LA INVERSION Y LA MEJORA DE LA PRODUCTIVIDAD EMPRESARIAL EN CASTILLA-LA MANCHA"/>
        <s v="JUSTIFICACION DE LAS AYUDAS DESTINADAS A LA RECUPERACION Y FORTALECIMIENTO DEL COMERCIO MINORISTA DE CASTILLA-LA MANCHA ANTE LA CRISIS SANITARIA OCASIONADA POR EL COVID-19."/>
        <s v="SUBVENCION POR LA FORMALIZACION DE CONTRATOS DE FORMACION EN ALTERNANCIA."/>
        <s v="SUBVENCION POR LA FORMALIZACION DE CONTRATOS DE FORMACION PARA LA OBTENCION DE LA PRACTICA PROFESIONAL."/>
        <s v="SUBVENCION POR LA FORMALIZACION DE CONTRATOS DE RELEVO."/>
        <s v="SUBV TRANSFORMACION EN INDEFINIDOS DE CONTRATOS FORMATIVOS Y DE RELEVO Y CONTRATACION INDEFINIDA DE PERSONAS QUE HAYAN FINALIZADO UN CONTRATO FORMATIVO O DE RELEVO EN LOS 6 MESES ANTERIORES"/>
        <s v="AYUDAS PARA SUFRAGAR EL SOBRECOSTE DE LOS CONTRATOS DEL PLAN DE EMPLEO 2018, CON MOTIVO DEL INCREMENTO DEL SALARIO MINIMO INTERPROFESIONAL PARA 2019."/>
        <s v="AYUDAS A ENTIDADES LOCALES PARA  LA CONTRATACION DE PERSONAS DESEMPLEADAS Y EN SITUACION DE EXCLUSION SOCIAL, COFINANCIADA POR EL FONDO SOCIAL EUROPEO."/>
        <s v="PREMIOS REGIONALES DE ARTESANIA DE CASTILLA-LA MANCHA PARA 2022."/>
        <s v="SUBVENCIONES PARA PROMOVER INVERSIONES DESTINADAS A MEJORAR LAS CONDICIONES DE SEGURIDAD LABORAL EN EL SECTOR DE LA CONSTRUCCION."/>
        <s v="MEMORIA JUSTIFICATIVA DE LAS INVERSIONES DESTINADAS A MEJORAR LAS CONDICIONES DE SEGURIDAD LABORAL EN EL SECTOR DE LA CONSTRUCCION."/>
        <s v="JUSTIFICACION DE LAS AYUDAS DESTINADAS A LA PROMOCION DE LA ACTIVIDAD PRODUCTIVA Y COMERCIAL Y A LA DIGITALIZACION DEL SECTOR ARTESANO ANTE LA CRISIS DE LA COVID-19."/>
        <s v="AYUDAS DESTINADAS A LA DIGITALIZACION Y A LA PROMOCION DE LA ACTIVIDAD COMERCIAL Y PRODUCTIVA DEL SECTOR ARTESANO DE CASTILLA-LA MANCHA, PARA EL EJERCICIO 2022."/>
        <s v="JUSTIFICACION PROGRAMA DE APOYO A LA INNOVACION: INNOVA-ADELANTE."/>
        <s v="SOLICITUD DE ABONO DE LA SUBVENCION DEL PROGRAMA ADELANTE DIGITALIZACION, PARA LA TRANSFORMACION DIGITAL DE LAS PYMES DE CASTILLA-LA MANCHA."/>
        <s v="SOLICITUD DE SUBVENCION DEL PROGRAMA ADELANTE DIGITALIZACION, PARA LA TRANSFORMACION DIGITAL DE LAS PYMES DE CASTILLA-LA MANCHA."/>
        <s v="CONVOCATORIA 2018. SOLICITUD DE ABONO DE LA SUBVENCION PARA EL CRECIMIENTO EN MERCADOS NACIONALES Y PARA LA MEJORA DE LA POSICION COMPETITIVA DE LAS PYMES."/>
        <s v="SOLICITUD DE SUBVENCION PARA EL CRECIMIENTO EN MERCADOS NACIONALES Y PARA LA MEJORA DE LA POSICION COMPETITIVA DE LAS PYMES (MPC 2023) (DISP 10.7 RESOL. 28/07/2022, CONV 2022)"/>
        <s v="SUBVENCIONES DEL PROGRAMA DE INCLUSION LABORAL DE PERSONAS CON DISCAPACIDAD EN EL MERCADO PROTEGIDO DE CASTILLA-LA MANCHA-LINEA 4-AJUSTE PERSONAL Y SOCIAL A TRAVES DE UNIDADES DE APOYO."/>
        <s v="JUSTIFICACION AYUDAS PARA PROSPECCION Y DETECCION NECESIDADES FORMATIVAS; DISEÑO, PROGRAMACION Y DIFUSION OFERTA FORMATIVA DE TRABAJADORES OCUPADOS; Y APOYO PYMES FORMACION DE SUS TRABAJADORES."/>
        <s v="SOLICITUD AYUDAS PARA LA PROSPECCION Y DETECCION DE NECESIDADES FORMATIVAS; DISEÑO, PROGRAMACION Y DIFUSION OFERTA FORMATIVA DE TRABAJADORES OCUPADOS; Y APOYO PYMES FORMACION DE SUS TRABAJADORES."/>
        <s v="SUBVENCIONES PARA PROMOCION Y DIFUSION  DE COOPERATIVAS Y SOCIEDADES LABORALES EN CASTILLA-LA MANCHA."/>
        <s v="AYUDAS PUBLICAS PARA PROYECTOS DE FORMACION Y EMPLEO EN EL SENO DE LA EMPRESA (CREA)"/>
        <s v="JUSTIFICACION DE LAS AYUDAS PUBLICAS PARA PROYECTOS DE FORMACION Y EMPLEO EN EL SENO DE LA EMPRESA (CREA)"/>
        <s v="LIQUIDACION DE LA SUBVENCION PARA EL INICIO DE LA ACTIVIDAD EMPRENDEDORA, DENTRO DEL PROGRAMA RETORNO DEL TALENTO."/>
        <s v="PROGRAMA RETORNO DEL TALENTO: LINEA 3- EMISION DEL PASAPORTE DE VUELTA."/>
        <s v="PROGRAMA RETORNO DEL TALENTO: LINEA 3- SUBVENCIONES DE LA AYUDA ASOCIADA AL PASAPORTE DE VUELTA."/>
        <s v="PROGRAMA RETORNO DEL TALENTO: LINEA 2- SUBVENCIONES PARA EL INICIO DE LA ACTIVIDAD EMPRENDEDORA."/>
        <s v="PROGRAMA RETORNO DEL TALENTO: LINEA 1- SUBVENCIONES PARA LA CONTRATACION INDEFINIDA."/>
        <s v="JUSTIFICACION  DE SUBVENCIONES PARA LA REALIZACION DE PROYECTOS DE FORMACION PROFESIONAL DUAL EN EMPRESAS, PARA JOVENES INSCRITOS EN EL SISTEMA NACIONAL DE GARANTIA JUVENIL (DUAL-EMPLEO)."/>
        <s v="SUBVENCIONES PARA LA REALIZACION DE PROYECTOS DE FORMACION PROFESIONAL Y EMPLEO EN EL SENO DE LA  EMPRESA"/>
        <s v="JUSTIFICACION  DE SUBVENCIONES PARA LA REALIZACION DE PROYECTOS DE FORMACION Y PRACTICAS PARA JOVENES INSCRITOS EN EL SISTEMA NACIONAL DE GARANIA JUVENIL. (JUSTIFICACION FORMACION Y ORIENTACION)"/>
        <s v="JUSTIFICACION  DE SUBVENCIONES PARA LA REALIZACION DE PROYECTOS DE FORMACION Y PRACTICAS PARA JOVENES INSCRITOS EN EL SISTEMA NACIONAL DE GARANIA JUVENIL (JUSTIFICACION PRACTICAS NO LABORALES)."/>
        <s v="SUBVENCIONES PARA LA REALIZACION DE PROYECTOS DE FORMACION Y PRACTICAS NO LABORALES PARA JOVENES INSCRITOS EN EL SISTEMA NACIONAL DE GARANTIA JUVENIL (FORMACION PLUS) (SOLICITUD FORMACION)"/>
        <s v="SUBVENCIONES PARA LA REALIZACION DE PROYECTOS DE FORMACION Y PRACTICAS NO LABORALES PARA JOVENES INSCRITOS EN EL SISTEMA NACIONAL DE GARANTIA JUVENIL.  (SOLICITUD PRACTICAS NO LABORALES)"/>
        <s v="SOLICITUD BECA SUBVENCIONES PARA LA REALIZACION DE PROYECTOS DE FORMACION PROFESIONAL Y EMPLEO EN EL SENO DE LA  EMPRESA."/>
        <s v="JUSTIFICACION DE SUBVENCIONES -ADELANTE INVERSION- PARA EL FOMENTO DE LA INVERSION Y LA MEJORA DE LA PRODUCTIVIDAD EMPRESARIAL EN CASTILLA-LA MANCHA (FIE-2017)"/>
        <s v="JUSTIFICACION DE SUBVENCIONES -ADELANTE INVERSION- PARA EL FOMENTO DE LA INVERSION Y LA MEJORA DE LA PRODUCTIVIDAD EMPRESARIAL EN CASTILLA-LA MANCHA (FIE 2019)"/>
        <s v="SOLICITUD DE SUBVENCIONES -ADELANTE INVERSION- PARA EL FOMENTO DE LA INVERSION Y LA MEJORA DE LA PRODUCTIVIDAD EMPRESARIAL EN CASTILLA-LA MANCHA (FIE-2022)"/>
        <s v="SUBVENCIONES -ADELANTE INVERSION- PARA EL FOMENTO DE LA INVERSION Y LA MEJORA DE LA PRODUCTIVIDAD EMPRESARIAL EN CASTILLA-LA MANCHA (FIE-2017)"/>
        <s v="SOLICITUD DE SUBVENCIONES -ADELANTE INVERSION- PARA EL FOMENTO DE LA INVERSION Y LA MEJORA DE LA PRODUCTIVIDAD EMPRESARIAL EN CASTILLA-LA MANCHA (FIE 2020)"/>
        <s v="JUSTIFICACION DE SUBVENCIONES -ADELANTE INVERSION- PARA EL FOMENTO DE LA INVERSION Y LA MEJORA DE LA PRODUCTIVIDAD EMPRESARIAL EN CASTILLA-LA MANCHA (FIE 2020)"/>
        <s v="SOLICITUD DE SUBVENCIONES PARA LA REALIZACION DE ACTUACIONES PARA LA MEJORA DE LA EMPLEABILIDAD Y LA INSERCION."/>
        <s v="JUSTIFICACION DE SUBVENCIONES PARA LA REALIZACION DE ACTUACIONES PARA LA MEJORA DE LA EMPLEABILIDAD Y LA INSERCION."/>
        <s v="AYUDAS PARA EL ESTABLECIMIENTO DE PERSONAS DESEMPLEADAS COMO TRABAJADORAS AUTONOMAS"/>
        <s v="AYUDAS DEL FAMILIAR COLABORADOR QUE CAUSA ALTA EN EL RETA O EN LA MUTUALIDAD DEL COLEGIO PROFESIONAL CORRESPONDIENTE"/>
        <s v="AYUDAS PARA LA CONSOLIDACION DE PROYECTOS"/>
        <s v="AYUDAS PARA FAVORECER LA CONCILIACION DE LA VIDA LABORAL, FAMILIAR Y PERSONAL DEL TITULAR DE LA ACTIVIDAD EMPRENDEDORA"/>
        <s v="AYUDAS DE FOMENTO AL RELEVO GENERACIONAL: SUBVENCION POR TRANSMISION DE LA ACTIVIDAD EMPRESARIAL"/>
        <s v="AYUDAS DE FOMENTO AL RELEVO GENERACIONAL: SUBVENCION POR CONTRATACION DE DURACION DETERMINADA DEL RELEVISTA POR EL TITULAR DE LA ACTIVIDAD EMPRESARIAL."/>
        <s v="AYUDAS POR LA PRIMERA CONTRATACION INDEFINIDA DE PERSONAS POR CUENTA AJENA"/>
        <s v="JUSTIFICACION DE LA ACTUACION PROGRAMA CONOCE CASTILLA-LA MANCHA"/>
        <s v="AYUDA DEL PROGRAMA CONOCE CASTILLA-LA MANCHA"/>
        <s v="JUSTIFICACION DE LAS AYUDAS DESTINADAS A PROMOVER LA CELEBRACION DE FERIAS COMERCIALES EN CASTILLA-LA MANCHA."/>
        <s v="JUSTIFICACION DE LAS SUBVENCIONES DE CARACTER INCENTIVADOR PARA PROYECTOS DINAMIZADORES DEL EMPLEO LOCAL"/>
        <s v="SUBVENCIONES DE CARACTER INCENTIVADOR PARA PROYECTOS DINAMIZADORES DEL EMPLEO LOCAL"/>
        <s v="SUBVENCIONES DESTINADAS A MUNICIPIOS DE CASTILLA- LA MANCHA PARA EL DESARROLLO PROYECTOS EN MATERIA DE SEGURIDAD Y SALUD LABORAL. PROGRAMA I: ACTIVIDADES DE SENSIBILIZACION, DIFUSION Y DIVULGAC."/>
        <s v="MEMORIA JUSTIFICATIVA DE LAS INVERSIONES DESTINADAS A DESARROLLAR PROYECTOS EN MATERIA DE SEGURIDAD Y SALUD LABORAL EN MUNICIPIOS DE CASTILLA-LA MANCHA. PROGRAMA I."/>
        <s v="MEMORIA JUSTIFICATIVA DE LAS INVERSIONES DESTINADAS A DESARROLLAR PROYECTOS EN MATERIA DE SEGURIDAD Y SALUD LABORAL EN MUNICIPIOS DE CASTILLA-LA MANCHA.   PROGRAMA II"/>
        <s v="SUBVENCIONES DESTINADAS A MUNICIPIOS DE CASTILLA- LA MANCHA PARA EL DESARROLLO PROYECTOS EN MATERIA DE SEGURIDAD Y SALUD LABORAL. PROGRAMA II:INVERSIONES MEJORA CONDICIONES SEGURIDAD"/>
        <s v="AYUDA NO DINERARIA DEL PROGRAMA DE ASESORAMIENTO A PYMES PARA LA TRANSFORMACION DIGITAL"/>
        <s v="JUSTIFICACION AYUDA NO DINERARIA DEL PROGRAMA DE ASESORAMIENTO A PYMES PARA LA TRANSFORMACION DIGITAL"/>
        <s v="JUSTIFICACION  DE SUBVENCIONES DE PROGRAMAS PARA LA RECUALIFICACION Y EL RECICLAJE PROFESIONAL"/>
        <s v="CONVOCATORIA DE PROGRAMAS PARA LA RECUALIFICACION Y EL RECICLAJE PROFESIONAL."/>
        <s v="SOLICITUD DE SUBVENCIONES PARA EL PROGRAMA INICIATIVA CRECE EMPRESAS PARA LA ELABORACION DE PLANES ESTRATEGICOS DE CRECIMIENTO EMPRESARIAL Y PROTOCOLOS FAMILIARES"/>
        <s v="SOLICITUD DE ABONO DE LA SUBVENCION DEL PROGRAMA INICIATIVA CRECE EMPRESAS PARA LA ELABORACION DE PLANES ESTRATEGICOS DE CRECIMIENTO EMPRESARIAL Y PROTOCOLOS FAMILIARES."/>
        <s v="JUSTIFICACION (CUENTA JUSTIFICATIVA ),DE SUBVENCIONES  PARA LA REALIZACION DE ACCIONES DE FORMACION PROFESIONAL PARA EL EMPLEO (MODALIDAD II, CON COMPROMISO DE CONTRATACION)"/>
        <s v="SUBVENCIONES PARA LA REALIZACION DE ACCIONES DE FORMACION PROFESIONAL PARA EL EMPLEO, DIRIGIDAS A PERSONAS TRABAJADORAS DESEMPLEADAS (MODALIDAD II), CON COMPROMISO DE CONTRATACION."/>
        <s v="JUSTIFICACION AYUDA DE EMPLEO CON APOYO."/>
        <s v="SOLICITUD DE AYUDA EMPLEO CON APOYO."/>
        <s v="JUSTIFICACION DE SUBVENCIONES PARA LA MEJORA DEL DIALOGO SOCIAL Y LA NEGOCIACION COLECTIVA EN CASTILLA-LA MANCHA"/>
        <s v="SOLICITUD DE SUBVENCIONES PARA LA MEJORA DEL DIALOGO SOCIAL Y LA NEGOCIACION COLECTIVA EN CASTILLA-LA MANCHA."/>
        <s v="SOLICITUD AYUDAS DE APOYO A LA MODERNIZACION, INNOVACION E INCREMENTO DE LA COMPETITIVIDAD DEL SECTOR TURISTICO DE CASTILLA-LA MANCHA POR COVID 19"/>
        <s v="JUSTIFICACION AYUDAS DE APOYO A LA MODERNIZACION, INNOVACION E INCREMENTO DE LA COMPETITIVIDAD DEL SECTOR TURISTICO DE CASTILLA-LA MANCHA POR COVID 19"/>
        <s v="SOLICITUD DE SUBVENCIONES PARA EL ESTIMULO AL CONSUMO DE SERVICIOS TURISTICOS CON MOTIVO DEL LA CRISIS SANITARIA DEL COVID-19"/>
        <s v="JUSTIFICACION DE SUBVENCIONES PARA EL ESTIMULO AL CONSUMO DE SERVICIOS TURISTICOS CON MOTIVO DEL LA CRISIS SANITARIA DEL COVID-19"/>
        <s v="SOLICITUD DE AYUDA. DECRETO PARA PROMOVER EL EJERCICIO SEGURO DE LA ACTIVIDAD ECONOMICA DE LAS PERSONAS TRABAJADORAS AUTONOMAS."/>
        <s v="JUSTIFICACION DE SUBVENCIONES PARA EL ESTIMULO AL CONSUMO DE SERVICIOS TURISTICOS Y ALOJAMIENTOS EXTRAHOTELEROS CON MOTIVO DEL LA CRISIS SANITARIA DEL COVID-19."/>
        <s v="SOLICITUD DE SUBVENCIONES PARA EL ESTIMULO AL CONSUMO DE SERVICIOS TURISTICOS Y ALOJAMIENTOS EXTRAHOTELEROS CON MOTIVO DEL LA CRISIS SANITARIA DEL COVID-19."/>
        <s v="JUSTIFICACION DE LAS INVERSIONES Y SOLICITUD DE ABONO. LINEA 1 INVERSION PRL"/>
        <s v="SOLICITUD LINEA 1. PROGRAMA CLM MAS SEGURA."/>
        <s v="JUSTIFICACION DE SUBVENCIONES PARA LA REALIZACION DE ACTUACIONES PARA LA MEJORA DE LA EMPLEABILIDAD Y LA INSERCION COLECTIVOS VULNERABLES (NEXTGENERATIONEU)"/>
        <s v="SOLICITUD DE SUBVENCION PARA LA REALIZACION DE ACTUACIONES PARA LA MEJORA DE LA EMPLEABILIDAD Y LA INSERCION DE COLECTIVOS VULNERABLES (NEXTGENERATIONEU)"/>
        <s v="SOLICITUD DE SUBVENCION PARA EL PROGRAMA DE APOYO A MUJERES EN LOS AMBITOS RURAL Y URBANO (NEXT GENERATION EU)"/>
        <s v="SOLICITUD DE SUBVENCION PARA EL INICIO, MANTENIMIENTO Y CONSOLIDACION DE LA ACTIVIDAD DE LAS PERSONAS TRABAJADORAS AUTOMOMAS"/>
        <s v="AYUDAS PROGRAMA MICE"/>
        <s v="JUSTIFICACION AYUDAS PROGRAMA MICE 2022"/>
        <s v="LINEA 1. SUBVENCION PARA LA PROMOCION DE LAS COOPERATIVAS Y SOCIEDADES LABORALES"/>
        <s v="SOLICITUD DECLARACION ZONA DE GRAN AFLUENCIA TURISTICA"/>
        <s v="DECLARACION DE FIESTA DE INTERES TURISTICO REGIONAL DE CASTILLA-LA MANCHA"/>
        <s v="ACREDITACION DE ENTIDADES ESPECIALIZADAS COMO SERVICIOS DE PREVENCION AJENOS A LAS EMPRESAS"/>
        <s v="RECONOCIMIENTO DE LAS COMPETENCIAS PROFESIONALES ADQUIRIDAS MEDIANTE EXPERIENCIA LABORAL"/>
        <s v="RENOVACION DEL TITULO DE EMPRESA ARTESANA"/>
        <s v="CERTIFICADO DE TIENDA DE CONVENIENCIA"/>
        <s v="RECONOCIMIENTO DE EVENTO DE INTERES ARTESANO"/>
        <s v="CONCESION DEL CARNE ARTESANO"/>
        <s v="CONCESION DEL TITULO DE EMPRESA ARTESANA"/>
        <s v="RENOVACION DEL CARNE ARTESANO"/>
        <s v="COMUNICACION DE MODIFICACION EN LA ACTIVIDAD PRODUCTIVA DE LA EMPRESA ARTESANA"/>
        <s v="CAMBIO DE NOMBRE COMERCIAL O DE TITULARIDAD DE LA EMPRESA ARTESANA"/>
        <s v="RECONOCIMIENTO DE TIENDA ARTESANA E INTEGRACION EN LA RED DE TIENDAS ARTESANAS DE CASTILLA-LA MANCHA"/>
        <s v="RECONOCIMIENTO/MODIFICACION DE AREA DE ESPECIAL INTERES ARTESANAL DE CASTILLA-LA MANCHA // TALLER DE ESPECIAL INTERES ARTESANAL DE CASTILLA- LA MANCHA"/>
        <s v="RENOVACION DEL RECONOCIMIENTO DE AREA DE ESPECIAL INTERES ARTESANAL DE CASTILLA-LA MANCHA // TALLER DE ESPECIAL INTERES ARTESANAL DE CASTILLA- LA MANCHA"/>
        <s v="SOLICITUD DE CREDENCIALES DE ACCESO A LA OFICINA VIRTUAL DE LA CONSEJERIA DE EMPLEO Y ECONOMIA PARA PERSONAS FISICAS, JURIDICAS Y AUTONOMOS"/>
        <s v="CERTIFICADO DE INSCRIPCION EN REGISTRO DE EMPRESAS ACREDITADAS EN EL SECTOR DE LA CONSTRUCCION (REA)"/>
        <s v="SUBVENCION A LA FUNDACION ESCUELA DE ORGANIZACION INDUSTRIAL (EOI), PARA EL DESARROLLO DE PROYECTOS DE FORMACION."/>
        <s v="DECLARACION DE PROYECTOS PRIORITARIOS CLM"/>
        <s v="ACREDITACION DE LA BUSQUEDA ACTIVA DE EMPLEO DE TRABAJADORES Y DE LOS SOLICITANTES Y BENEFICIARIOS DE PRESTACIONES POR DESEMPLEO"/>
        <s v="COMUNICACION DE COLOCACIONES DE LOS DEMANDANTES BENEFICIARIOS DEL PROGRAMA DE ACTIVACION PARA EL EMPLEO"/>
        <s v="INICIO DE ACTIVIDAD COMO EMPRESA DE RESTAURACION"/>
        <s v="MODIFICACION DE LA CAPACIDAD/CAMBIO EN LA CLASIFICACION DE LA EMPRESA DE RESTAURACION"/>
        <s v="CAMBIO DE TITULARIDAD, CAMBIO DE DENOMINACION O CESE DE ACTIVIDAD COMO EMPRESA DE RESTAURACION"/>
        <s v="PAPELETA DE CONCILIACION INDIVIDUAL PREVIA A LA VIA JUDICIAL LABORAL"/>
        <s v="PROCEDIMIENTO PARA LA SOLUCION DE DISCREPANCIAS SURGIDAS POR FALTA DE ACUERDO EN LOS PROCEDIMIENTOS DE INAPLICACION DE LAS CONDICIONES DE TRABAJO PREVISTAS EN EL CONVENIO COLECTIVO DE APLICACION"/>
        <s v="GESTION DE OFERTAS DE EMPLEO DE ENTIDADES PUBLICAS Y PRIVADAS"/>
        <s v="COOPERATIVAS Y SOCIEDADES LABORALES: ARBITRAJE, CONCILIACION Y MEDIACION."/>
        <s v="SUSCRIPCION DE CONVENIOS PARA EL DESARROLLO DE PRACTICAS NO LABORALES EN EMPRESAS"/>
        <s v="ENVIO DEL DOCUMENTO DE SOLICITUDES DE RENOVACION DE DEMANDA DE EMPLEO DE LAS UNIDADES LOCALES DE GESTION DE EMPLEO A LAS OFICINAS DE EMPLEO"/>
        <s v="SOLICITUD DE SUSCRIPCION DE CONVENIOS DE COLABORACION PARA LA CREACION DE UNIDADES LOCALES DE GESTION DE EMPLEO ENTRE AYUNTAMIENTOS Y LA CONSEJERIA DE ECONOMIA, EMPRESAS Y EMPLEO"/>
        <s v="SOLICITUD DE CONVENIO PARA LA REALIZACION DE ACTIVIDADES DE ASESORAMIENTO PARA EL AUTOEMPLEO Y EL EMPRENDIMIENTO, MEDIANTE LA CREACION DE LOS  ESPACIOS ADELANTE AUTOEMPLEO "/>
        <s v="PROVISION DE PUESTOS DE TRABAJO POR EL PROCEDIMIENTO DE LIBRE DESIGNACION (ECONOMIA, EMPRESAS Y EMPLEO)."/>
        <s v="CESION GRATUITA DE VEHICULOS."/>
        <s v="AUTORIZACION PREVIA AL PROTECTORADO (FUNDACIONES)"/>
        <s v="AUTORIZACION DE ADJUDICACION EN PUBLICA SUBASTA, MEDIANTE PRECIO, DEL APROVECHAMIENTO DE BIENES COMUNALES DE LAS CORPORACIONES LOCALES"/>
        <s v="AUTORIZACION DE ACTIVIDADES RECREATIVAS O PRUEBAS DEPORTIVAS A REALIZAR POR EL TERRITORIO DE DOS O MAS PROVINCIAS."/>
        <s v="AUTORIZACION DE ACTIVIDADES RECREATIVAS O PRUEBAS DEPORTIVAS A REALIZAR POR EL TERRITORIO DE UNA SOLA PROVINCIA"/>
        <s v="AUTORIZACION  DE HORARIOS PERMANENTES Y ESPECIALES"/>
        <s v="COMUNICACION DE ESPECTACULOS TAURINOS EN PLAZA DE TOROS PERMANENTE."/>
        <s v="AUTORIZACION DE ESPECTACULOS TAURINOS EN PLAZA DE TOROS NO PERMANENTE O PORTATIL."/>
        <s v="AUTORIZACION DE FESTEJOS TAURINOS POPULARES."/>
        <s v="CREACION / RENOVACION DE ESCUELA TAURINA"/>
        <s v="AUTORIZACION DE CONSULTA DE DOCUMENTOS DEL ARCHIVO DE CASTILLA-LA MANCHA"/>
        <s v="AUTORIZACION DE LA COMUNIDAD AUTONOMA PARA CAMBIAR EL USO DE LOS BIENES COMUNALES"/>
        <s v="ALTERACIONES DE TERMINOS MUNICIPALES"/>
        <s v="CONSTITUCION DEL REGIMEN ESPECIAL DE CONCEJO ABIERTO"/>
        <s v="ALTERACION DEL NOMBRE Y CAPITALIDAD DEL MUNICIPIO"/>
        <s v="RATIFICACION EXTINCION FUNDACION"/>
        <s v="AUTORIZACION DE ACTIVIDADES DE PUBLICIDAD, PATROCINIO Y PROMOCION DE JUEGOS Y LAS APUESTAS."/>
        <s v="AUTORIZACION DE RIFAS O TOMBOLAS"/>
        <s v="AUTORIZACION DE ACTIVIDADES DE JUEGOS ESPORADICOS POR CANALES ELECTRONICOS, INFORMATICOS, TELEMATICOS O INTERACTIVOS."/>
        <s v="TRANSMISION DE LA AUTORIZACION DE JUEGOS PERMANENTES POR CANALES ELECTRONICOS, INFORMATICOS, TELEMATICOS O INTERACTIVOS."/>
        <s v="HOMOLOGACION, CONVALIDACION, MODIFICACION SUSTANCIAL DE LOS SISTEMAS TECNICOS DE JUEGO."/>
        <s v="AUTORIZACION  DE INSTALACION  ZONAS DE APUESTAS."/>
        <s v="AUTORIZACION DE SISTEMAS DE INTERCONEXIONADO."/>
        <s v="TRANSMISION DE LA AUTORIZACION  DE INSTALACION  DE CASINOS DE JUEGO Y  ESTABLECIMIENTOS DE JUEGO."/>
        <s v="SOLICITUD DE CLAVES DE ACCESO A LA TRAMITACION TELEMATICA JUEGO Y  A LA APLICACION DEL CONTROL ACCESO DE LOS ESTABLECIMIENTOS DE JUEGO"/>
        <s v="CREACION DE UN COLEGIO PROFESIONAL/ CONSEJO DE COLEGIOS PROFESIONALES"/>
        <s v="AUTORIZACION DE COMPATIBILIDAD PARA EL EJERCICIO DE ACTIVIDADES PUBLICAS"/>
        <s v="OBTENCION DE PUBLICIDAD REGISTRAL SOBRE COLEGIOS PROFESIONALES"/>
        <s v="SOLICITUD GENERAL EN MATERIA DE JUEGOS Y APUESTAS."/>
        <s v="AUTORIZACION O COMUNICACION DE MODIFICACION DE HORARIOS GENERALES"/>
        <s v="RENOVACION DE LA AUTORIZACION  DE INSTALACION  DE CASINOS DE JUEGO Y ESTABLECIMIENTOS DE JUEGO."/>
        <s v="RENOVACION DE LA AUTORIZACION DE  ESTABLECIMIENTOS DE HOSTELERIA O SIMILAR."/>
        <s v="AUTORIZACION DE PERMUTA DE BIENES INMUEBLES PATRIMONIALES CUANDO SUPEREN EL 25 POR 100 DE LOS RECURSOS ORDINARIOS DEL PRESUPUESTO DE LA CORPORACION LOCAL"/>
        <s v="AUTORIZACION DE ENAJENACION DE BIENES Y DERECHOS CUYA CUANTIA SUPERE EL 25 POR 100 DE LOS RECURSOS ORDINARIOS DEL PRESUPUESTO DE LA CORPORACION LOCAL."/>
        <s v="CLASE PRACTICA DE ESCUELA TAURINA DENTRO DE SU SEDE"/>
        <s v="CLASE PRACTICA DE ESCUELA TAURINA FUERA DE SU SEDE."/>
        <s v="COMUNICACION PREVIA MODIFICACIONES NO ESENCIALES QUE SE PRETENDAN REALIZAR DURANTE EL EJERCICIO DE SU ACTIVIDAD DE JUEGO REALIZADOS POR CANALES ELECTRONICOS, INFORMATICOS, TELEMATICOS O INTERACTIVOS."/>
        <s v="AUTORIZACION DE ACTIVIDADES DE JUEGOS PERMANENTES POR CANALES ELECTRONICOS, INFORMATICOS, TELEMATICOS O INTERACTIVOS."/>
        <s v="AUTORIZACION DE MODIFICACIONES ESENCIALES DE LA AUTORIZACION DE JUEGOS PERMANENTES POR CANALES ELECTRONICOS, INFORMATICOS, TELEMATICOS O INTERACTIVOS."/>
        <s v="AUTORIZACION  DE INSTALACION  DE CASINOS DE JUEGO Y  ESTABLECIMIENTOS DE JUEGO."/>
        <s v="MODIFICACION SUSTANCIAL AUTORIZACION  DE INSTALACION  DE CASINOS DE JUEGO Y  ESTABLECIMIENTOS DE JUEGO."/>
        <s v="RENUNCIA DE MUTUO ACUERDO A LA AUTORIZACION DE INSTALACION DE ESTABLECIMIENTOS DE HOSTELERIA O SIMILAR."/>
        <s v="AUTORIZACION DE INSTALACION DE ESTABLECIMIENTOS DE HOSTELERIA O SIMILAR"/>
        <s v="AUTORIZACION DE INICIO DE ACTIVIDAD DE EMPRESAS DE JUEGO Y APUESTAS."/>
        <s v="MODIFICACION SUSTANCIAL INICIO DE ACTIVIDAD EMPRESAS DE JUEGO"/>
        <s v="AUTORIZACION LABORATORIO DE ENSAYO."/>
        <s v="HOMOLOGACION, CONVALIDACION Y MODIFICACION SUSTANCIAL DEL MATERIAL DE JUEGO Y APUESTAS."/>
        <s v="BAJA TEMPORAL O REACTIVACION DE LA AUTORIZACION DE EXPLOTACION DE MAQUINAS DE JUEGO."/>
        <s v="AUTORIZACION DE EXPLOTACION  DE MAQUINAS DE JUEGO."/>
        <s v="TRANSMISION DE LA AUTORIZACION DE EXPLOTACION DE  MAQUINAS DE JUEGO."/>
        <s v="COMUNICACION PREVIA DE MODIFICACIONES NO SUSTANCIALES."/>
        <s v="COMUNICACION PREVIA DE TRANSMISION, AMPLIACION, DISMINUCION DE ACCIONES O PARTICIPACIONES DE LA SOCIEDAD MERCANTILES DEDICADAS AL JUEGO Y CUALESQUIERA OTRAS MODIFICACIONES SOCIETARIAS."/>
        <s v="COMUNICACION PREVIA DE TRANSMISION DE LA AUTORIZACION DE HOMOLOGACION DE MAQUINAS DE JUEGO, SISTEMAS DE INTERCONEXION Y MATERIAL PARA LA PRACTICA DEL JUEGO."/>
        <s v="INSCRIPCION EN EL REGISTRO OFICIAL DE LICITADORES Y EMPRESAS CLASIFICADAS DEL SECTOR PUBLICO A TRAVES DEL REGISTRO OFICIAL DE LICITADORES DE CASTILLA-LA MANCHA"/>
        <s v="DOCUMENTACION ESTADISTICO-CONTABLE Y DEL NEGOCIO DE LOS MEDIADORES DE SEGUROS"/>
        <s v="REGISTRO DE FUNDACIONES DE CASTILLA-LA MANCHA"/>
        <s v="INSCRIPCION EN EL REGISTRO DE COLEGIOS  Y CONSEJOS DE COLEGIOS PROFESIONALES  DE CASTILLA-LA MANCHA."/>
        <s v="INSCRIPCION EN EL REGISTRO DE ASOCIACIONES DE CASTILLA-LA MANCHA"/>
        <s v="REGISTRO DE PAREJAS DE HECHO"/>
        <s v="REGISTRO DE AGRUPACIONES DE VOLUNTARIOS DE PROTECCION CIVIL DE CASTILLA-LA MANCHA"/>
        <s v="RED DE TRANSMISIONES DE PROTECCION CIVIL DE CASTILLA-LA MANCHA."/>
        <s v="EJERCICIO DE LO DERECHOS DE  ACCESO, RECTIFICACION, SUPRESION, OPOSICION, LIMITACION, PORTABILIDAD Y DECISIONES AUTOMATIZADAS A LOS TRATAMIENTOS DE LA JUNTA DE COMUNIDADES DE CASTILLA-LA MANCHA"/>
        <s v="REGISTRO DE POLICIAS LOCALES DE LA COMUNIDAD AUTONOMA DE CASTILLA-LA MANCHA, A INSTANCIA DE LAS ENTIDADES LOCALES"/>
        <s v="REGISTRO DE PROFESORES COLABORADORES DE LA ESCUELA DE PROTECCION CIUDADANA DE CASTILLA LA MANCHA."/>
        <s v="ACCESO AL SERVICIO PARA PERSONAS CON DISCAPACIDAD AUDITIVA Y/O DEL LENGUAJE EN EL DISPOSITIVO DE ATENCION ESPECIFICO DEL 112 DE CASTILLA-LA MANCHA"/>
        <s v="REGISTRO DE PROFESORADO COLABORADOR DE LA ESCUELA DE ADMINISTRACION REGIONAL DE CASTILLA-LA MANCHA (EAR)"/>
        <s v="ANOTACION EN EL REGISTRO DE POLICIAS LOCALES DE LA COMUNIDAD AUTONOMA DE CASTILLA-LA MANCHA DE TITULACIONES ACADEMICAS O FORMACION PROFESIONAL A PETICION DE INTERESADO"/>
        <s v="ACCESO AL SERVICIO 012 PARA PERSONAS CON DISCAPACIDAD AUDITIVA Y/O DEL LENGUAJE"/>
        <s v="INSCRIPCION O CANCELACION EN EL REGISTRO DE INTERDICCION DE ACCESO AL JUEGO."/>
        <s v="REGISTRO FESTEJOS TAURINOS TRADICIONALES."/>
        <s v="PRESENTACION CUENTAS ANUALES, PLANES DE ACTUACION Y LEGALIZACION DE LIBROS (FUNDACIONES)"/>
        <s v="RENDICION DE CUENTAS POR ASOCIACIONES DECLARADAS DE UTILIDAD PUBLICA"/>
        <s v="SOLICITUDES DE INSCRIPCION EN EL REGISTRO DE MEDIADORES DE SEGUROS DE CASTILLA-LA MANCHA"/>
        <s v="PROCEDIMIENTOS DE MODIFICACION Y CERTIFICACION DE DATOS REGISTRALES"/>
        <s v="ALTA DE FACTURA ELECTRONICA DE LA JUNTA DE CASTILLA-LA MANCHA"/>
        <s v="CANCELACION DE LOS DATOS INSCRITOS EN EL REGISTRO DE PLANES DE AUTOPROTECCION DE CASTILLA-LA MANCHA"/>
        <s v="MODIFICACION DE LOS DATOS INSCRITOS EN EL REGISTRO DE PLANES DE AUTOPROTECCION DE CASTILLA-LA MANCHA"/>
        <s v="INSCRIPCION EN EL REGISTRO DE PLANES DE AUTOPROTECCION DE CASTILLA-LA MANCHA"/>
        <s v="PREMIO A LA EXCELENCIA Y CALIDAD DE LOS SERVICIOS PUBLICOS"/>
        <s v="AYUDAS PARA ACTUACIONES URGENTES E INCIDENCIAS IMPREVISIBLES CON CARGO AL FONDO REGIONAL DE COOPERACION LOCAL"/>
        <s v="SOLICITUD DE SUBVENCION DE LAS ENTIDADES LOCALES DE CASTILLA-LA MANCHA PARA LA DOTACION DE MEDIOS MATERIALES  PARA LAS AGRUPACIONES DE VOLUNTARIOS  DE PROTECCION CIVIL"/>
        <s v="ACTIVIDADES DE FORMACION INICIAL Y CONTINUA PARA PERSONAL DE POLICIA LOCAL, DE VIGILANCIA MUNICIPAL, BOMBERO/A, TECNICO Y  VOLUNTARIADO DE PROTECCION CIVIL."/>
        <s v="CONDECORACIONES POLICIA LOCAL DE CASTILLA-LA MANCHA"/>
        <s v="SUBVENCIONES DIRIGIDAS A LAS ENTIDADES LOCALES DE CASTILLA-LA MANCHA PARA LA ELABORACION DE PLANES DE PROTECCION CIVIL DE AMBITO MUNICIPAL"/>
        <s v="CONVOCATORIA DE SUBVENCIONES DESTINADAS A LA FINANCIACION DE PLANES DE FORMACION PARA LAS/OS EMPLEADAS/OS PUBLICAS/OS DE LAS ENTIDADES LOCALES EN EL MARCO DEL AFEDAP."/>
        <s v="CONVOCATORIA EXPRESIONES DE INTERES PARA LA SELECCION Y EJECUCION DE PROYECTOS, EN EL MARCO DEL PO FEDER CASILLA-LA MANCHA 2014-2020, RELATIVAS A LA ADHESION DE PUNTOS DE INCLUSION DIGITAL."/>
        <s v="CONV. EXPRESIONES DE INTERES PARA LA SELECCION Y EJECUCION DE PROYECTOS, EN EL MARCO DEL PO FEDER CASILLA-LA MANCHA 2014-2020, RELATIVAS A LA ADHESION DE PUNTOS DE INCLUSION DIGITAL MUNICIPALES."/>
        <s v="USO DE LA GALERIA DE LA ESCUELA DE PROTECCION CIUDADANA DE CASTILLA-LA MANCHA, PARA REALIZAR PRACTICAS DE TIRO POLICIAL."/>
        <s v="ADOPCION DE ESCUDO HERALDICO/BANDERA MUNICIPAL POR CORPORACION LOCAL"/>
        <s v="EXENCION DE LA OBLIGACION DE MANTENER EL PUESTO DE TRABAJO CON FUNCIONES PUBLICAS DE SECRETARIA, CUYA RESPONSABILIDAD ADMINISTRATIVA ESTE RESERVADA A FUNCIONARIOS/AS CON HABILITACION"/>
        <s v="APROBACION DE CONSTITUCION DE ENTIDAD DE AMBITO TERRITORIAL INFERIOR AL MUNICIPIO"/>
        <s v="CREACION Y CLASIFICACION DE PUESTO DE TRABAJO RESERVADO A FUNCIONARIO/A CON HABILITACION DE CARACTER ESTATAL"/>
        <s v="DECLARACION DE URGENTE OCUPACION DE BIENES Y DERECHOS AFECTADOS POR EXPROPIACION FORZOSA EN EXPEDIENTES INSTRUIDOS POR CORPORACIONES LOCALES"/>
        <s v="APROBACION DE DESAFECTACION DE BIENES COMUNALES, QUE NO HUBIERAN SIDO OBJETO DE DISFRUTE DE ESTA INDOLE DURANTE MAS DE DIEZ AÑOS"/>
        <s v="CONDECORACIONES EN MATERIA DE PROTECCION CIVIL DE LA COMUNIDAD AUTONOMA DE CASTILLA-LA MANCHA"/>
        <s v="EMISION DE CERTIFICADO DE ESTAR AL CORRIENTE DE LAS OBLIGACIONES TRIBUTARIAS."/>
        <s v="SOLICITUDES DE INFORMACION RELATIVAS A INCIDENTES GESTIONADOS EN EL SERVICIO DE EMERGENCIAS 112 DE CASTILLA-LA MANCHA."/>
        <s v="DECLARACION DE UTILIDAD PUBLICA (ASOCIACIONES)"/>
        <s v="LEGALIZACION DE FIRMAS"/>
        <s v="REMISION ELECTRONICA DE ACTOS Y ACUERDOS DE LAS ENTIDADES LOCALES A LA ADMINISTRACION DE LA JUNTA DE COMUNIDADES DE CASTILLA-LA MANCHA"/>
        <s v="OBTENCION DE PUBLICIDAD REGISTRAL FUNDACIONES"/>
        <s v="APROBACION DE CONSTITUCION DE AGRUPACIONES DE MUNICIPIOS PARA EL MANTENIMIENTO DEL PUESTO DE SECRETARIO"/>
        <s v="DECLARACION RESPONSABLE DE COMBINACION ALEATORIA"/>
        <s v="INFORMACION SOBRE EL VALOR A EFECTOS FISCALES DE BIENES RUSTICOS"/>
        <s v="CERTIFICADO DE DENOMINACION (FUNDACIONES)"/>
        <s v="OBTENCION DE PUBLICIDAD REGISTRAL SOBRE ASOCIACIONES"/>
        <s v="SOLICITUD DE CERTIFICACIONES ACREDITATIVAS DE FORMACION DE CONSUMIDORES RECONOCIDOS COMO EXPERTOS."/>
        <s v="SOLICITUD DE CERTIFICACION QUE CONVALIDA UNA CERTIFICACION ACREDITATIVA DE FORMACION DE CONSUMIDORES RECONOCIDOS COMO EXPERTOS DE OTRA PROVINCIA U OTRA ADMINISTRACION."/>
        <s v="DECLARACION RESPONSABLE DE ENTIDAD EXTERNA DE FORMACION DE CONSUMIDORES RECONOCIDOS COMO EXPERTOS."/>
        <s v="AUTORIZACION DEL PERSONAL EMPLEADO PUBLICO PARA SOLICITAR CERTIFICACION DEL REGISTRO CENTRAL DE DELINCUENTES SEXUALES"/>
        <s v="OBTENCION CERTIFICADO DE EMPLEADA  Y EMPLEADO PUBLICO"/>
        <s v="INFORME, SOBRE EXISTENCIA DE FUNCIONARIO/A CON HABILITACION DE CARACTER ESTATAL INTERESADO/A EN LA PROVISION DEL PUESTO DE TRABAJO, PARA NOMBRAMIENTO ACCIDENTAL"/>
        <s v="NOMBRAMIENTO PROVISIONAL EN PUESTOS RESERVADOS A FUNCIONARIOS/AS CON HABILITACION DE CARACTER ESTATAL"/>
        <s v="COMISION DE SERVICIOS EN PUESTOS RESERVADOS A FUNCIONARIOS/AS CON HABILITACION DE CARACTER ESTATAL"/>
        <s v="CERTIFICADO DE LOS CURSOS IMPARTIDOS EN LA ESCUELA DE ADMINISTRACION REGIONAL DE CASTILLA-LA MANCHA."/>
        <s v="CERTIFICADO DE LOS CURSOS REALIZADOS O PROMOVIDOS POR LA ESCUELA DE ADMINISTRACION REGIONAL."/>
        <s v="DECLARACION RESPONSABLE RENOVACION AUTORIZACION DE  JUEGOS PERMANENTES POR CANALES ELECTRONICOS, INFORMATICOS,  TELEMATICOS O INTERACTIVOS."/>
        <s v="DECLARACION RESPONSABLE DE MODIFICACION NO SUSTANCIAL DE HOMOLOGACION DE SISTEMAS TECNICOS DE JUEGO POR CANALES ELECTRONICOS, INFORMATICOS, TELEMATICOS O INTERACTIVOS."/>
        <s v="DECLARACION RESPONSABLE DE MODIFICACION NO SUSTANCIAL DE HOMOLOGACION DEL MATERIAL DE JUEGO."/>
        <s v="DECLARACION RESPONSABLE DE CAMBIO DE TITULAR DE LA AUTORIZACION INSTALACION DE ESTABLECIMIENTOS DE HOSTELERIA O SIMILAR."/>
        <s v="DECLARACION RESPONSABLE DE MODIFICACION  DE LOS SISTEMAS DE INTERCONEXIONADO"/>
        <s v="DECLARACION RESPONSABLE DE EMPLAZAMIENTO"/>
        <s v="DECLARACION RESPONSABLE DE CELEBRACION DE TORNEOS."/>
        <s v="DECLARACION RESPONSABLE DE PUESTA EN FUNCIONAMIENTO DE ESCUELA DE CRUPIERES"/>
        <s v="DATOS ESTADISTICOS EN MATERIA DE JUEGO."/>
        <s v="DECLARACION RESPONSABLE DE BAJA DEFINITIVA DE MAQUINAS DE JUEGO"/>
        <s v="DECLARACION RESPONSABLE DE PUESTA EN FUNCIONAMIENTO"/>
        <s v="DECLARACION RESPONSABLE DE RENOVACION DE LA AUTORIZACION DE  ZONAS DE APUESTAS."/>
        <s v="DECLARACION RESPONSABLE DE RENOVACION DE LA AUTORIZACION DE EXPLOTACION DE MAQUINAS DE JUEGO"/>
        <s v="DECLARACION RESPONSABLE DE RENOVACION ACTIVIDAD DE EMPRESAS DE JUEGO."/>
        <s v="DECLARACION RESPONSABLE DE RENOVACION AUTORIZACION LABORATORIO DE ENSAYO"/>
        <s v="CONTROL FINANCIERO DE OPERACIONES COFINANCIADAS CON FONDOS ESTRUCTURALES Y FEMP."/>
        <s v="CERTIFICACION DE LAS CUENTAS DEL ORGANISMO PAGADOR (FEAGA/FEADER)"/>
        <s v="CONTROL FINANCIERO DE OPERACIONES COFINANCIADAS CON EL FONDO FEAGA."/>
        <s v="FIJACION DEL JUSTIPRECIO EN EXPROPIACION FORZOSA CUANDO LA ADMINISTRACION EXPROPIANTE SEA LA JCCM O CUALQUIERA DE LAS DIPUTACIONES O MUNICIPIOS DE CASTILLA-LA MANCHA"/>
        <s v="GESTION ELECTRONICA DE LA CONTRATACION"/>
        <s v="SOLICITUD QUEJAS, SUGERENCIAS E INCIDENCIAS EN LA TRAMITACION ELECTRONICA ANTE LA ADMINISTRACION DE LA JUNTA DE COMUNIDADES DE CASTILLA-LA MANCHA, EXCEPTO SESCAM"/>
        <s v="CONSULTAS GENERICAS A LA ADMINISTRACION DE LA JUNTA DE COMUNIDADES DE CASTILLA-LA MANCHA"/>
        <s v="CONCURSO GENERAL DE MERITOS CGM F1/2021."/>
        <s v="SOLICITUD DE DESTINOS PROCESOS SELECTIVOS FUNCIONARIOS."/>
        <s v="OFERTA A PERSONAL DE BOLSA DE TRABAJO DE FUNCIONARIOS INTERINOS"/>
        <s v="NOMBRAMIENTO INTERINO DE LISTA DE ESPERA PARA DESEMPEÑAR PUESTO DE TRABAJO RESERVADO A FUNCIONARIO/A CON HABILITACION DE CARACTER ESTATAL"/>
        <s v="CONVOCATORIA  PROCESO  SELECTIVO PARA EL INGRESO POR EL SISTEMA  GENERAL DE ACCESO LIBRE, CUERPO SUPERIOR,ESCALA SUPERIOR DE LETRADOS."/>
        <s v="CONVOCATORIAS  PROCESOS  SELECTIVOS PARA EL INGRESO POR EL SISTEMA  GENERAL DE ACCESO LIBRE Y DE PERSONAS CON DISCAPACIDAD, CUERPO SUPERIOR,E.SUPERIOR SANITARIOS LOCALES:  VETERINARIA Y FARMACIA."/>
        <s v="SOLICITUD DE DESTINO DEL PROCESO SELECTIVO PARA EL INGRESO POR EL SISTEMA DE ACCESO LIBRE EN LA ESCALA BASICA, CATEGORIA DE POLICIA, DE LOS CUERPOS DE POLICIA LOCAL DE CASTILLA-LA MANCHA"/>
        <s v="PROCESOS SELECTIVOS PARA EL ACCESO DE PERSONAS CON DISCAPACIDAD INTELECTUAL EN EL CUERPO AUXILIAR ADMINISTRATIVO Y EN LA ESCALA AUXILIAR DE ARCHIVOS Y BIBLIOTECAS DE PERSONAL FUNCIONARIO."/>
        <s v="PROCESOS SELECTIVOS PARA EL ACCESO DE PERSONAS CON DISCAPACIDAD INTELECTUAL EN LAS CATEGORIAS PROFESIONALES DE PERSONAL DE LIMPIEZA Y SERVICIOS DOMESTICOS Y PEON ESPECIALISTA DE PERSONAL LABORAL."/>
        <s v="PROCESO SELECTIVO PARA LA AMPLIACION DE LA BOLSA DE TRABAJO DEL CUERPO SUPERIOR ESPECIALIDAD JURIDICA"/>
        <s v="PROCESO SELECTIVO PARA LA AMPLIACION DE LA BOLSA DE TRABAJO DEL CUERPO TECNICO ESPECIALIDAD GESTION ADMINISTRATIVA."/>
        <s v="PROCESO SELECTIVO PARA LA AMPLIACION DE LA LISTA DE ESPERA REGIONAL PARA NOMBRAMIENTOS DE INTERVENCION-TESORERIA, CATEGORIA DE ENTRADA EN REGIMEN DE INTERINIDAD."/>
        <s v="PROCESO SELECTIVO PARA LA AMPLIACION DE LA LISTA DE ESPERA REGIONAL PARA NOMBRAMIENTOS DE SECRETARIA DE ENTRADA EN REGIMEN DE INTERINIDAD."/>
        <s v="PROCESOS SELECTIVOS PERSONAL FUNCIONARIO O LABORAL"/>
        <s v="VERIFICAR LA IDENTIDAD DE LAS PERSONAS QUE INGRESAN EN LA ADMINISTRACION MEDIANTE PROCESO SELECTIVO"/>
        <s v="CONVOCATORIA PROCESOS SELECTIVOS PARA LA COBERTURA, CON CARACTER FIJO Y POR EL SISTEMA GENERAL ACCESO DE PERSONAS CON DISCAPACIDAD, DE VACANTES  CORRESPONDIENTES A LA PLANTILLA DE PERSONAL LABORAL."/>
        <s v="CONVOCATORIA PROCESOS SELECTIVOS PARA LA COBERTURA, CON CARACTER FIJO Y POR EL SISTEMA DE PROMOCION INTERNA DE PUESTOS VACANTES CORRESPONDIENTES A LA PLANTILLA DE PERSONAL LABORAL."/>
        <s v="CONVOCATORIA PROCESOS SELECTIVOS PARA LA COBERTURA, CON CARACTER FIJO Y POR EL SISTEMA GENERAL DE ACCESO LIBRE, DE PUESTOS VACANTES CORRESPONDIENTES A LA PLANTILLA DE PERSONAL LABORAL."/>
        <s v="CONVOCATORIAS  PROCESOS  SELECTIVOS PARA EL INGRESO POR EL SISTEMA GENERAL DE ACCESO LIBRE EN LOS CUERPOS Y ESCALAS DEL PERSONAL FUNCIONARIO."/>
        <s v="CONVOCATORIAS  PROCESOS  SELECTIVOS PARA EL INGRESO POR EL SISTEMA GENERAL DE ACCESO DE PERSONAS CON DISCAPACIDAD  EN LOS CUERPOS Y ESCALAS DEL PERSONAL FUNCIONARIO."/>
        <s v="CONVOCATORIAS  PROCESOS  SELECTIVOS PARA EL INGRESO POR EL SISTEMA  DE PROMOCION INTERNA DIRECTA EN EL PUESTO  EN LOS CUERPOS Y ESCALAS DEL PERSONAL FUNCIONARIO."/>
        <s v="SOLICITUD DE DESTINOS PROCESOS SELECTIVOS LABORALES."/>
        <s v="PROCESO SELECTIVO PARA LA AMPLIACION DE LA LISTA DE ESPERA REGIONAL PARA NOMBRAMIENTOS DE SECRETARIA-INTERVENCION EN REGIMEN DE INTERINIDAD."/>
        <s v="ADAPTACION O CAMBIO DE PUESTO DE TRABAJO POR RIESGO DURANTE EL EMBARAZO O DURANTE LA LACTANCIA NATURAL"/>
        <s v="RECLAMACION DE RESPONSABILIDAD PATRIMONIAL DE LA CONSEJERIA DE HACIENDA Y ADMINISTRACIONES PUBLICAS."/>
        <s v="RECURSO DE ALZADA ANTE ORGANOS DE LA ADMINISTRACION DE LA JUNTA Y SUS ORGANISMOS AUTONOMOS."/>
        <s v="RECURSO DE REPOSICION ANTE ORGANOS DE LA ADMINISTRACION DE LA JUNTA Y SUS ORGANISMOS AUTONOMOS (EXCEPTO EN MATERIA TRIBUTARIA)"/>
        <s v="RECURSO EXTRAORDINARIO DE REVISION ANTE ORGANOS DE LA ADMINISTRACION DE LA JUNTA Y SUS ORGANISMOS AUTONOMOS."/>
        <s v="RECLAMACION CONTRA LA ADJUDICACION PROVISIONAL DE DESTINOS DEL CONCURSO SINGULARIZADO DE MERITOS ESCALAS SUPERIOR Y TECNICA DE ARCHIVOS, BIBLIOTECAS Y MUSEOS"/>
        <s v="ADHESION AL CONVENIO FIRMADO EL 28/07/2014 ENTRE LA AGE Y LA JCCM PARA LA PRESTACION MUTUA DE SOLUCIONES DE ADMINISTRACION ELECTRONICA"/>
        <s v="ADHESION DE LAS ENTIDADES LOCALES DE CASTILLA-LA MANCHA A LA PLATAFORMA GEISER / ORVE"/>
        <s v="IMPUESTO SOBRE DETERMINADAS ACTIVIDADES QUE INCIDEN EN EL MEDIO AMBIENTE"/>
        <s v="TASA FISCAL SOBRE EL JUEGO"/>
        <s v="IMPUESTO SOBRE TRANSMISIONES PATRIMONIALES Y ACTOS JURIDICOS DOCUMENTADOS: OPERACIONES SOCIETARIAS"/>
        <s v="TASA FISCAL SOBRE RIFAS, TOMBOLAS, APUESTAS Y COMBINACIONES ALEATORIAS"/>
        <s v="IMPUESTO SOBRE TRANSMISIONES PATRIMONIALES Y ACTOS JURIDICOS DOCUMENTADOS: ACTOS JURIDICOS DOCUMENTADOS"/>
        <s v="TRANSMISIONES PATRIMONIALES ONEROSAS"/>
        <s v="IMPUESTO SOBRE SUCESIONES Y DONACIONES: SUCESIONES-AUTOLIQUIDACION DE SUCESIONES."/>
        <s v="IMPUESTO SOBRE SUCESIONES Y DONACIONES: DONACIONES-AUTOLIQUIDACION DE DONACIONES."/>
        <s v="SOLICITUD PARA EL RECONOCIMIENTO DEL DERECHO A LA DEVOLUCION DE INGRESOS INDEBIDOS"/>
        <s v="RECURSO DE REPOSICION EN MATERIA TRIBUTARIA Y RECAUDATORIA"/>
        <s v="COMPENSACION DE DEUDAS"/>
        <s v="TASACION PERICIAL CONTRADICTORIA"/>
        <s v="INTERPOSICION DE RECURSO DE EJECUCION EN VIA ECONOMICO-ADMINISTRATIVA EN MATERIA DE TRIBUTOS CEDIDOS."/>
        <s v="INTERPOSICION DE RECLAMACION ECONOMICO-ADMINISTRATIVA EN MATERIA DE TRIBUTOS CEDIDOS"/>
        <s v="INTERPOSICION DE RECLAMACION ECONOMICO-ADMINISTRATIVA EN MATERIA DE RECURSOS PROPIOS (EXCEPTO TRIBUTOS CEDIDOS)"/>
        <s v="ADHESION INDIVIDUALIZADA A UN ACUERDO O CONVENIO DE COLABORACION SOCIAL EN LA APLICACION DE LOS TRIBUTOS"/>
        <s v="INFORMACION SOBRE EL VALOR A EFECTOS FISCALES DE EDIFICACIONES"/>
        <s v="INFORMACION SOBRE EL VALOR A EFECTOS FISCALES DE SUELOS SIN EDIFICAR"/>
        <s v="APLAZAMIENTO O FRACCIONAMIENTO DEL PAGO DE DEUDAS DERIVADAS DE TRIBUTOS CEDIDOS"/>
        <s v="APLAZAMIENTO O FRACCIONAMIENTO DEL PAGO DE DEUDAS (EXCEPTO TRIBUTOS CEDIDOS)"/>
        <s v="CURSOS DE FORMACION A DISTANCIA Y ON LINE CONVOCADOS POR LA EAR"/>
        <s v="CONVOCATORIA DEL PROGRAMA DE FORMACION EN IDIOMAS, DENTRO DEL PLAN DE FORMACION PARA EL PERSONAL DE LA ADMINISTRACION DE LA JUNTA DE COMUNIDADES DE CASTILLA-LA MANCHA."/>
        <s v="CURSOS DE OFIMATICA"/>
        <s v="CURSOS DE PERFECCIONAMIENTO GENERAL"/>
        <s v="RECONOCIMIENTO DE SERVICIOS PREVIOS A EFECTOS DE TRIENIOS"/>
        <s v="RECONOCIMIENTO DE TRIENIOS. SOLICITUD"/>
        <s v="EXCEDENCIA POR CUIDADO DE FAMILIARES PERSONAL FUNCIONARIO"/>
        <s v="EXCEDENCIA VOLUNTARIA POR AGRUPACION FAMILIAR PERSONAL FUNCIONARIO"/>
        <s v="EXCEDENCIA VOLUNTARIA POR INTERES PARTICULAR PERSONAL FUNCIONARIO"/>
        <s v="EXCEDENCIA VOLUNTARIA POR PRESTACION DE SERVICIOS EN EL SECTOR PUBLICO PERSONAL FUNCIONARIO"/>
        <s v="JUBILACION ANTICIPADA VOLUNTARIA PERSONAL FUNCIONARIO REGIMEN SEGURIDAD SOCIAL"/>
        <s v="RECONOCIMIENTO DE GRADO PERSONAL FUNCIONARIO"/>
        <s v="REINGRESO A SERVICIO ACTIVO CON RESERVA DE PLAZA PERSONAL FUNCIONARIO"/>
        <s v="SITUACION DE SERVICIOS ESPECIALES PERSONAL FUNCIONARIO"/>
        <s v="DECLARACION EN SITUACION DE SERVICIO EN OTRA ADMINISTRACION PUBLICA"/>
        <s v="REINGRESO A SERVICIO ACTIVO SIN RESERVA DE PLAZA PERSONAL FUNCIONARIO"/>
        <s v="EXCEDENCIA VOLUNTARIA POR INTERES PARTICULAR DE PERSONAL LABORAL FIJO"/>
        <s v="EXCEDENCIA VOLUNTARIA POR AGRUPACION FAMILIAR DE PERSONAL LABORAL"/>
        <s v="EXCEDENCIA FORZOSA DE PERSONAL LABORAL"/>
        <s v="EXCEDENCIA POR CUIDADO DE FAMILIARES PERSONAL LABORAL"/>
        <s v="EXCEDENCIA POR INCOMPATIBILIDAD PERSONAL LABORAL FIJO"/>
        <s v="JUBILACION VOLUNTARIA ANTICIPADA PERSONAL LABORAL"/>
        <s v="JUBILACION PARCIAL DE PERSONAL LABORAL"/>
        <s v="REGULARIZACION DE ANTIGUEDAD"/>
        <s v="OPCION Y SOLICITUD DE INFORME PARA EL CAMBIO DE CATEGORIA DERIVADO DE INCAPACIDAD PERMANENTE TOTAL"/>
        <s v="ACUMULACION EN PUESTOS RESERVADOS A FUNCIONARIOS/AS CON HABILITACION DE CARACTER ESTATAL"/>
        <s v="CONVOCATORIA PARA LA PROVISION POR EL PROCEDIMIENTO DE CONCURSO SINGULARIZADO DE MERITOS (CSM HAC-AAPP 1/2022)"/>
        <s v="EXCEDENCIA VOLUNTARIA ESPECIAL DE PERSONAL FUNCIONARIO DE CARRERA"/>
        <s v="PROCEDIMIENTO DE CAMBIO DEL PUESTO DE TRABAJO POR RAZONES DE SALUD Y POSIBILIDAD DE REHABILITACION DEL CONYUGE, PAREJA DE HECHO O FAMILIARES A CARGO PERSONAL FUNCIONARIO"/>
        <s v="PROCEDIMIENTO DE CAMBIO DEL PUESTO DE TRABAJO POR RAZONES DE SALUD Y POSIBILIDAD DE REHABILITACION DEL CONYUGE, PAREJA DE HECHO O FAMILIARES A CARGO PERSONAL LABORAL"/>
        <s v="ADAPTACION O CAMBIO DE PUESTO DE TRABAJO POR MOTIVOS DE SALUD O REHABILITACION DEL PERSONAL FUNCIONARIO"/>
        <s v="ADAPTACION O CAMBIO DE PUESTO DE TRABAJO POR MOTIVOS DE SALUD O REHABILITACION DEL PERSONAL LABORAL"/>
        <s v="LICENCIA SIN SUELDO (PERSONAL LABORAL)"/>
        <s v="LICENCIA POR ASUNTOS PROPIOS (PERSONAL FUNCIONARIO)"/>
        <s v="JUBILACION VOLUNTARIA DE CLASES PASIVAS DEL ESTADO"/>
        <s v="CONCURSO DE TRASLADOS DE PERSONAL LABORAL"/>
        <s v="PRELACION CONCURSO ORDINARIO HABILITADOS ESTATALES"/>
        <s v="ANTICIPO NOMINA PERSONAL FUNCIONARIO"/>
        <s v="ANTICIPO NOMINA PERSONAL LABORAL"/>
        <s v="EXCEDENCIA VOLUNTARIA ESPECIAL DE PERSONAL LABORAL"/>
        <s v="ANULACION CONCURSO TRASLADOS PERSONAL LABORAL"/>
        <s v="PARTICIPACION EN CONCURSO GENERAL DE MERITOS (CGM F7/2021) PARA PROVISION DE PUESTOS DE TRABAJO VACANTES EN LA JCCM RESERVADOS A LA ESCALA SUPERIOR DE SANITARIOS LOCALES (VETERINARIA Y FARMACIA)"/>
        <s v="CONVOCATORIA CONCURSO ESCALA SUPERIOR DE LETRADOS"/>
        <s v="REINGRESO DE PERSONAL LABORAL CON RESERVA DE PUESTO"/>
        <s v="CONVOCATORIA DEL MASTER EN ETICA Y DEONTOLOGIA DE LOS SERVIDORES PUBLICOS: PRINCIPIOS FUNDAMENTALES EN LA DIRECCION PUBLICA"/>
        <s v="CONVOCATORIA CONCURSO ESCALA SUPERIOR DE PREVENCION DE RIESGOS LABORALES, TECNICA DE PREVENCION DE RIESGOS LABORALES Y ADMINISTRATIVA DE PREVENCION DE RIESGOS LABORALES DE LA JCCM"/>
        <s v="CONCURSO ESCALA TECNICA SOCIOSANITARIA."/>
        <s v="JUBILACION VOLUNTARIA ANTICIPADA DE TRABAJADORES LABORALES CON  DISCAPACIDAD"/>
        <s v="JUBILACION ESPECIAL PERSONAL LABORAL A LOS 64 AÑOS"/>
        <s v="CONVOCATORIA CONCURSO ESCALA INFORMATICA"/>
        <s v="RECONOCIMIENTO DE COMPATIBILIDAD PARA EL EJERCICIO DE ACTIVIDADES PRIVADAS"/>
        <s v="CONVOCATORIA DE LA ACCION FORMATIVA CURSO EXPERTO EN TRIBUTACION Y ASESORIA FISCAL"/>
        <s v="SUSPENSION DE CONTRATO DE TRABAJO POR ACTIVACION DE RESERVISTAS."/>
        <s v="COMUNICACION DE DATOS AL PAGADOR. MODELO 145 DE LA AGENCIA TRIBUTARIA."/>
        <s v="CONVOCATORIA  ACCION FORMATIVA CURSO PROPIO DE ESPECIALIZACION EN DERECHO ADMINISTRATIVO E INTELIGENCIA ARTIFICIAL"/>
        <s v="JUBILACION VOLUNTARIA ANTICIPADA DE PERSONAL LABORAL FIJO EN SITUACION DE JUBILACION PARCIAL"/>
        <s v="COMUNICACION DE PRESUNTO ACOSO SEXUAL O POR RAZON DE SEXO AL PERSONAL DE ADMINISTRACION GENERAL DE LA JCCM Y SUS OOAA"/>
        <s v="CONVOCATORIA CURSOS DE HABILITACION FUNCIONAL PARA EL PERSONAL LABORAL DE LA ADMINISTRACION DE LA JUNTA DE COMUNIDADES DE CASTILLA-LA MANCHA"/>
        <s v="CONVOCATORIA DE LA ACCION FORMATIVA  CURSO PROPIO ESPECIALIZACION EN UNION EUROPEA"/>
        <s v="CERTIFICADO PARA ADOPCION INTERNACIONAL"/>
        <s v="OTROS CERTIFICADOS"/>
        <s v="CERTIFICADO ACREDITATIVO DE LA PERCEPCION/NO PERCEPCION DE AYUDAS DEL PROGRAMA DE ACCION SOCIAL"/>
        <s v="CERTIFICADO DE SERVICIOS PRESTADOS"/>
        <s v="CAMBIO DE CUENTA BANCARIA EN NOMINA"/>
        <s v="CAMBIO DE DOMICILIO"/>
        <s v="APLICACION EN NOMINA DE UN PORCENTAJE DE RETENCION POR IRPF SUPERIOR AL LEGAL"/>
        <s v="APLICACION EN NOMINA DEL PORCENTAJE DE RETENCION POR IRPF QUE LEGALMENTE CORRESPONDA"/>
        <s v="CONCURSO ESCALAS ARCHIVOS BLIBLIOTECAS Y MUSEOS"/>
        <s v="CONCURSO ESCALA TECNICA EDUCATIVA"/>
        <s v="CONVOCATORIA PARA LA PROVISION POR EL PROCEDIMIENTO DE LIBRE DESIGNACION (LD. HAC-AAPP F1/2022) DE PUESTOS DE TRABAJO DE PERSONAL FUNCIONARIO."/>
        <s v="CONVOCATORIA DE LA PROVISION, POR EL SISTEMA DE LIBRE DESIGNACION DE PUESTOS RESERVADOS A PERSONAL LABORAL FIJO ( CATEGORIA CONDUCTOR)."/>
        <s v="CONVOCATORIA DEL PROGRAMA DE FORMACION ESPECIFICA, DENTRO DEL PLAN DE FORMACION PARA EL PERSONAL DE LA ADMINISTRACION DE LA JUNTA DE COMUNIDADES DE CASTILLA-LA MANCHA."/>
        <s v="CONVOCATORIA ACCION FORMATIVA CURSO PROPIO ESPECIALIZACION EN GOBIERNO ABIERTO"/>
        <s v="ACCIONES FORMATIVAS EN INGLES ESPECIFICO, COMPRENDIDAS EN EL PROGRAMA DE FORMACION EN IDIOMAS."/>
        <s v="CONVOCATORIA DEL PROGRAMA DE AUTOFORMACION,DENTRO DEL PLAN DE FORMACION PARA EL PERSONAL DE LA ADMINISTRACION DE LA JUNTA DE COMUNIDADES DE CASTILLA- LA MANCHA."/>
        <s v="CONVOCATORIA DEL TITULO PROPIO DE  MASTER EN CONTRATACION PUBLICA   DENTRO DEL PLAN DE FORMACION PARA EL PERSONAL DE LA ADMINISTRACION DE LA JUNTA DE COMUNIDADES DE CASTILLA- LA MANCHA"/>
        <s v="COMUNICACION PRESUNTO ACOSO LABORAL AL PERSONAL DE ADMINISTRACION GENERAL DE LA JCCM Y  SUS OOAA."/>
        <s v="FINALIZACION DE LA AUTORIZACION DE TELETRABAJO."/>
        <s v="SUSPENSION DE LA AUTORIZACION DE TELETRABAJO."/>
        <s v="AUTORIZACION DE TELETRABAJO"/>
        <s v="MODIFICACION DE LA AUTORIZACION DE TELETRABAJO."/>
        <s v="PRORROGA DE LA AUTORIZACION DE TELETRABAJO."/>
        <s v="ENAJENACION DIRECTA DE BIENES INMUEBLES Y DERECHOS REALES SOBRE LOS MISMOS TITULARIDAD DE LA  JCCM."/>
        <s v="CESION GRATUITA DE BIENES INMUEBLES DE LA JCCM."/>
        <s v="CESION GRATUITA DE USO DE BIENES INMUEBLES DE LA JCCM."/>
        <s v="ARRENDAMIENTO DE BIENES INMUEBLES, JCCM COMO ARRENDATARIA, POR ADJUDICACION DIRECTA."/>
        <s v="ADQUISICION DE BIENES INMUEBLES POR CESION GRATUITA DE OTRAS ADMINISTRACIONES PUBLICAS."/>
        <s v="ADQUISICION ONEROSA DE BIENES INMUEBLES."/>
        <s v="ENAJENACION POR SUBASTA PUBLICA DE BIENES INMUEBLES  TITULARIDAD DE LA JUNTA DE COMUNIDADES DE CASTILLA - LA MANCHA."/>
        <s v="ADQUISICION A TITULO GRATUITO POR HERENCIA, LEGADO O DONACION."/>
        <s v="PROCEDIMIENTO DE DESLINDE ADMINISTRATIVO."/>
        <s v="RECUPERACION DE LA POSESION."/>
        <s v="INVESTIGACION E INSPECCION DE BIENES Y DERECHOS"/>
        <s v="GESTION DE SINIESTROS DE VEHICULOS DEL PARQUE MOVIL DE LA JCCM."/>
        <s v="ENAJENACION ONEROSA DE VEHICULOS MEDIANTE ADJUDICACION DIRECTA."/>
        <s v="PUBLICACION DE ANUNCIOS EN DIARIO OFICIAL DE CASTILLA-LA MANCHA."/>
        <s v="AUTORIZACION DE INSTALACION DE OFICINAS DE FARMACIA"/>
        <s v="AUTORIZACION FUNCIONAMIENTO OFICINAS DE FARMACIA"/>
        <s v="AUTORIZACION DE MODIFICACION DE OFICINA DE FARMACIA"/>
        <s v="AUTORIZACION DE TRANSMISION DE OFICINA DE FARMACIA"/>
        <s v="AUTORIZACION DE TRASLADO DE OFICINA DE FARMACIA."/>
        <s v="AUTORIZACION DE CIERRE  DE OFICINAS DE FARMACIA"/>
        <s v="AUTORIZACION DE FARMACEUTICO REGENTE."/>
        <s v="AUTORIZACION DE INSTALACION DE BOTIQUIN"/>
        <s v="AUTORIZACION DE FUNCIONAMIENTO DE BOTIQUIN."/>
        <s v="AUTORIZACION DE TRASLADO, MODIFICACION O CIERRE DE BOTIQUIN"/>
        <s v="AUTORIZACION DE HORARIO DE APERTURA DE BOTIQUIN O REDUCCION DEL HORARIO MINIMO OFICIAL EN OFICINA DE FARMACIA."/>
        <s v="PROPUESTA DEL COLEGIO OFICIAL DE FARMACEUTICOS SOBRE OFICINAS DE FARMACIA: HORARIO MINIMO OFICIAL, PROGRAMACION DE GUARDIAS, ORGANIZACION CONJUNTA DE SERVICIOS DE URGENCIA O TURNOS DE VACACIONES."/>
        <s v="AUTORIZACION DE EXENCION DEL SERVICIO DE URGENCIA DE OFICINA DE FARMACIA."/>
        <s v="COMUNICACION DE ACTIVIDAD DE DISTRIBUCION DE PRODUCTOS SANITARIOS"/>
        <s v="AUTORIZACION DE INSTALACION DE ESTABLECIMIENTO DE DISPENSACION DE MEDICAMENTOS VETERINARIOS"/>
        <s v="AUTORIZACION DE INSTALACION DE ENTIDAD DE DISTRIBUCION DE MEDICAMENTOS DE USO HUMANO"/>
        <s v="AUTORIZACION PREVIA DE LOS MENSAJES PUBLICITARIOS DE PRODUCTOS SANITARIOS"/>
        <s v="AUTORIZACION DE TRASLADO DE CADAVERES Y RESTOS CADAVERICOS"/>
        <s v="AUTORIZACION DE ESTUDIOS OBSERVACIONALES POST-AUTORIZACION EN CASTILLA-LA MANCHA"/>
        <s v="COMUNICACION DE LA VARIACION DE DATOS O CESE DE LA ACTIVIDAD DE LOS VEHICULOS DE TRANSPORTE SANITARIO"/>
        <s v="CONSULTA PREVIA SOBRE AUTORIZACIONES DE CENTROS, SERVICIOS Y ESTABLECIMIENTOS SANITARIOS"/>
        <s v="AUTORIZACION DE FUNCIONAMIENTO DE ESTABLECIMIENTO DE DISPENSACION DE MEDICAMENTOS VETERINARIOS"/>
        <s v="AUTORIZACION DE CIERRE DE ESTABLECIMIENTO DE DISPENSACION DE MEDICAMENTOS VETERINARIOS"/>
        <s v="NOTIFICACION DE COMPLEMENTOS ALIMENTICIOS"/>
        <s v="COMUNICACION DE LA CELEBRACION DE CACERIA CUYAS PIEZAS SE DESTINEN AL CONSUMO"/>
        <s v="COMUNICACION DE CAMBIO DE DIRECTOR TECNICO, DENOMINACION O TITULARIDAD DE ENTIDAD DE DISTRIBUCION DE MEDICAMENTOS DE USO HUMANO"/>
        <s v="AUTORIZACION DE FUNCIONAMIENTO DE ENTIDAD DE DISTRIBUCION DE MEDICAMENTOS DE USO HUMANO"/>
        <s v="AUTORIZACION DE MODIFICACION DE ENTIDAD DE DISTRIBUCION DE MEDICAMENTOS DE USO HUMANO"/>
        <s v="AUTORIZACION DE CIERRE DE ENTIDAD DE DISTRIBUCION DE MEDICAMENTOS DE USO HUMANO"/>
        <s v="COMUNICACION DE REINICIO DE ACTIVIDAD DE OFICINA DE FARMACIA TRAS CIERRE TEMPORAL."/>
        <s v="AUTORIZACION DE ACTIVIDADES DE PROMOCION Y PUBLICIDAD EN APOYO DE LA  DONACION-OBTENCION DE TEJIDOS Y CELULAS DE ORIGEN HUMANO EN CASTILLA-LA MANCHA."/>
        <s v="COMUNICACION PREVIA DE VENTA A DISTANCIA AL PUBLICO DE MEDICAMENTOS VETERINARIOS NO SUJETOS A PRESCRIPCION VETERINARIA."/>
        <s v="AUTORIZACION DE MODIFICACION DE INSTALACIONES O TRASLADO DE ESTABLECIMIENTO DE DISPENSACION DE MEDICAMENTOS VETERINARIOS"/>
        <s v="COMUNICACION DE BOTIQUIN CLINICO VETERINARIO"/>
        <s v="AUTORIZACION COMO VETERINARIO ACTUANTE PARA INSPECCIONES  IN SITU  EN UNA ACTIVIDAD CINEGETICA O INSPECCIONES DE PIEZAS DE CAZA PARA AUTOCONSUMO."/>
        <s v="COMUNICACION DE ELABORACION DE SISTEMAS PERSONALIZADOS DE DOSIFICACION EN OFICINA DE FARMACIA."/>
        <s v="SOLICITUD AUTORIZACION DE LIBROS OFICIALES DE OFICINA DE FARMACIA"/>
        <s v="COMUNICACION DE DESIGNACION DE LOCAL DE UNA NUEVA OFICINA DE FARMACIA."/>
        <s v="AUTORIZACION DE INSTALACION DE CARTEL DE LA OFICINA DE FARMACIA EN UBICACION EXTRAORDINARIA"/>
        <s v="COMUNICACION DE BUSQUEDA DE FARMACEUTICO ADJUNTO PARA LA OFICINA DE FARMACIA"/>
        <s v="SOLICITUD DE INSTALACION DE UN BOTIQUIN POR AYUNTAMIENTOS"/>
        <s v="COMUNICACION DEL COLEGIO OFICIAL DE FARMACEUTICOS SOBRE HORARIO SUPERIOR AL MINIMO OFICIAL DE OFICINAS DE FARMACIA O SOBRE SUSTITUTO EN CASO DE AUSENCIA POR VACACIONES."/>
        <s v="COMUNICACION DE GUARDIAS LOCALIZADAS, PERMUTA DEL SERVICIO DE URGENCIA Y PRESTACION DEL HORARIO MINIMO OFICIAL CONTINUADO EN OFICINAS DE FARMACIA."/>
        <s v="COMUNICACION DE CIERRE DE OFICINA DE FARMACIA POR ASUNTOS PARTICULARES O POR CAUSAS INVOLUNTARIAS."/>
        <s v="AUTORIZACION COMO VETERINARIO COLABORADOR EN MATANZAS DOMICILIARIAS DE CERDOS."/>
        <s v="COMUNICACION DE CESE TOTAL O PARCIAL DE ACTIVIDADES DE CENTROS, SERVICIOS Y ESTABLECIMIENTOS SANITARIOS SIN INTERNAMIENTO"/>
        <s v="AUTORIZACION DE INSTALACION DE CENTROS, SERVICIOS Y ESTABLECIMIENTOS SANITARIOS SIN INTERNAMIENTO"/>
        <s v="AUTORIZACION DE MODIFICACION DE ACTIVIDADES DE CENTROS, SERVICIOS Y ESTABLECIMIENTOS SANITARIOS SIN INTERNAMIENTO"/>
        <s v="AUTORIZACION DE MODIFICACION QUE REQUIERE LA REALIZACION DE OBRAS O INSTALACIONES DE CENTROS, SERVICIOS Y ESTABLECIMIENTOS SANITARIOS SIN INTERNAMIENTO"/>
        <s v="AUTORIZACION DE PUESTA EN FUNCIONAMIENTO DE CENTROS, SERVICIOS Y ESTABLECIMIENTOS SANITARIOS SIN INTERNAMIENTO"/>
        <s v="AUTORIZACION DE CESE TOTAL O PARCIAL DE CENTROS Y SERVICIOS SANITARIOS SIN INTERNAMIENTO"/>
        <s v="AUTORIZACION DE RENOVACION DE LA AUTORIZACION DE PUESTA EN FUNCIONAMIENTO DE CENTROS, SERVICIOS Y ESTABLECIMIENTOS SANITARIOS SIN INTERNAMIENTO"/>
        <s v="CONCESION DE  LICENCIAS DE FUNCIONAMIENTO A LOS FABRICANTES DE PRODUCTOS SANITARIOS A MEDIDA"/>
        <s v="RENOVACION DE LA CONCESION DE LICENCIAS DE FUNCIONAMIENTO A LOS FABRICANTES DE PRODUCTOS SANITARIOS A MEDIDA"/>
        <s v="COMUNICACION RELATIVA A PERSONAL DE OFICINA DE FARMACIA (SUSTITUTOS, ADJUNTOS O TECNICOS EN FARMACIA Y PARAFARMACIA)."/>
        <s v="DESIGNACION COMO SUSTITUTO A OTRO TITULAR DE UNA OFICINA DE FARMACIA PROXIMA."/>
        <s v="AUTORIZACION DE MODIFICACION DE ACTIVIDADES DE CENTROS SANITARIOS CON INTERNAMIENTO"/>
        <s v="AUTORIZACION DE INSTALACION DE CENTROS SANITARIOS CON INTERNAMIENTO"/>
        <s v="AUTORIZACION DE MODIFICACION QUE REQUIERE LA REALIZACION DE OBRAS O INSTALACIONES DE CENTROS SANITARIOS CON INTERNAMIENTO"/>
        <s v="AUTORIZACION DE PUESTA EN FUNCIONAMIENTO DE CENTROS SANITARIOS CON INTERNAMIENTO"/>
        <s v="CESE TOTAL O PARCIAL  DE CENTROS SANITARIOS CON INTERNAMIENTO"/>
        <s v="AUTORIZACION DE RENOVACION DE LA AUTORIZACION DE PUESTA EN FUNCIONAMIENTO DE CENTROS SANITARIOS CON INTERNAMIENTO"/>
        <s v="AUTORIZACION DE INSTALACION DE CENTROS Y SERVICIOS SIN INTERNAMIENTO DE CIRUGIA MAYOR AMBULATORIA, HEMODIALISIS, RADIOTERAPIA Y MEDICINA NUCLEAR"/>
        <s v="AUTORIZACION DE MODIFICACION DE ACTIVIDADES DE CENTROS Y SERVICIOS SIN INTERNAMIENTO DE CIRUGIA MAYOR AMBULATORIA, HEMODIALISIS, RADIOTERAPIA Y MEDICINA NUCLEAR"/>
        <s v="AUTORIZACION DE MODIFICACION QUE REQUIERE REALIZACION DE OBRAS O INSTALACIONES DE CENTROS Y SERVICIOS SIN INTERNAMIENTO DE CIRUGIA MAYOR AMBULATORIA, HEMODIALISIS, RADIOTERAPIA Y MEDICINA NUCLEAR"/>
        <s v="AUTORIZACION DE PUESTA EN FUNCIONAMIENTO DE CENTROS Y SERVICIOS SIN INTERNAMIENTO DE CIRUGIA MAYOR AMBULATORIA, HEMODIALISIS, RADIOTERAPIA Y MEDICINA NUCLEAR"/>
        <s v="AUTORIZACION DE RENOVACION DE LA AUTORIZACION DE PUESTA EN FUNCIONAMIENTO DE CENTROS Y SERVICIOS SIN INTERNAMIENTO DE CIRUGIA MAYOR AMBULATORIA, HEMODIALISIS, RADIOTERAPIA Y MEDICINA NUCLEAR"/>
        <s v="AUTORIZACION DE CESE TOTAL O PARCIAL DE CENTROS Y SERVICIOS SIN INTERNAMIENTO DE HEMODIALISIS"/>
        <s v="COMUNICACION DE MODIFICACION O CESE DE ACTIVIDADES DE DONACION-TRASPLANTE DE ORGANOS, TEJIDOS Y CELULAS EN CENTROS CON INTERNAMIENTO."/>
        <s v="AUTORIZACION DE ACTIVIDADES DE DONACION-TRASPLANTE DE ORGANOS, TEJIDOS Y CELULAS EN CENTROS CON INTERNAMIENTO."/>
        <s v="COMUNICACION DE MODIFICACION O CESE DE ACTIVIDADES DE DONACION-TRASPLANTE DE  TEJIDOS Y CELULAS EN CENTROS SIN INTERNAMIENTO."/>
        <s v="AUTORIZACION DE ACTIVIDADES DE DONACION-TRASPLANTE DE TEJIDOS Y CELULAS EN CENTROS SIN INTERNAMIENTO."/>
        <s v="AUTORIZACION DE INSTALACION DE ALMACEN MAYORISTA DE DISTRIBUCION DE MEDICAMENTOS VETERINARIOS"/>
        <s v="AUTORIZACION DE FUNCIONAMIENTO DE ALMACEN MAYORISTA DE DISTRIBUCION DE MEDICAMENTOS VETERINARIOS"/>
        <s v="AUTORIZACION DE MODIFICACION DE INSTALACIONES DE ALMACEN MAYORISTA DE DISTRIBUCION DE MEDICAMENTOS VETERINARIOS"/>
        <s v="AUTORIZACION DE CIERRE DE ALMACEN MAYORISTA DE DISTRIBUCION DE MEDICAMENTOS VETERINARIOS"/>
        <s v="SOLICITUD DE INSCRIPCION EN EL REGISTRO OFICIAL DE ESTABLECIMIENTOS Y SERVICIOS BIOCIDAS DE CASTILLA-LA MANCHA"/>
        <s v=".AUTORIZACION ESPECIFICA  E INSCRIPCION EN EL REGISTRO DE CENTROS DE RECOGIDA Y TENERIAS QUE SUMINISTRAN MATERIA PRIMA PARA LA FABRICACION DE COLAGENO Y GELATINA DE CONSUMO HUMANO"/>
        <s v="REGISTRO SANITARIO DE EMPRESAS Y ESTABLECIMIENTOS ALIMENTARIOS DE CASTILLA-LA MANCHA."/>
        <s v="REGISTRO DE SOLICITUDES DE VACUNACION COVID-19 PARA PERSONAL DE PRIMERA LINEA EN EL AMBITO SANITARIO Y SOCIOSANITARIO"/>
        <s v="COMUNICACION DE MODIFICACION, SUSPENSION O CESE DE DESFIBRILADORES EXTERNOS AUTOMATIZADOS (DEA) FUERA DEL AMBITO SANITARIO"/>
        <s v="DECLARACION RESPONSABLE DE INSTALACION DE DESFIBRILADORES EXTERNOS AUTOMATIZADOS (DEA) FUERA DEL AMBITO SANITARIO."/>
        <s v="INSCRIPCION DEL DOCUMENTO DE DECLARACION DE VOLUNTADES ANTICIPADAS EN MATERIA DE LA PROPIA SALUD EN EL REGISTRO DE VOLUNTADES ANTICIPADAS DE CASTILLA-LA MANCHA"/>
        <s v="SOLICITUD DE VISITA A DOMICILIO PARA EL OTORGAMIENTO DEL DOCUMENTO DE DECLARACION DE VOLUNTADES ANTICIPADAS EN MATERIA DE LA PROPIA SALUD"/>
        <s v="REGISTRO GENERAL SANITARIO DE EMPRESAS ALIMENTARIAS Y ALIMENTOS. COMUNICACION PREVIA."/>
        <s v="REGISTRO GENERAL SANITARIO DE EMPRESAS ALIMENTARIAS Y ALIMENTOS. SOLICITUD DE AUTORIZACION E INSCRIPCION."/>
        <s v="SUBVENCIONES A ASOCIACIONES Y ENTIDADES PRIVADAS SIN ANIMO DE LUCRO PARA EL DESARROLLO DE ACTIVIDADES Y PRESTACION DE SERVICIOS EN MATERIA SOCIOSANITARIA."/>
        <s v="SUBVENCIONES A ASOCIACIONES Y ENTIDADES PRIVADAS SIN ANIMO DE LUCRO PARA EL FUNCIONAMIENTO DE CENTROS Y DESARROLLO DE PROGRAMAS DE ATENCION A PERSONAS CON ADICCIONES."/>
        <s v="SUBVENCIONES A AYUNTAMIENTOS PARA PROGRAMAS DE PREVENCION SELECTIVA E INDICADA DEL CONSUMO DE DROGAS U OTRAS CONDUCTAS ADICTIVAS Y DE EDUCACION DE CALLE PARA  PERSONAS CON DROGODEPENDENCIA."/>
        <s v="SUBVENCIONES DESTINADAS A LA ATENCION ADECUADA A UNIDADES FAMILIARES CON ALGUN MIEMBRO DIAGNOSTICADO CON UNA ENFERMEDAD RARA"/>
        <s v="SUBVENCIONES A ASOCIACIONES Y ENTIDADES PRIVADAS SIN ANIMO DE LUCRO PARA FINANCIACION DE GASTOS DE MEJORA DE EQUIPAMIENTOS, FORMACION Y MATERIAL EN EL AMBITO DE LA CRONICIDAD"/>
        <s v="ALEGACIONES AL PROCEDIMIENTO DE EXIGENCIA DE  REINTEGRO DE SUBVENCIONES CONCEDIDAS POR LA FUNDACION SOCIOSANITARIA DE CASTILLA - LA MANCHA."/>
        <s v="OBTENCION INICIAL DE LA CERTIFICACION TECNICO-SANITARIA DEL TRANSPORTE SANITARIO POR CARRETERA"/>
        <s v="ACREDITACION DE OFICINAS DE FARMACIA PARA ELABORAR, CONSERVAR Y DISPENSAR AGONISTAS OPIACEOS"/>
        <s v="DECLARACION DE INTERES SANITARIO O SOCIOSANITARIO EN ACTIVIDADES DE CARACTER CIENTIFICO Y TECNICO"/>
        <s v="RENOVACION DE LA CERTIFICACION TECNICO-SANITARIA DE TRANSPORTE POR CARRETERA"/>
        <s v="CONSULTA PREVIA A LA SOLICITUD DE LA CERTIFICACION TECNICO-SANITARIA DEL TRANSPORTE SANITARIO POR CARRETERA"/>
        <s v="APLICACION DEL INDICE CORRECTOR DEL MARGEN DE DISPENSACION DE LAS OFICINAS DE FARMACIA"/>
        <s v="CERTIFICADO DE LIBRE VENTA PARA LA EXPORTACION"/>
        <s v="CERTIFICACION DE CUMPLIMIENTO DE BUENAS PRACTICAS DE DISTRIBUCION DE MEDICAMENTOS DE USO HUMANO"/>
        <s v="CERTIFICACION DE CUMPLIMIENTO DE BUENAS PRACTICAS DE DISTRIBUCION DE PRINCIPIOS ACTIVOS PARA MEDICAMENTOS DE USO HUMANO"/>
        <s v="ACREDITACION DE CENTROS Y SERVICIOS PARA REALIZAR TRATAMIENTOS DE DESHABITUACION CON OPIACEOS"/>
        <s v="RENOVACION DE LA ACREDITACION DE CENTROS Y SERVICIOS PARA REALIZAR TRATAMIENTOS DE DESHABITUACION CON OPIACEOS"/>
        <s v="RENOVACION DE LA ACREDITACION DE OFICINAS DE FARMACIA PARA ELABORAR, CONSERVAR Y DISPENSAR AGONISTAS OPIACEOS"/>
        <s v="COMUNICACION DE RENUNCIA A LA ACREDITACION INICIAL DE OFICINAS DE FARMACIA PARA ELABORAR, CONSERVAR Y DISPENSAR AGONISTAS OPIACEOS"/>
        <s v="COMUNICACION DE MEMORIA FINAL DE ACTIVIDAD FORMATIVA DE PRIMEROS INTERVINIENTES PARA EL USO DE DESFIBRILADORES AUTOMATIZADOS"/>
        <s v="SOLICITUD DE INSCRIPCION EN EL REGISTRO DE PERSONA AUTORIZADA PARA EL USO DE DESFIBRILADORES EXTERNOS AUTOMATIZADOS (DEA) FUERA DEL AMBITO SANITARIO"/>
        <s v="ACREDITACION DE ENFERMERAS Y ENFERMEROS PARA LA INDICACION, USO Y AUTORIZACION DE LA DISPENSACION DE MEDICAMENTOS Y PRODUCTOS SANITARIOS DE USO HUMANO."/>
        <s v="CERTIFICADO COVID DIGITAL UE"/>
        <s v="SOLICITUD DE ACREDITACION DE ENTIDADES PARA IMPARTIR  FORMACION PARA EL USO DE DESFIBRILADORES EXTERNOS AUTOMATIZADOS (DEA)."/>
        <s v="COMUNICACION DE ACREDITACION DE ENTIDADES SIN SEDE EN CASTILLA-LA MANCHA PARA IMPARTIR  FORMACION PARA EL USO DE DESFIBRILADORES EXTERNOS AUTOMATIZADOS (DEA)."/>
        <s v="CERTIFICACION DE CUMPLIMIENTO DE NORMAS DE CORRECTA ELABORACION Y CONTROL DE CALIDAD DE FORMULAS MAGISTRALES Y PREPARADOS OFICINALES EN OFICINAS DE FARMACIA Y SERVICIOS FARMACEUTICOS"/>
        <s v="AUTORIZACION PARA ELABORACION DE FORMULAS MAGISTRALES Y PREPARADOS OFICINALES A TERCEROS EN OFICINAS DE FARMACIA Y SERVICIOS FARMACEUTICOS"/>
        <s v="DECLARACION RESPONSABLE PARA LA EXENCION DE SOCORRISTA EN PISCINAS DE USO PUBLICO"/>
        <s v="COMUNICACION PREVIA DE REAPERTURA DE PISCINAS DE USO PUBLICO"/>
        <s v="SOLICITUD DE ANALISIS SANITARIO EN LOS LABORATORIOS DE SALUD PUBLICA DE LA CONSEJERIA DE SANIDAD Y ASUNTOS SOCIALES."/>
        <s v="INFORMACION Y ACOMPAÑAMIENTO A PERSONAS AFECTADAS POR UNA ENFERMEDAD RARA"/>
        <s v="JUSTIFICACION DEL GASTO EN EL CONVENIO DE COLABORACION EN MATERIA DE DROGODEPENDENCIA CON EL CONSEJO DE COLEGIOS OFICIALES DE FARMACEUTICOS DE CASTILLA-LA MANCHA"/>
        <s v="RECONOCIMIENTO DE APLICACION DE DEDUCCIONES EN LAS TASAS POR INSPECCION Y CONTROL SANITARIO DE CARNES FRESCAS"/>
        <s v="PARTICIPACION EN PROCEDIMIENTO PARA PROVISION DE PUESTOS DE TRABAJO EN LA ADMINISTRACION DE LA JUNTA DE COMUNIDADES DE CASTILLA-LA MANCHA POR EL SISTEMA DE LIBRE DESIGNACION (LD SANIDAD F1/2022)"/>
        <s v="INSCRIPCION EN BOLSA DE PERSONAL FUNCIONARIO DE LA ESCALA SUPERIOR DE SANITARIOS LOCALES (ESPECIALIDADES DE VETERINARIA Y FARMACIA)"/>
        <s v="PROVISION DE PUESTOS POR EL PROCEDIMIENTO DE LIBRE DESIGNACION (CONSEJERIA DE SANIDAD) RESERVADOS A LA ESCALA SUPERIOR DE SANITARIOS LOCALES, ESPECIALIDAD VETERINARIA (LD SANIDAD F2/2022)"/>
        <s v="PROVISION DE PUESTOS DE TRABAJO EN LA ADMINISTRACION DE LA JCCM POR EL SISTEMA DE CONCURSO SINGULARIZADO DE MERITOS (CMS SANIDAD 1/2022)."/>
        <s v="AUTORIZACION DE ESTACIONES DE INSPECCION TECNICA DE VEHICULOS (ITV) FIJAS"/>
        <s v="COMUNICACION DE AUSENCIA DEL/LA JEFE/A DE EQUIPO DE LA UNIDAD MOVIL DE LA ESTACION DE ITV"/>
        <s v="SOLICITUD DE AUTORIZACION DE LA DELEGACION DE FIRMA DE LA DIRECCION TECNICA DE ESTACION DE ITV O DEL/LA JEFE/A DE EQUIPO DE LA UNIDAD MOVIL"/>
        <s v="AUTORIZACION DE CENTRO TECNICO DE TACOGRAFOS"/>
        <s v="AUTORIZACION DE TALLER DE DISPOSITIVOS DE LIMITACION DE VELOCIDAD"/>
        <s v="BAJA DE UN ORGANISMO AUTORIZADO DE VERIFICACION METROLOGICA"/>
        <s v="BAJA DE ENTIDAD FABRICANTE / COMERCIALIZADORA / IMPORTADORA / ARRENDADORA DE INSTRUMENTOS DE MEDIDA SOMETIDOS A CONTROL METROLOGICO DEL ESTADO."/>
        <s v="BAJA DE ORGANISMO NOTIFICADO U ORGANISMO DE CONTROL METROLOGICO"/>
        <s v="AUTORIZACION ADMINISTRATIVA PREVIA  DE NUEVA INSTALACION  O MODIFICACION SUSTANCIAL DE INSTALACION  ELECTRICA DEL GRUPO PRIMERO."/>
        <s v="AUTORIZACION ADMINISTRATIVA DE CONSTRUCCION DE NUEVA INSTALACION  O MODIFICACION SUSTANCIAL DE INSTALACION  ELECTRICA DEL GRUPO PRIMERO."/>
        <s v="AUTORIZACION ADMINISTRATIVA PREVIA  Y DE CONSTRUCCION DE NUEVA INSTALACION  O MODIFICACION SUSTANCIAL DE INSTALACION  ELECTRICA DEL GRUPO SEGUNDO."/>
        <s v="COMUNICACION DE INSTALACIONES ELECTRICAS DEL GRUPO TERCERO"/>
        <s v="AUTORIZACION DE TRANSMISION DE INSTALACIONES ELECTRICAS AUTORIZADAS ."/>
        <s v="AUTORIZACION DE CIERRE DE INSTALACIONES ELECTRICAS AUTORIZADAS."/>
        <s v="AUTORIZACION ADMINISTRATIVA PARA LA CONSTRUCCION, AMPLIACION O MODIFICACION SUSTANCIAL DE INSTALACION DE TRASPORTE SECUNDARIO DE GAS DE COMPETENCIA AUTONOMICA"/>
        <s v="AUTORIZACION ADMINISTRATIVA PARA LA CONSTRUCCION, AMPLIACION O MODIFICACION SUSTANCIAL DE INSTALACIONES DE DISTRIBUCION DE GAS DE COMPETENCIA AUTONOMICA"/>
        <s v="AUTORIZACION ADMINISTRATIVA PARA LA TRANSMISION DE INSTALACIONES GASISTAS DE COMPETENCIA AUTONOMICA"/>
        <s v="AUTORIZACION ADMINISTRATIVA PARA EL CIERRE DE INSTALACIONES GASISTAS DE COMPETENCIA AUTONOMICA"/>
        <s v="AUTORIZACION SECCIONES A)"/>
        <s v="AUTORIZACION SECCIONES B) (EXCEPTO AGUAS)"/>
        <s v="OTORGAMIENTO CONCESION DIRECTA DE SECCION C) Y D)"/>
        <s v="OTORGAMIENTO CONCESION DERIVADA DE SECCION C) Y D)"/>
        <s v="OTORGAMIENTO DE DEMASIAS"/>
        <s v="OTORGAMIENTO PERMISO DE INVESTIGACION SECCION C) Y D)"/>
        <s v="OTORGAMIENTO PERMISO DE EXPLORACION DE RECURSOS DE LA SECCION C) O D)"/>
        <s v="AUTORIZACION DE PRORROGAS DE DERECHOS MINEROS"/>
        <s v="AUTORIZACION DE ESTABLECIMIENTOS DE BENEFICIO"/>
        <s v="APROBACION PROYECTOS ALUMBRAMIENTO DE AGUAS SUBTERRANEAS"/>
        <s v="AUTORIZACION DE SUSPENSION TEMPORAL, ABANDONO DEFINITIVO Y REAPERTURA DE LABORES"/>
        <s v="AUTORIZACION TRANSMISION DE DERECHOS MINEROS"/>
        <s v="SOLICITUD AUTORIZACION DE SUELTA DE PIEZAS DE CAZA VIVA"/>
        <s v="AUTORIZACION / MODIFICACION DE CERRAMIENTO CINEGETICO"/>
        <s v="AUTORIZACION EXCEPCIONAL DE CAPTURA DE ESPECIES CINEGETICAS"/>
        <s v="COMUNICACION DE LA CELEBRACION DE MONTERIAS, GANCHOS, BATIDAS, JABALI EN MANO, OJEOS DE PERDIZ Y TIRADAS CONTEMPLADAS EN EL PLAN DE ORDENACION CINEGETICA"/>
        <s v="AUTORIZACION PARA LA CAPTURA DE ESPECIES CINEGETICAS CON FINES CIENTIFICOS"/>
        <s v="AUTORIZACION DE INSTALACIONES DE ACUICULTURA"/>
        <s v="AUTORIZACION DE PESCA CIENTIFICA"/>
        <s v="PARTICIPACION EN EL CONCURSO PARA LA CONCESION DE COTOS DE PESCA A SOCIEDADES COLABORADORAS"/>
        <s v="AUTORIZACION PARA EL APROVECHAMIENTO DE LA PESCA EN AGUAS DE REGIMEN PRIVADO"/>
        <s v="AUTORIZACION DE ACTUACIONES QUE MODIFIQUEN LA COMPOSICION O ESTRUCTURA DE LA VEGETACION DE ORILLAS Y MARGENES EN ZONAS DE SERVIDUMBRE DE AGUAS PUBLICAS, ASI COMO EXTRACCION DE PLANTAS ACUATICAS."/>
        <s v="AUTORIZACION PARA REPOBLACIONES POR PARTICULARES O PERSONAS CONCESIONARIAS EN SUS COTOS DE PESCA"/>
        <s v="AUTORIZACION DE TRANSPORTE DE PECES Y CANGREJOS EN VIVO"/>
        <s v="AUTORIZACION EXCEPCIONAL DE CAPTURA  CIENTIFICA"/>
        <s v="AUTORIZACION DE OCUPACIONES TEMPORALES EN MONTES DEMANIALES"/>
        <s v="AUTORIZACION DE APROVECHAMIENTO FORESTAL"/>
        <s v="MODIFICACION DE LA CUBIERTA VEGETAL"/>
        <s v="TRANSFORMACION EN AGRICOLA DE UN TERRENO FORESTAL EN REGIMEN GENERAL ADMINISTRATIVO"/>
        <s v="AUTORIZACION DE OCUPACIONES DE CARACTER TEMPORAL EN VIAS PECUARIAS"/>
        <s v="MODIFICACION DE TRAZADO DE VIAS PECUARIAS"/>
        <s v="NOTIFICACION PREVIA DE TRASLADO DE RESIDUOS"/>
        <s v="CONCESION DE LA ETIQUETA ECOLOGICA DE LA UNION EUROPEA"/>
        <s v="NOTIFICACION  DE ACTIVIDADES DE VALORIZACION DE RESIDUOS DE CONSTRUCCION Y DEMOLICION EN EL LUGAR DE PRODUCCION MEDIANTE PLANTAS MOVILES"/>
        <s v="APROBACION DEL PLAN EMPRESARIAL DE PREVENCION DE RESIDUOS DE ENVASES."/>
        <s v="INFORME DE SEGUIMIENTO DEL PLAN EMPRESARIAL DE PREVENCION DE RESIDUOS DE ENVASES."/>
        <s v="NOTIFICACION ADHESION DISPOSICION ADICIONAL PRIMERA DE LA LEY 11/1997, DE ENVASES Y RESIDUOS DE ENVASES"/>
        <s v="DECLARACION ANUAL DE ENVASES Y RESIDUOS DE ENVASES"/>
        <s v="AUTORIZACION AMBIENTAL INTEGRADA Y MODIFICACIONES SUSTANCIALES"/>
        <s v="COMUNICACION DE MODIFICACION NO SUSTANCIAL DE AUTORIZACION AMBIENTAL INTEGRADA"/>
        <s v="MODIFICACION DE LA DURACION DEL ALMACENAMIENTO DE RESIDUOS PELIGROSOS"/>
        <s v="CONCESION DE LICENCIA PARA LA PRESTACION DEL SERVICIO PUBLICO DE COMUNICACION AUDIOVISUAL RADIOFONICA DE EXPLOTACION MUNICIPAL. (EMISORA MUNICIPAL DE FM)"/>
        <s v="AUTORIZACION DE UNIDADES MOVILES DE INSPECCION TECNICA DE VEHICULOS (ITV)"/>
        <s v="AUTORIZACION DE ORGANISMOS PARA LA REALIZACION DE REVISIONES DE APARATOS DE BRONCEADO MEDIANTE RADIACIONES ULTRAVIOLETA"/>
        <s v="CAMBIO DE TITULARIDAD DE LAS ESTACIONES DE INSPECCION TECNICA DE VEHICULOS (ITV)"/>
        <s v="AUTORIZACION DE CONCENTRACION DE TRABAJOS"/>
        <s v="DECLARACION RESPONSABLE DE ORGANISMOS DE CONTROL EN MATERIA DE SEGURIDAD INDUSTRIAL"/>
        <s v="COMUNICACION DE CORTA"/>
        <s v="REGIMEN DE PUNTOS LIMPIOS FIJOS EN CASTILLA-LA MANCHA"/>
        <s v="COMUNICACION DE INICIO DE ACTIVIDAD DE PUNTO LIMPIO MOVIL EN CASTILLA-LA MANCHA"/>
        <s v="AUTORIZACION PARA LA CESION DE ESPECIES SILVESTRES PROVENIENTES DE CENTROS DE FAUNA"/>
        <s v="AUTORIZACION PARA LA TOMA DE IMAGENES EN EL MEDIO NATURAL"/>
        <s v="REMISION DEL INFORME PRELIMINAR DE SITUACION DEL SUELO E INFORME PERIODICO DE SEGUIMIENTO."/>
        <s v="AUTORIZACION COTOS MINEROS"/>
        <s v="CADUCIDAD DE DERECHOS MINEROS"/>
        <s v="AMPLIACION DEL PLAZO ESTABLECIDO POR RESOLUCION PARA INSTALACIONES ELECTRICAS O GASISTICAS AUTORIZADAS"/>
        <s v="COMUNICACION DE INICIO DE ACTIVIDAD EN EL REGISTRO DE PRODUCCION Y GESTION DE RESIDUOS DE CASTILLA-LA MANCHA. AGENTES Y NEGOCIANTES"/>
        <s v="NOTIFICACION DE ACTIVIDADES POTENCIALMENTE CONTAMINADORAS DE LA ATMOSFERA DEL GRUPO C."/>
        <s v="COMUNICACION DE APORTACION DE MEMORIA ANUAL DE ACTIVIDADES DE ESTACIONES DE ITV"/>
        <s v="COMUNICACION DE APORTACION DE MEMORIA ANUAL DE ACTIVIDADES DE ORGANISMOS AUTORIZADOS DE VERIFICACION METROLOGICA"/>
        <s v="COMUNICACION DE APORTACION DE MEMORIA ANUAL DE ACTIVIDADES DE ORGANISMOS DE CONTROL (OCAS)"/>
        <s v="AUTORIZACION, RENOVACION Y/O MODIFICACION DE  ENTIDADES Y PROFESIONALES PARA EL SEGUIMIENTO Y CONTROL DE ACTIVIDADES SOMETIDAS A EVALUACION DE IMPACTO AMBIENTAL"/>
        <s v="NOTIFICACION DE INICIO DE ACTUACION DE ORGANISMO DE CONTROL AUTORIZADOS EN EL AREA DE ATMOSFERA EN EL AMBITO TERRITORIAL DE CASTILLA-LA MANCHA"/>
        <s v="CONCURSO PUBLICO DE DERECHOS MINEROS"/>
        <s v="COMUNICACION DE REALIZACION DE ACCIONES EXCEPCIONALES PARA EL CONTROL DE DAÑOS PRODUCIDOS POR ESPECIES CINEGETICAS AUTORIZADAS EN LA RESOLUCION APROBATORIA DEL PLAN DE ORDENACION CINEGETICA"/>
        <s v="HOMOLOGACION DE METODOS DE CAPTURA DE ESPECIES CINEGETICAS DEPREDADORAS, PERROS Y GATOS DOMESTICOS ASILVESTRADOS."/>
        <s v="AUTORIZACION DE EMISION DE GASES DE EFECTO INVERNADERO"/>
        <s v="APROBACION O REVISION DEL PLAN TECNICO DE PESCA"/>
        <s v="COMUNICACION DE APROVECHAMIENTO FORESTAL (MONTES CON INSTRUMENTO DE GESTION FORESTAL SOSTENIBLE -IGFS-)"/>
        <s v="COMUNICACION DE PRODUCTORES DE LODO DE EDAR"/>
        <s v="ASIGNACION GRATUITA DE DERECHOS DE EMISION DE GASES DE EFECTO INVERNADERO PARA NUEVOS ENTRANTES PARA EL PERIDO 2021-2030."/>
        <s v="MODIFICACION DEL PLAN DE SEGUIMIENTO DE EMISIONES DE GASES DE EFECTO INVERNADERO."/>
        <s v="COMUNICACION PARA LA REALIZACION DE REPOBLACIONES EN COTOS DE PESCA"/>
        <s v="LICENCIA DE CAZA Y PESCA"/>
        <s v="ACTIVIDADES DEPORTIVAS DE AVENTURA EN EL PARQUE NATURAL DE LOS CALARES DEL MUNDO Y DE LA SIMA"/>
        <s v="AUTORIZACION RECOLECCION SETAS CON CARACTER CIENTIFICO, DIVULGATIVO Y EDUCATIVO"/>
        <s v="COMUNICACION DE AUDITORIA ENERGETICA"/>
        <s v="COMUNICACION SOBRE EL CONTROL DE DAÑOS POR CONEJO DE MONTE EN COTOS DE CAZA INCLUIDOS EN LA DECLARACION DE COMARCA DE EMERGENCIA CINEGETICA TEMPORAL"/>
        <s v="AUTORIZACION DE VUELO DE PROGENITORES INCLUIDOS EN PROYECTO DE CRIA AUTORIZADO"/>
        <s v="COMUNICACION VALORIZACION DE MATERIALES NATURALES EXCAVADOS PARA SU UTILIZACION EN OPERACIONES DE RELLENO Y OBRAS DISTINTAS A AQUELLAS EN LAS QUE SE GENERARON"/>
        <s v="AUTORIZACION Y SEGUIMIENTO DE SISTEMAS COLECTIVOS DE RESPONSABILIDAD AMPLIADA DEL PRODUCTOR"/>
        <s v="COMUNICACION PREVIA Y SEGUIMIENTO DE SISTEMAS INDIVIDUALES DE RESPONSABILIDAD AMPLIADA DEL PRODUCTOR"/>
        <s v="SORTEO DE PERMISOS DE CAZA EN COTOS SOCIALES."/>
        <s v="COMUNICACION PREVIA PLATAFORMAS LOGISTICAS DE LA DISTRIBUCION RAEE"/>
        <s v="COMUNICACION DE AMENAZA INMINENTE DE DAÑOS Y/O DAÑOS, Y DE MEDIDAS DE PREVENCION Y EVITACION DE NUEVOS DAÑOS ADOPTADAS: INICIO DEL PROCEDIMIENTO DE EXIGENCIA DE RESPONSABILIDAD MEDIOAMBIENTAL"/>
        <s v="AUTORIZACION DE MATERIALES DE BASE PARA LA PRODUCCION DE MATERIALES FORESTALES DE REPRODUCCION DESTINADOS A LA COMERCIALIZACION EN LAS CATEGORIAS IDENTIFICADO Y CONTROLADO"/>
        <s v="APROBACION DEL PLAN DE PRODUCCION Y/O GESTION DE ESTIERCOLES GANADEROS"/>
        <s v="COMPRA DE PRODUCTOS CINEGETICOS DE GRANJAS CINEGETICAS GESTIONADAS POR LA JUNTA DE COMUNIDADES DE CASTILLA-LA MANCHA."/>
        <s v="RENOVACION DE CARNET DE ESPECIALISTA ACREDITADO/A PARA EL USO DE METODOS HOMOLOGADOS DE CAPTURA DE ESPECIES CINEGETICAS DEPREDADORAS, PERROS Y GATOS DOMESTICOS ASILVESTRADOS"/>
        <s v="DOCUMENTO DE IDENTIFICACION DE RESIDUOS"/>
        <s v="SOLICITUD DE ENVIO DE PRECINTOS PARA LA ACTIVIDAD CINEGETICA"/>
        <s v="COMUNICACION DE RESULTADOS DE LA ACTIVIDAD CINEGETICA DURANTE EL PERIODO DE MEDIA VEDA."/>
        <s v="OBTENCION DE NIMA PARA ENTIDADES NO SUJETAS A COMUNICACION DE INICIO, NI A AUTORIZACION DE RESIDUOS. POSEEDOR"/>
        <s v="AUTORIZACION DE ALIMENTACION SUPLEMENTARIA EN TERRENOS CINEGETICOS."/>
        <s v="COMUNICACION PARA EL RECONOCIMIENTO DE LA CONDICION DE TITULAR DEL APROVECHAMIENTO CINEGETICO"/>
        <s v="AUTORIZACION DE INTERRUPCIONES DEL SUMINISTRO ELECTRICO PROGRAMADAS."/>
        <s v="ACTIVIDADES RECREATIVAS, DEPORTIVAS Y DE USO PUBLICO EN LA RED DE AREAS PROTEGIDAS, MONTES DE UTILIDAD PUBLICA Y MEDIO NATURAL (EXCEPTO PARQUE NATURAL DE CALARES DEL MUNDO Y DE LA SIMA)"/>
        <s v="COMUNICACION DE SUELTAS DE PIEZAS DE CAZA VIVA EN CUARTELES DE CAZA COMERCIAL."/>
        <s v="AUTORIZACION PARA LA INSTALACION DE CAPTURADERO DE CAZA O PARQUE DE VUELO PARA ACLIMATACION DE ESPECIES CINEGETICAS"/>
        <s v="APROBACION PLAN DE ORDENACION CINEGETICA"/>
        <s v="MEMORIA ANUAL DE GESTION CINEGETICA"/>
        <s v="AUTORIZACION, MODIFICACION O CAMBIO DE TITULAR DE GRANJAS CINEGETICAS."/>
        <s v="MEMORIA ANUAL DE GESTION (GRANJAS CINEGETICAS)"/>
        <s v="AUTORIZACION DE COMPETICIONES Y CONCURSOS DE PESCA"/>
        <s v="AUTORIZACION DE CONCURSOS Y COMPETICIONES DE PESCA NOCTURNA"/>
        <s v="AUTORIZACION DE EXPLORACION DE HIDROCARBUROS."/>
        <s v="AUTORIZACION DE INVESTIGACION DE HIDROCARBUROS."/>
        <s v="NOTIFICACION PREVIA POR ESCRITO DE TRASLADOS TRANSFRONTERIZOS DE RESIDUOS"/>
        <s v="SOLICITUD DOCUMENTOS DE NOTIFICACION Y MOVIMIENTO TRASLADOS TRANSFRONTERIZOS DE RESIDUOS"/>
        <s v="TRANSMISION DE LA AUTORIZACION PARA REALIZAR OPERACIONES DE TRATAMIENTO DE RESIDUOS O MODIFICACION DE LA RAZON SOCIAL"/>
        <s v="REMISION DE DOCUMENTACION COMPLEMENTARIA AL PROCEDIMIENTO DE AUTORIZACION PARA REALIZAR OPERACIONES DE TRATAMIENTO DE RESIDUOS"/>
        <s v="AUTORIZACION PARA REALIZAR OPERACIONES DE TRATAMIENTO DE RESIDUOS."/>
        <s v="SOLICITUD DE AUTORIZACION DE QUEMA DE RESTOS VEGETALES EN MONTE O TERRENO FORESTAL"/>
        <s v="COMUNICACION DE CAMBIO DE PROGENITORES INCLUIDOS EN EL PLAN DE CRIA"/>
        <s v="AUTORIZACION PARA LA CRIA EN CAUTIVIDAD DE AVES RAPACES PARA USO EN CETRERIA EN CASTILLA-LA MANCHA Y SOLICITUD DE INSCRIPCION EN EL REGISTRO DE CRIADORES DE CLM"/>
        <s v="REGISTRO DE ASOCIACIONES DE PERSONAS CONSUMIDORAS Y USUARIAS DE CASTILLA-LA MANCHA"/>
        <s v="APORTACION DE DATOS BASICOS DE UNA INDUSTRIA"/>
        <s v="REGISTRO DE LA INSTALACION DE SEGURIDAD CONTRA INCENDIOS EN ESTABLECIMIENTOS INDUSTRIALES"/>
        <s v="COMUNICACION PARA EL REGISTRO DE INSTALACIONES ELECTRICAS DE ALTA TENSION (EXCEPTO LINEAS) NO SUJETAS A AUTORIZACION"/>
        <s v="REGISTRO DE LA INSTALACION DE LINEAS DE ALTA TENSION NO SUJETAS A AUTORIZACION"/>
        <s v="REGISTRO DE UNA INSTALACION FRIGORIFICA"/>
        <s v="REGISTRO DE CENTROS DE ALMACENAMIENTO Y DISTRIBUCION DE ENVASES DE GLP"/>
        <s v="REGISTRO DE UNA INSTALACION DE ALMACENAMIENTO DE GLP EN DEPOSITOS FIJOS NO SUJETA A AUTORIZACION"/>
        <s v="REGISTRO DE UNA INSTALACION DE PLANTA SATELITE DE GNL (GAS NATURAL LICUADO) NO SUJETA A AUTORIZACION"/>
        <s v="REGISTRO DE UNA ESTACION DE SERVICIO PARA VEHICULOS A GAS"/>
        <s v="REGISTRO DE UNA INSTALACION RECEPTORA DE COMBUSTIBLES GASEOSOS"/>
        <s v="REGISTRO DE UNA INSTALACION DE ALMACENAMIENTO DE PRODUCTOS QUIMICOS"/>
        <s v="REGISTRO DE UNA INSTALACION DE EQUIPOS A PRESION"/>
        <s v="REGISTRO DE ESTABLECIMIENTO AFECTADO POR NORMATIVA DE ACCIDENTES GRAVES."/>
        <s v="REGISTRO DE UNA INSTALACION ELECTRICA DE BAJA TENSION"/>
        <s v="REGISTRO DE UNA INSTALACION TERMICA"/>
        <s v="REGISTRO DE GRUA TORRE PARA OBRAS U OTRAS APLICACIONES"/>
        <s v="REGISTRO DE DECLARACION INDIVIDUALIZADA DE GRUA MOVIL AUTOPROPULSADA."/>
        <s v="REGISTRO DE UNA INSTALACION Y EQUIPOS DE RAYOS X PARA DIAGNOSTICO MEDICO"/>
        <s v="REGISTRO DE UNA ENTIDAD DE FORMACION PARA LA OBTENCION DEL CARNE PROFESIONAL Y CURSOS"/>
        <s v="CATALOGACION DE VEHICULO HISTORICO"/>
        <s v="DESIGNACION Y REGISTRO DE ORGANISMO AUTORIZADO DE VERIFICACION METROLOGICA"/>
        <s v="ACTUALIZACION DE LOS DATOS REGISTRALES DE UN ORGANISMO AUTORIZADO DE VERIFICACION METROLOGICA"/>
        <s v="REGISTRO DE ENTIDADES FABRICANTES / COMERCIALIZADORAS / IMPORTADORAS / ARRENDADORAS DE INSTRUMENTOS DE MEDIDA SOMETIDOS A CONTROL METROLOGICO DEL ESTADO"/>
        <s v="ACTUALIZACION DE DATOS REGISTRALES DE LAS INSCRIPCIONES EN EL REGISTRO DE CONTROL METROLOGICO DE ENTIDADES FABRICANTES / COMERCIALIZADORAS / IMPORTADORAS / ARRENDADORAS"/>
        <s v="REGISTRO DE EMPRESA REPARADORA/MANTENEDORA DE APARATOS SOMETIDOS A CONTROL METROLOGICO"/>
        <s v="REGISTRO DE ORGANISMO NOTIFICADO U ORGANISMO DE CONTROL METROLOGICO"/>
        <s v="ACTUALIZACION DE LOS DATOS REGISTRALES DE ORGANISMO DE CONTROL METROLOGICO U ORGANISMO NOTIFICADO"/>
        <s v="MODIFICACION DE LOS DATOS INSCRITOS EN EL REGISTRO AUTONOMICO DE INSTALACIONES DE PRODUCCION DE ENERGIA ELECTRICA"/>
        <s v="INSCRIPCION PREVIA EN EL REGISTRO AUTONOMICO DE INSTALACIONES DE PRODUCCION DE ENERGIA ELECTRICA"/>
        <s v="INSCRIPCION DEFINITIVA EN EL REGISTRO AUTONOMICO DE INSTALACIONES DE PRODUCCION DE ENERGIA ELECTRICA"/>
        <s v="CANCELACION DE LA INSCRIPCION EN EL REGISTRO AUTONOMICO DE INSTALACIONES DE PRODUCCION DE ENERGIA ELECTRICA"/>
        <s v="INSCRIPCION EN EL REGISTRO ESPECIAL DE INSTALACIONES DE RADIOCOMUNICACION."/>
        <s v="COMUNICACION DE INICIO DE ACTIVIDADES DE PRODUCCION  Y GESTION DE RESIDUOS DE CASTILLA-LA MANCHA. PRODUCTOR"/>
        <s v="COMUNICACION DE INICIO EN EL REGISTRO DE PRODUCCION Y GESTION DE RESIDUOS DE CASTILLA-LA MANCHA. TRANSPORTISTA"/>
        <s v="NOTIFICACION ANUAL DE DATOS AL REGISTRO PRTR DE CASTILLA-LA MANCHA"/>
        <s v="INFORMACION AMBIENTAL"/>
        <s v="NOTIFICACION Y REGISTRO DE CENTROS EMISORES DE COVS"/>
        <s v="REGISTRO DE INSTALACIONES PETROLIFERAS"/>
        <s v="DECLARACION RESPONSABLE DE EMPRESAS DE SERVICIOS EN MATERIA DE SEGURIDAD INDUSTRIAL."/>
        <s v="REGISTRO DE LA INSTALACION DE UN ASCENSOR"/>
        <s v="INSTALACIONES DE LAVADO INTERIOR, DESGASIFICACION Y DESPRESURIZACION, REPARACION O MODIFICACION DE CISTERNAS DE MERCANCIAS PELIGROSAS (ALTA/BAJA Y MODIFICACION DE DATOS)"/>
        <s v="REGISTRO DE ASOCIACIONES DE CONSERVACION DE LA NATURALEZA."/>
        <s v="REGISTRO DE EMPRESAS DE TURISMO EN LA NATURALEZA"/>
        <s v="DECLARACION DE ACTIVIDAD EN TALLER DE REPARACION DE VEHICULOS AUTOMOVILES"/>
        <s v="REGISTRO DE RADIO Y TELEVISION DE CASTILLA-LA MANCHA"/>
        <s v="RECONOCIMIENTO DE LA CONDICION DE TITULAR PROFESIONAL CINEGETICO"/>
        <s v="REGISTRO DE EXPLOTACIONES CINEGETICAS EXTERIORES"/>
        <s v="REGISTRO DE INSTALACIONES DE PROTECCION CONTRA INCENDIOS (EXCEPTO EN ESTABLECIMIENTOS INDUSTRIALES)"/>
        <s v="COMUNICACION PARA LA INSCRIPCION EN EL REGISTRO ADMINISTRATIVO DE AUTOCONSUMO DE ENERGIA ELECTRICA REGULADO EN EL REAL DECRETO 244/2019."/>
        <s v="REGISTRO DE OPERADORES-COLABORADORES DEL PROGRAMA DE EMISION DE BONOS DIGITALES PARA COLECTIVOS VULNERABLES"/>
        <s v="REGISTRO DE ESPECIES CINEGETICAS EN CAUTIVIDAD (ALECTORIS)"/>
        <s v="INSCRIPCION, MODIFICACION Y/O BAJA EN EL REGISTRO DE AVES RAPACES Y DE CETRERIA."/>
        <s v="COMUNICACION DE CESION TEMPORAL O DEFINITIVA   EN EL REGISTRO DE AVES RAPACES Y DE CETRERIA."/>
        <s v="COMUNICACION DE PERDIDA, SUSTRACCION, RECUPERACION Y MUERTE  EN EL REGISTRO DE AVES RAPACES Y DE CETRERIA."/>
        <s v="INSCRIPCION EN EL SISTEMA COMUNITARIO DE GESTION Y AUDITORIA MEDIOAMBIENTALES DE CASTILLA-LA MANCHA (REGISTRO EMAS)"/>
        <s v="RENOVACION EN EL SISTEMA COMUNITARIO DE GESTION Y AUDITORIA MEDIOAMBIENTALES  DE CASTILLA-LA MANCHA (REGISTRO EMAS)"/>
        <s v="COMUNICACION DE CAMBIOS SUSTANCIALES DE UNA ORGANIZACION INSCRITA EN EL SISTEMA COMUNITARIO DE GESTION Y AUDITORIA MEDIOAMBIENTALES DE CASTILLA-LA MANCHA (REGISTRO EMAS)."/>
        <s v="MANTENIMIENTO  EN EL SISTEMA COMUNITARIO DE GESTION Y AUDITORIA MEDIOAMBIENTALES  DE CASTILLA-LA MANCHA (REGISTRO EMAS)"/>
        <s v="INSCRIPCION DE CERTIFICADOS DE EFICIENCIA ENERGETICA EN EL REGISTRO AUTONOMICO DE CERTIFICADOS DE EFICIENCIA ENERGETICA DE EDIFICIOS DE CASTILLA-LA MANCHA. (EDIFICIO TERMINADO)"/>
        <s v="INSCRIPCION DE CERTIFICADOS DE EFICIENCIA ENERGETICA EN EL REGISTRO AUTONOMICO DE CERTIFICADOS DE EFICIENCIA ENERGETICA DE EDIFICIOS DE CASTILLA-LA MANCHA. (FASE DE PROYECTO)"/>
        <s v="INSCRIPCION DE CERTIFICADOS DE EFICIENCIA ENERGETICA EN EL REGISTRO AUTONOMICO DE CERTIFICADOS DE EFICIENCIA ENERGETICA DE EDIFICIOS DE CASTILLA-LA MANCHA. (EDIFICIO EXISTENTE)"/>
        <s v="INSCRIPCION  DE TECNICOS COMPETENTES PARA LA SUSCRIPCION DE CERTIFICACIONES DE EFICIENCIA ENERGETICA DE EDIFICIOS"/>
        <s v="INSCRIPCION DE EMPRESAS QUE PROPORCIONAN SERVICIOS DE CERTIFICACION DE EFICIENCIA ENERGETICA DE EDIFICIOS"/>
        <s v="CANCELACION DE INSCRIPCION EN LA SECCION PRIMERA DEL REGISTRO AUTONOMICO DE CERTIFICADOS DE EFICIENCIA ENERGETICA DE EDIFICIOS DE CASTILLA-LA MANCHA"/>
        <s v="CANCELACION DE INSCRIPCION EN LA SECCION SEGUNDA DEL REGISTRO AUTONOMICO DE CERTIFICADOS DE EFICIENCIA ENERGETICA DE EDIFICIOS DE CASTILLA-LA MANCHA"/>
        <s v="SOLICITUD DE CONCESION O RENOVACION DE DISTINTIVOS A LAS MEJORES PRACTICAS EN MATERIA DE CONSUMO."/>
        <s v="PARTICIPACION EN CONCURSO ESCOLAR CONSUMOPOLIS"/>
        <s v="CURSOS DE FORMACION DE JOVENES PESCADORES (ESCUELA REGIONAL DE PESCA FLUVIAL)"/>
        <s v="DECLARACION/MODIFICACION/PERDIDA DE CONDICION DE MONTE PROTECTOR."/>
        <s v="DECLARACION/MODIFICACION/PERDIDA DE CONDICION DE MONTE SINGULAR"/>
        <s v="SOLICITUD DE MODIFICACION DE LA RESOLUCION DEL EXPEDIENTE DE AYUDA EN INVERSIONES EN TECNOLOGIAS FORESTALES Y EN LA TRANSFORMACION, MOVILIZACION Y COMERCIALIZACION DE PRODUCTOS FORESTALES"/>
        <s v="SOLICITUD DE EXPRESION DE INTERES PARA AHORRO Y EFICIENCIA ENERGETICA EN ALUMBRADO PUBLICO EXTERIOR."/>
        <s v="SOLICITUD DE EXPRESION DE INTERES PARA AHORRO Y EFICIENCIA ENERGETICA EN EDIFICACIONES DE LA ADMINISTRACION LOCAL."/>
        <s v="AYUDAS A CENTROS DOCENTES PARA LA REALIZACION DE VISITAS DE EDUCACION AMBIENTAL EN LA COMUNIDAD AUTONOMA DE CASTILLA-LA MANCHA DURANTE EL CURSO 2021/2022"/>
        <s v="SUBVENCIONES PARA LA PARTICIPACION DE LAS ASOCIACIONES DE PERSONAS CONSUMIDORAS EN EL DESARROLLO DE ACTIVIDADES EN MATERIA DE CONSUMO Y SU GESTION ORDINARIA"/>
        <s v="SOLICITUD DE MODIFICACION DE LA RESOLUCION DE LA AYUDA PARA LA EJECUCION DE TRATAMIENTOS SELVICOLAS."/>
        <s v="SOLICITUD DE AYUDA PROGRAMA MOVES II"/>
        <s v="SOLICITUD DE AYUDA PARA ACTUACIONES DE EFICIENCIA ENERGETICA EN PYME Y GRAN EMPRESA DEL SECTOR INDUSTRIAL."/>
        <s v="PREMIO REGIONAL DE MEDIO AMBIENTE DE CASTILLA-LA MANCHA"/>
        <s v="SUBVENCIONES PARA EL DESARROLLO DE PROYECTOS EN MATERIA DE CONSUMO RESPONSABLE REALIZADOS POR ENTIDADES SIN ANIMO DE LUCRO."/>
        <s v="AYUDAS PARA ADAPTACION DE LINEAS ELECTRICAS DE ALTA TENSION A LOS REQUISITOS ESTABLECIDOS POR EL REAL DECRETO 1432/2008 PARA PERSONAS QUE NO TIENEN LA CONDICION DE EMPRESA DE DISTRIBUCION."/>
        <s v="AYUDAS DE CONECTIVIDAD DIGITAL PARA REDES DE BANDA ANCHA DE MUY ALTA VELOCIDAD EN POLIGONOS INDUSTRIALES, CENTROS LOGISTICOS,  ZONAS DE CONCENTRACION EMPRESARIAL Y ZONAS DE INTERES ECONOMICO"/>
        <s v="SUBVENCIONES PARA PROYECTOS DE IMPLANTACION DE NUEVAS RECOGIDAS DE RESIDUOS SEPARADAS Y MEJORA DE LAS EXISTENTES EN MUNICIPIOS DE CASTILLA-LA MANCHA."/>
        <s v="SUBVENCIONES PARA PROYECTOS DE CONSTRUCCION Y MEJORA DE INSTALACIONES ESPECIFICAS PARA EL TRATAMIENTO DE LOS BIORRESIDUOS RECOGIDOS SEPARADAMENTE EN MUNICIPIOS DE CASTILLA-LA MANCHA."/>
        <s v="SUBVENCIONES PARA ACTUACIONES DE CONSTRUCCION Y MEJORA DE INSTALACIONES DE RECOGIDA (PUNTOS LIMPIOS) EN MUNICIPIOS DE CASTILLA-LA MANCHA CON MAS DE 5.000 HABITANTES"/>
        <s v="SUBVENCIONES PARA PROYECTOS DE CONSTRUCCION DE NUEVAS INSTALACIONES DE PREPARACION PARA LA REUTILIZACION Y EL RECICLADO DE OTROS FLUJOS DE RESIDUOS RECOGIDOS SEPARADAMENTE."/>
        <s v="SUBVENCIONES DESTINADAS A LA IMPLEMENTACION DE PROYECTOS DE ECONOMIA CIRCULAR EN EL AMBITO DEL SECTOR TURISTICO DE CASTILLA-LA MANCHA"/>
        <s v="SUBVENCIONES PARA PROGRAMAS DE ACTIVIDADES EN MATERIA DE CONSUMO QUE SE REALICEN POR ENTIDADES LOCALES"/>
        <s v="AYUDA EN AREAS DE INFLUENCIA SOCIOECONOMICA DE PARQUES NACIONALES EN EL MARCO DEL PLAN DE RECUPERACION, TRANSFORMACION Y RESILIENCIA, FINANCIADO POR LA UNION EUROPEA NEXT GENERATION EU"/>
        <s v="SUBVENCIONES A PROYECTOS DE INSTALACION DE REDES INTERNAS DE COMUNICACIONES ELECTRONICAS ALTA VELOCIDAD EN FABRICAS, CENTROS Y DEPENDENCIAS SITAS EN POLIGONOS INDUSTRIALES"/>
        <s v="PROGRAMAS DE INCENTIVOS PARA LA IMPLANTACION DE INSTALACIONES DE ENERGIAS RENOVABLES TERMICAS EN DIFERENTES SECTORES DE LA ECONOMIA"/>
        <s v="SUBVENCIONES PARA EL DESARROLLO DE PROYECTOS DE SENSIBILIZACION Y FORMACION EN AGENDA 2030 Y LOS OBJETIVOS DE DESARROLLO SOSTENIBLE"/>
        <s v="AYUDAS DEL PROGRAMA DE EMISION DE BONOS DIGITALES PARA COLECTIVOS VULNERABLES, EN EL MARCO DEL PLAN DE RECUPERACION, TRANSFORMACION Y RESILIENCIA"/>
        <s v="AYUDAS PARA EL FOMENTO DE LA ACUICULTURA EN CASTILLA LA MANCHA"/>
        <s v="PAGO DE LA AYUDA PARA EL FOMENTO DE LA ACUICULTURA EN CASTILLA LA MANCHA"/>
        <s v="MODIFICACION DE LA RESOLUCION DE LA CONCESION DE AYUDAS PARA EL FOMENTO DE LA ACUICULTURA EN LA COMUNIDAD AUTONOMA DE CASTILLA LA MANCHA."/>
        <s v="SOLICITUD DE PAGO DE LA AYUDA PARA LA EJECUCION DE TRATAMIENTOS SELVICOLAS."/>
        <s v="COMUNICACION DE CAMBIO DE TITULARIDAD Y ACEPTACION EXPRESA POR EL NUEVO TITULAR DE LAS CONDICIONES DE LA AYUDA PARA LA EJECUCION DE TRATAMIENTOS SELVICOLAS."/>
        <s v="AYUDAS PARA LA EJECUCION DE TRATAMIENTOS SELVICOLAS."/>
        <s v="APORTACION DE DOCUMENTACION EN EL TRAMITE DE AUDIENCIA"/>
        <s v="MODIFICACION DE LAS CONDICIONES DE TIEMPO O DE LA ESTRUCTURA DEL PROYECTO INICIAL APROBADO"/>
        <s v="SOLICITUD DE ABONO DE AYUDAS EN AREAS DE INFLUENCIA SOCIOECONOMICA DE PARQUES NACIONALES EN CASTILLA-LA MANCHA"/>
        <s v="JUSTIFICACION DE UNA SUBVENCION A LA CONFEDERACION REGIONAL DE EMPRESARIOS DE CASTILLA-LA MANCHA PARA LA REALIZACION DE ACTUACIONES EN EL MARCO DEL PLAN INTEGRADO DE GESTION DE RESIDUOS DE CLM"/>
        <s v="JUSTIFICACION DE SUBVENCION A COOPERATIVAS AGRO-ALIMENTARIAS DE CASTILLA-LA MANCHA PARA LA REALIZACION DE ACTUACIONES EN EL MARCO DEL PLAN INTEGRADO DE GESTION DE RESIDUOS DE CLM 2016-2022"/>
        <s v="COMUNICACION DE CAMBIO DE TITULARIDAD Y ACEPTACION EXPRESA POR EL NUEVO TITULAR DE LAS CONDICIONES DE LA AYUDA PARA LA ELABORACION Y REVISION DE INSTRUMENTOS DE GESTION FORESTAL."/>
        <s v="CAMBIO DE TITULARIDAD Y ACEPTACION EXPRESA DE LAS CONDICIONES DE LA AYUDA EN INVERSIONES EN TEC. FORESTALES Y EN LA TRANSFORMACION, MOVILIZACION Y COMERCIALIZACION DE PRODUCTOS FORESTALES"/>
        <s v="SOLICITUD DE PAGO DE AYUDA EN INVERSIONES EN TECNOLOGIAS FORESTALES Y EN LA TRANSFORMACION, MOVILIZACION Y COMERCIALIZACION DE PRODUCTOS FORESTALES"/>
        <s v="SOLICITUD DE AYUDAS EN INVERSIONES EN TECNOLOGIAS FORESTALES Y EN LA TRANSFORMACION, MOVILIZACION Y COMERCIALIZACION DE PRODUCTOS FORESTALES"/>
        <s v="SOLICITUD MODIFICACION DE RESOLUCION DE AYUDAS DE PAGOS POR COMPROMISOS SILVOAMBIENTALES Y CLIMATICOS."/>
        <s v="CAMBIO DE TITULARIDAD Y ACEPTACION EXPRESA DE LAS CONDICIONES DE LA AYUDA PARA LA SUBMEDIDA 15.1 DE PAGOS COMPENSATORIOS POR COMPROMISOS SILVOAMBIENTALES Y CLIMATICOS."/>
        <s v="SOLICITUD PARA LA CONVOCATORIA DE EXPRESIONES DE INTERES RELATIVA A ACTUACIONES DE MEJORA DE LA GESTION DE RESIDUOS EN EL MARCO DEL PO FEDER CLM 2014-2020."/>
        <s v="SOLICITUD DE AYUDA PARA EL MANTENIMIENTO Y MEJORA DE LA BIODIVERSIDAD EN ACCIONES QUE REPERCUTEN EN EL ESTADO DE CONSERVACION DE LA RED NATURA 2000"/>
        <s v="COMUNICACION DE CAMBIO DE TITULARIDAD Y ACEPTACION EXPRESA DE LAS CONDICIONES DE LAS AYUDAS PARA EL MANTENIMIENTO Y MEJORA DE LA BIODIVERSIDAD EN ACCIONES SOBRE RED NATURA 2000"/>
        <s v="SOLICITUD DE PAGO AYUDAS PARA EL MANTENIMIENTO Y MEJORA DE LA BIODIVERSIDAD EN ACCIONES QUE REPERCUTEN EN EL ESTADO DE CONSERVACION DE LA RED NATURA 2000"/>
        <s v="SOLICITUD MODIFICACION DE LA RESOLUCION DE LA AYUDA PARA EL MANTENIMIENTO Y MEJORA DE LA BIODIVERSIDAD EN ACCIONES QUE REPERCUTEN EN EL ESTADO DE CONSERVACION DE LA RED NATURA 2000."/>
        <s v="SOLICITUD AMPLIACION DE PLAZO DE EJECUCION DE LAS AYUDAS PARA EL MANTENIMIENTO Y MEJORA DE LA BIODIVERSIDAD EN ACCIONES QUE REPERCUTEN EN EL ESTADO DE CONSERVACION DE LA RED NATURA 2000"/>
        <s v="MODELO DE ACEPTACION/RENUNCIA PROPUESTA RESOLUCION."/>
        <s v="SOLICITUD DE ABONO DE AYUDAS PARA AYUNTAMIENTOS EN AREAS DE INFLUENCIA SOCIOECONOMICA DE PARQUES NACIONALES EN CASTILLA-LA MANCHA"/>
        <s v="SUBVENCIONES EN REGIMEN DE CONCESION DIRECTA PARA AYUNTAMIENTOS EN AREAS DE INFLUENCIA SOCIOECONOMICA DE PARQUES NACIONALES EN CASTILLA-LA MANCHA."/>
        <s v="SUBVENCIONES PARA PROYECTOS Y ACTIVIDADES DE EDUCACION AMBIENTAL PROMOVIDOS POR ENTIDADES PRIVADAS SIN ANIMO DE LUCRO DE CASTILLA-LA MANCHA"/>
        <s v="REMISION DE INFORME ANUAL DE ACTUACIONES DE LAS AYUDAS PIMA-CC PARA EL DISEÑO E IMPLANTACION DE ZONAS DE BAJAS EMISIONES EN MUNICIPIOS DE CASTILLA-LA MANCHA."/>
        <s v="ALEGACIONES Y ACEPTACION O RENUNCIA DE LA PROPUESTA DE RESOLUCION DE AYUDAS PIMA-CC PARA EL DISEÑO E IMPLANTACION DE ZONAS DE BAJAS EMISIONES EN MUNICIPIOS DE CASTILLA-LA MANCHA."/>
        <s v="MODIFICACION DE RESOLUCION DE CONCESION DE AYUDAS PIMA-CC PARA EL DISEÑO E IMPLANTACION DE ZONAS DE BAJAS EMISIONES EN MUNICIPIOS DE CASTILLA-LA MANCHA"/>
        <s v="AYUDAS PIMA-CC PARA EL DISEÑO E IMPLANTACION DE ZONAS DE BAJAS EMISIONES EN MUNICIPIOS DE CASTILLA-LA MANCHA."/>
        <s v="PRESENTACION MEMORIA TECNICA, ECONOMICA Y SOLICITUD DE PAGO FINAL DE ACTUACIONES DE AYUDAS PIMA-CC PARA EL DISEÑO E IMPLANTACION DE ZONAS DE BAJAS EMISIONES EN MUNICIPIOS DE CASTILLA-LA MANCHA."/>
        <s v="ALEGACIONES Y ACEPTACION O RENUNCIA DE LA PROPUESTA DE RESOLUCION DE AYUDAS  PARA ACTUACIONES PILOTO DE CARACTER INNOVADOR PARA ADAPTACION AL CAMBIO CLIMATICO EN ESPACIOS URBANOS Y PERIURBANOS."/>
        <s v="REMISION DE INFORME ANUAL DE ACTUACIONES DE LAS AYUDAS PIMA-CC  PARA LA ADAPTACION AL CAMBIO CLIMATICO EN ESPACIOS URBANOS Y PERIURBANOS."/>
        <s v="AYUDAS PIMA-CC PARA ACTUACIONES PILOTO DE CARACTER INNOVADOR PARA LA ADAPTACION AL CAMBIO CLIMATICO EN ESPACIOS URBANOS Y PERIURBANOS."/>
        <s v="PRESENTACION MEMORIA TECNICA, ECONOMICA Y SOLICITUD DE PAGO FINAL DE ACTUACIONES DE AYUDAS PIMA-CC PARA LA ADAPTACION AL CAMBIO CLIMATICO EN ESPACIOS URBANOS Y PERIURBANOS."/>
        <s v="MODIFICACION DE RESOLUCION DE CONCESION DE AYUDAS PIMA-CC PARA ACTUCACIONES PILOTO DE CARACTER INNOVADOR PARA LA ADAPTACION AL CAMBIO CLIMATICO DE ESPACIOS URBANOS Y PERIURBANOS."/>
        <s v="SOLICITUD DE AYUDA MOVES III PARA ADQUISICION DE VEHICULOS ELECTRICOS"/>
        <s v="SOLICITUD DE AYUDA MOVES III PARA IMPLANTACION DE INFRAESTRUCTURA DE RECARGA DE VEHICULOS ELECTRICOS"/>
        <s v="CONVOCATORIA DE LOS PROGRAMAS DE INCENTIVOS 4 Y 5 PARA ACTUACIONES DE AUTOCONSUMO, CON FUENTES DE ENERGIAS RENOVABLES, EN EL SECTOR RESIDENCIAL, LAS ADMINISTRACIONES PUBLICAS Y EL TERCER SECTOR."/>
        <s v="CONVOCATORIA DE LOS PROGRAMAS DE INCENTIVOS 1, 2 Y 3 PARA ACTUACIONES DE AUTOCONSUMO, CON FUENTES DE ENERGIAS RENOVABLES, PARA EL SECTOR SERVICIOS Y OTROS SECTORES PRODUCTIVOS."/>
        <s v="CONVOCATORIA DEL PROGRAMA DE INCENTIVOS 6 PARA LA REALIZACION DE INSTALACIONES DE ENERGIAS RENOVABLES TERMICAS EN EL SECTOR RESIDENCIAL"/>
        <s v="ADMISION A EXAMENES DE APTITUD PARA LA OBTENCION DEL CERTIFICADO DE CUALIFICACION INDIVIDUAL"/>
        <s v="OBTENCION Y EXPEDICION DEL CERTIFICADO DE CUALIFICACION INDIVIDUAL"/>
        <s v="OBTENCION DE CARNES DE PROFESIONALES EN MATERIA DE SEGURIDAD INDUSTRIAL"/>
        <s v="DECLARACION EN CONCRETO DE LA UTILIDAD PUBLICA DE INSTALACIONES ELECTRICAS ."/>
        <s v="AUTORIZACION DE EXPLOTACION DE INSTALACIONES ELECTRICAS"/>
        <s v="APROBACION DE PROYECTO DE EJECUCION DE INSTALACIONES GASISTAS DE COMPETENCIA AUTONOMICA"/>
        <s v="AUTORIZACION DE EXPLOTACION  DE INSTALACIONES GASISTAS DE COMPETENCIA AUTONOMICA"/>
        <s v="DECLARACION EN CONCRETO DE LA UTILIDAD PUBLICA DE INSTALACIONES GASISTAS DE COMPETENCIA AUTONOMICA"/>
        <s v="RECLASIFICACION DE RECURSOS MINERALES"/>
        <s v="APROBACION DE PLAN DE LABORES"/>
        <s v="OTORGAMIENTO CONCESION DE APROVECHAMIENTO AGUAS MINERALES O TERMALES"/>
        <s v="APROBACION PLAN ANUAL DE APROVECHAMIENTO AGUAS  O TERMALES"/>
        <s v="DECLARACION DE ASOCIACIONES DE PESCADORES COMO SOCIEDADES COLABORADORAS"/>
        <s v="APROBACION DE DESLINDES DE MONTES INCLUIDOS EN CATALOGO DE UTILIDAD PUBLICA."/>
        <s v="AMOJONAMIENTO DE MONTES DEMANIALES"/>
        <s v="CATALOGACION DE MONTES PUBLICOS"/>
        <s v="DESAFECTACION/DESCATALOGACION DE MONTES DEMANIALES"/>
        <s v="NOTIFICACION PARA EJERCICIO DE LA ACCION DE ADQUISICION PREFERENTE DE MONTES"/>
        <s v="DECLARACION DE PREVALENCIA DE UTILIDAD PUBLICA"/>
        <s v="DESLINDE/DELIMITACION DE VIAS PECUARIAS"/>
        <s v="AMOJONAMIENTO DE VIAS PECUARIAS"/>
        <s v="AUTORIZACION PARA EL ACONDICIONAMIENTO, MANTENIMIENTO Y MEJORA DE VIAS PECUARIAS"/>
        <s v="AUTORIZACION/DECLARACION RESPONSABLE DE USOS COMPATIBLES/COMPLEMENTARIOS EN VIAS PECUARIAS"/>
        <s v="AUTORIZACION DE APROVECHAMIENTOS SOBRANTES EN VIAS PECUARIAS"/>
        <s v="MEMORIAS DE RESIDUOS"/>
        <s v="CERTIFICADO DE CONVALIDACION DE INVERSIONES DESTINADAS A LA PROTECCION DEL MEDIO AMBIENTE"/>
        <s v="AUTORIZACION ADMINISTRATIVA DE ACTIVIDADES POTENCIALMENTE CONTAMINADORAS DE LA ATMOSFERA."/>
        <s v="EVALUACION AMBIENTAL ESTRATEGICA DE PLANES Y PROGRAMAS"/>
        <s v="EVALUACION  DE IMPACTO AMBIENTAL DE PROYECTOS"/>
        <s v="DECLARACION DE AGUA MINERAL, MODIFICACION O AMPLIACION DE UNA DECLARACION"/>
        <s v="CERTIFICADO DE EMPRESA PARA LA MANIPULACION DE GASES FLUORADOS"/>
        <s v="CERTIFICADO PERSONAL PARA LA MANIPULACION DE GASES FLUORADOS."/>
        <s v="HOMOLOGACION DE TROFEOS DE CAZA"/>
        <s v="COMUNICACION DE APORTACION DE ACTAS O CERTIFICADOS DE INSPECCION, REVISION O CONTROL, DE INSTALACIONES O ESTABLECIMIENTOS SOMETIDOS A REGLAMENTACION DE SEGURIDAD INDUSTRIAL"/>
        <s v="VALIDACION DE INFORMES ANUALES DE EMISION DE GASES DE GASES DE EFECTO INVERNADERO"/>
        <s v="DESIGNACION COMO VOCAL DEL CONSEJO REGIONAL Y DE LOS CONSEJOS PROVINCIALES DE PESCA"/>
        <s v="APROBACION DE INFORME DE MEJORAS DE INSTALACIONES INCLUIDAS EN EL REGIMEN DE COMERCIO DE GASES DE EFECTO INVERNADERO"/>
        <s v="REMISION DE INFORMACION DE INSTALACIONES DE PRODUCCION DE ENERGIA ELECTRICA CON REGIMEN RETRIBUTIVO ESPECIFICO"/>
        <s v="PRUEBAS DE APTITUD PARA OBTENER POR PRIMERA VEZ LA LICENCIA DE CAZA DE CASTILLA-LA MANCHA"/>
        <s v="DECLARACION RESPONSABLE DEL NUMERO DE INSPECCIONES ITV REALIZADAS Y LIQUIDACION DE LA TASA CORRESPONDIENTE"/>
        <s v="DECLARACION DE ACTIVIDADES LABORALES EN LAS QUE EXISTAN FUENTES NATURALES DE RADIACION."/>
        <s v="DECLARACION RESPONSABLE PARA TALLERES DE TAXIDERMIA QUE TRABAJEN CON ESPECIES CINEGETICAS"/>
        <s v="DECLARACION RESPONSABLE PARA AGENTES DE LOS SECTORES INDUSTRIAL Y COMERCIAL DE LA MADERA O LOS PRODUCTOS DE MADERA QUE ACTUAN COMO AGENTES A LOS EFECTOS EL REGLAMENTO (UE) Nº 995/2010"/>
        <s v="CERTIFICACION ACREDITATIVA DE LA CUALIFICACION COMO OPERARIO CUALIFICADO EN LA INSTALACION Y/O MANTENIMIENTO DE SISTEMAS DE PROTECCION CONTRA INCENDIOS"/>
        <s v="INFORME EN RELACION A LOS PRECIOS DE LOS SERVICIOS PUBLICOS MUNICIPALES  SUJETOS A INTERVENCION POR PARTE DE LA JUNTA DE COMUNIDADES DE CASTILLA-LA MANCHA"/>
        <s v="DECLARACION RESPONSABLE DE HABER CONSTITUIDO LA GARANTIA FINANCIERA OBLIGATORIA O, EN SU CASO, DE QUEDAR EXENTOS DE SU CONSTITUCION"/>
        <s v="INFORMACION SOBRE EL CARACTER AGRICOLA O FORESTAL DE UN TERRENO."/>
        <s v="AUTORIZACION DE INSTRUMENTOS DE GESTION FORESTAL  SOSTENIBLE"/>
        <s v="ACTUALIZACION DEL INVENTARIO DE LINEAS ELECTRICAS DE ALTA TENSION EN ZONAS DE PROTECCION QUE NO SE AJUSTAN AL REAL DECRETO 1432/2008"/>
        <s v="SOLICITUD DE INFORME FAVORABLE DE PLANES DE INVERSION DE EMPRESAS DISTRIBUIDORAS DE ENERGIA ELECTRICA"/>
        <s v="DESIGNACION COMO VOCAL DEL CONSEJO PROVINCIAL DE CAZA DE GUADALAJARA"/>
        <s v="BONO SOCIAL TERMICO. APORTACION DE DATOS PARA EL ABONO DEL BONO SOCIAL TERMICO O RENUNCIA A LA CONDICION DE PERSONA BENEFICIARIA DEL BONO SOCIAL TERMICO"/>
        <s v="OBTENCION O RENOVACION DEL CERTIFICADO DE APTITUD DE PERSONA OPERADORA DE MAQUINARIA MOVIL MINERA"/>
        <s v="PRUEBAS DE CONOCIMIENTOS ESPECIFICOS PARA OBTENER LA ACREDITACION DE VIGILANTE DE PESCA"/>
        <s v="APROBACION DE PLANES TERRITORIALES PARA EL DESPLIEGUE DE REDES E INSTALACIONES DE RADIOCOMUNICACION DE OPERADORES."/>
        <s v="COMUNICACION DE MODIFICACION DE PLANES TERRITORIALES PARA EL DESPLIEGUE DE REDES E INSTALACIONES DE RADIOCOMUNICACION DE OPERADORES."/>
        <s v="SOLICITUD DE CONSTITUCION DE COTO DE CAZA O ZONA COLECTIVA DE CAZA."/>
        <s v="SOLICITUD DE MODIFICACION DE COTO DE CAZA O ZONA COLECTIVA DE CAZA."/>
        <s v="SOLICITUD DE CAMBIO DE TITULAR DE COTO DE CAZA O ZONA COLECTIVA DE CAZA"/>
        <s v="DECLARACION PARA OBTENER LA CUALIFICACION DE ESPECIALISTA ACREDITADO/A PARA LA UTILIZACION DE METODOS DE CAPTURA DE DEPREDADORES EN CASTILLA-LA MANCHA"/>
        <s v="PRUEBAS DE CONOCIMIENTOS ESPECIFICOS PARA ACCEDER A LA CUALIFICACION DE ESPECIALISTA ACREDITADO/A PARA EL USO DE METODOS HOMOLOGADOS DE CAPTURA DE DEPREDADORES"/>
        <s v="EXPROPIACION FORZOSA PARA EL ESTABLECIMIENTO DE INSTALACIONES Y LA IMPOSICION DE SERVIDUMBRES DE PASO POR INSTALACIONES ENERGETICAS DECLARADAS DE UTILIDAD PUBLICA"/>
        <s v="PRESENTACION DE ALEGACIONES AL PROCEDIMIENTO SANCIONADOR DE LA CONSEJERIA DE DESARROLLO SOSTENIBLE"/>
        <s v="ACTUACIONES DE INSPECCION Y CONTROL EN MATERIA DE CONSUMO"/>
        <s v="ADHESION AL SISTEMA ARBITRAL DE CONSUMO"/>
        <s v="RESOLUCION ARBITRAL DE CONFLICTOS EN MATERIA DE CONSUMO"/>
        <s v="RESOLUCION EXTRAJUDICIAL DE CONFLICTOS EN MATERIA DE TRANSPORTES TERRESTRES"/>
        <s v="HOJAS DE RECLAMACIONES DE ESTABLECIMIENTOS O CENTROS"/>
        <s v="INFORMACION SOBRE EL SOMETIMIENTO AL PROCEDIMIENTO DE EVALUACION AMBIENTAL"/>
        <s v="CONSULTAS EN MATERIA DE CONSUMO"/>
        <s v="QUEJAS, RECLAMACIONES Y DENUNCIAS EN MATERIA DE CONSUMO"/>
        <s v="CONVOCATORIA  PROCESO  SELECTIVO PARA EL INGRESO POR EL SISTEMA GENERAL DE ACCESO LIBRE , EN EL CUERPO DE AGENTES  MEDIOAMBIENTALES."/>
        <s v="SOLICITUD DE DESTINO PARA EL INGRESO POR EL SISTEMA GENERAL DE ACCESO LIBRE EN EL CUERPO DE AGENTES MEDIOAMBIENTALES"/>
        <s v="RECLAMACION DE RESPONSABILIDAD PATRIMONIAL DE LA CONSEJERIA DE DESARROLLO SOSTENIBLE"/>
        <s v="RECLAMACION DE CONTROVERSIAS ELECTRICAS"/>
        <s v="RECLAMACION DE CONTROVERSIAS GASISTICAS"/>
        <s v="REGIMEN A APLICAR A LOS CONSORCIOS Y CONVENIOS DE REPOBLACION FORESTAL"/>
        <s v="CONVENIO ENTIDADES COLABORADORAS PARA TRAMITAR LICENCIAS DE CAZA Y PESCA"/>
        <s v="MODIFICACION DE CARACTERISTICAS DE LOS CONSORCIOS Y CONVENIOS DE REPOBLACION FORESTAL"/>
        <s v="DEVOLUCION DE FIANZAS RELATIVAS A PARQUES EOLICOS"/>
        <s v="DEVOLUCION DE FIANZA O GARANTIA DEPOSITADA PARA LA EJECUCION DE INSTALACIONES GASISTAS"/>
        <s v="DEVOLUCION DE GARANTIA DEPOSITADA PARA TRAMITAR LA SOLICITUD DE ACCESO A LA RED TRANSPORTE O DISTRIBUCION DE INSTALACIONES DE PRODUCCION DE ENERGIA ELECTRICA"/>
        <s v="PRESENTACION DEL RESGUARDO DE DEPOSITO DE GARANTIA PARA TRAMITAR LA SOLICITUD DE ACCESO A LAS REDES DE TRANSPORTE O DISTRIBUCION DE INSTALACIONES DE PRODUCCION DE ENERGIA ELECTRICA."/>
        <s v="DECLARACION ALTA, MODIFICACION, BAJA CANON EOLICO"/>
        <s v="AUTOLIQUIDACION CANON EOLICO"/>
        <s v="CONCURSO SINGULARIZADO DE MERITOS PARA LA PROVISION DE PUESTOS DE TRABAJO, ADSCRITOS AL CUERPO DE AGENTES MEDIOAMBIENTALES, EN LA ADMINISTRACION DE LA JUNTA DE COMUNIDADES DE CASTILLA-LA MANCHA"/>
        <s v="SOLICITUD DE PARTICIPACION EN LA CONVOCATORIA DE LIBRE DESIGNACION (LD DS F2/2022)"/>
        <s v="CONCURSO GENERAL MERITOS AGENTES MEDIOAMBIENTALES"/>
        <s v="CONCURSO SINGULARIZADO DE MERITOS (CSM DS 1/2022), PARA LA PROVISION DE PUESTOS DE TRABAJO VACANTES EN LA ADMINISTRACION DE LA JUNTA DE COMUNIDADES DE CASTILLA-LA MANCHA."/>
        <s v="PERMUTA DE MONTES DEMANIALES"/>
        <s v="SOLICITUD DE PAGO Y JUSTIFICACION DE LA AYUDA DE PROYECTOS RELATIVOS A LA MEJORA DEL ABASTECIMIENTO Y REDUCCION DE PERDIDAS EN REDES DE AGUA POTABLE MUNICIPIOS MENORES DE 20.000 HABITANTES PRTR"/>
        <s v="SOLICITUD AYUDA PARA LA SELECCION Y EJECUCION DE PROYECTOS RELATIVOS A LA MEJORA DEL ABASTECIMIENTO Y REDUCCION DE PERDIDAS EN REDES DE AGUA POTABLE MUNICIPIOS MENORES DE 20.000 HABITANTES PRTR"/>
        <s v="PROVISION, POR EL PROCEDIMIENTO DE LIBRE DESIGNACION DE PUESTOS DE TRABAJO VACANTES EN LA AGENCIA DEL AGUA DE CASTILLA-LA MANCHA"/>
        <s v="PROVISION, POR EL PROCEDIMIENTO DE LIBRE DESIGNACION,  DE PUESTO DE TRABAJO VACANTE EN LA ADMINISTRACION DE LA JUNTA DE COMUNIDADES DE CASTILLA-LA MANCHA."/>
        <s v="AUTORIZACION PARA SEGREGACION DE FINCAS RUSTICAS"/>
        <s v="AUTORIZACION DE TRANSMISIONES DE FINCAS RUSTICAS EN ZONAS CUYA TRANSFORMACION EN REGADIO HAYA SIDO DECLARADA DE INTERES REGIONAL O NACIONAL"/>
        <s v="AUTORIZACION DE PERMUTA DE FINCAS DE REEMPLAZO ENTRE PROPIETARIOS EN CONCENTRACIONES PARCELARIAS PUBLICAS"/>
        <s v="AUTORIZACION DE VETERINARIOS PARA LA EXPEDICION DE CERTIFICADOS O DOCUMENTOS DE ACOMPAÑAMIENTO"/>
        <s v="PASAPORTES FITOSANITARIOS - DECLARACIONES DE PRODUCCION"/>
        <s v="AUTORIZACION DE PRODUCTOR DE SEMILLAS E INCLUSION REGISTRO DE PRODUCTORES DE SEMILLAS DE CASTILLA-LA MANCHA."/>
        <s v="AUTORIZACION DE ACTIVIDADES DE ACONDICIONAMIENTO DE GRANO DESTINADO A LA SIEMBRA  Y REGISTRO DE TRANSFORMADORES DE CASTILLA - LA MANCHA."/>
        <s v="AUTORIZACION PARA LA REALIZACION DE CERTAMENES GANADEROS"/>
        <s v="BAJA DE ANIMAL DE LA ESPECIE BOVINA POR MUERTE EN EXPLOTACION"/>
        <s v="ALTA DE ANIMAL DE LA ESPECIE BOVINA"/>
        <s v="ACCESO A UNIDAD GANADERA VIRTUAL Y REGISTROS DE GANADERIA"/>
        <s v="AUTORIZACION DE COSECHA EN VERDE DE PLANTACIONES ILEGALES"/>
        <s v="DECLARACION RESPONSABLE PREVIA AL INICIO DE LA EJECUCION DEL PROGRAMA ZOOSANITARIO BASICO POR EL QUE SE ESTABLECE LA VACUNACION DE RABIA DE CANIDOS, FELIDOS Y HURONES"/>
        <s v="SOLICITUD DE AUTORIZACION PARA CENTROS Y ACTIVIDADES DE REPRODUCCION ANIMAL"/>
        <s v="NOTIFICACION DE ENSAYOS CON PRODUCTOS FITOSANITARIOS"/>
        <s v="ENAJENACION O PERMUTA DE FINCAS DE MASA COMUN EN ZONAS DE CONCENTRACION PARCELARIA"/>
        <s v="AUTORIZACION DE VACIO SANITARIO POR MOTIVOS EPIDEMIOLOGICOS."/>
        <s v="AUTORIZACION DE MATADEROS PARA EL SACRIFICIO DE ANIMALES REACCIONANTES POSITIVOS A CAMPAÑAS DE SANEAMIENTO GANADERO"/>
        <s v="AUTORIZACION DE ESTABLECIMIENTOS, TRANSPORTISTAS Y USUARIOS ESPECIIFICOS DE SUBPRODUCTOS ANIMALES NO DESTINADOS A CONSUMO HUMANO (SANDACH)"/>
        <s v="APROBACION DE PLIEGOS DE CONDICIONES DE ETIQUETADO FACULTATIVO CONDICIONADO A LA AUTORIZACION DEL ORGANISMO INDEPENDIENTE DE CONTROL"/>
        <s v="DESIGNACION DE  ORGANISMOS, INSTITUCIONES Y ENTIDADES ORGANIZADORAS DE CURSOS DE MANIPULADOR DE PRODUCTOS FITOSANITARIOS Y SUS MODIFICACIONES."/>
        <s v="ACREDITACION DE ASESOR EN GESTION INTEGRADA DE PLAGAS"/>
        <s v="OBTENCION GUIA DE ORIGEN Y SANIDAD PECUARIA"/>
        <s v="AUTORIZACION DE TRATAMIENTOS AEREOS CON PRODUCTOS FITOSANITARIOS."/>
        <s v="AUTORIZACION TERCEROS UNIDAD GANADERA VIRTUAL."/>
        <s v="AUTORIZACION DE LOS ORGANOS HABILITADOS PARA LA EVALUACION DE PROYECTOS DE INVESTIGACION QUE UTILICEN ANIMALES CON FINES EXPERIMENTALES"/>
        <s v="AUTORIZACION DE LOS PROYECTOS DE INVESTIGACION QUE UTILICEN ANIMALES CON FINES EXPERIMENTALES"/>
        <s v="COMUNICACION DE LA CESION DE LOS DERECHOS DE COBRO DE SUBVENCIONES CUYO PAGO COMPETE AL ORGANISMO PAGADOR DE CASTILLA-LA MANCHA."/>
        <s v="COMUNICACION DE CAMBIO DE DIRECTOR/TECNICO DE APOYO DE UNA SOLICITUD DE REESTRUCTURACION"/>
        <s v="COMUNICACION DE LAS EDICIONES DE CURSOS DE MANIPULADOR DE PRODUCTOS FITOSANITARIOS Y SUS MODIFICACIONES."/>
        <s v="AUTORIZACION DE ENTIDADES DE CONTROL DE PRODUCTOS AGROALIMENTARIOS DE CASTILLA-LA MANCHA"/>
        <s v="AUTORIZACION PARA LA INSTALACION Y USO DEL SISTEMA DE HIDROLISIS"/>
        <s v="COMUNICACION PREVIA DE RECOGIDA DE MATERIAL HIDROLIZADO"/>
        <s v="AUTORIZACION DE ACCESO A SIEMBRA WEB"/>
        <s v="SOLICITUD DE LABORATORIO PARA REALIZAR PRUEBAS DE DIAGNOSTICO DE LEISHMANIOSIS."/>
        <s v="SOLICITUD DE AUTORIZACION DE LA ACTIVIDAD DE INSPECCION Y ALTA EN EL REGISTRO OFICIAL DE ESTACIONES DE INSPECCION TECNICA DE EQUIPOS DE APLICACION DE PRODUCTOS FITOSANITARIOS, ITEAF"/>
        <s v="COMUNICACION DE DATOS PARA LA INSCRIPCION EN EL REGISTRO GENERAL DE LA PRODUCCION AGRICOLA (REGEPA)"/>
        <s v="COMUNICACION ANUAL DE DATOS AL REGISTRO DE ENTIDADES ASOCIATIVAS PRIORITARIAS DE INTERES REGIONAL DE CASTILLA-LA MANCHA EAPIR"/>
        <s v="AUTORIZACION PARA NUEVAS PLANTACIONES DE VIÑEDO"/>
        <s v="RENUNCIA A LA CONCESION DE AUTORIZACION PARA NUEVAS PLANTACIONES DE VIÑEDO"/>
        <s v="COMUNICACION CAMBIO TITULARIDAD  DEL VITICULTOR"/>
        <s v="COMUNICACION DE PROGRAMAS DE TRASLADO DE COLMENAS"/>
        <s v="SOLICITUD DE AUTORIZACION PROGRAMA DE RETIRADA BAJO CONTROL DE LOS SUBPRODUCTOS"/>
        <s v="NOTIFICACION DE CASOS DE ABORTOS EN GANADO BOVINO, OVINO Y CAPRINO POR PARTE DEL VETERINARIO DE EXPLOTACION"/>
        <s v="CONCESION DE LA EXENCION MARCADO HUEVOS CONFORME AL ARTICULO 11 DEL REGLAMENTO (CE) Nº 589/2008"/>
        <s v="COMUNICACION DE RECINTOS EN LOS QUE SE SOLICITA LA AYUDA A LA AGRICULTURA ECOLOGICA TRATADOS CON PRODUCTOS FITOSANITARIOS"/>
        <s v="AUTORIZACION EXCEPCIONAL USO PRODUCTOS FITOSANITARIOS"/>
        <s v="COMUNICACION DESINFECCION DE SUELOS CON PRODUCTOS FITOSANITARIOS FORMULADOS A BASE DE 1,3 DICLOROPROPENO"/>
        <s v="COMUNICACION DE TRATAMIENTO CON FOSFURO DE ALUMINIO"/>
        <s v="DESAFECTACION DE PARCELAS DE USO RUSTICO DECLARADAS DE INTERES GENERAL O REGIONAL"/>
        <s v="AUTORIZACION ADMINISTRATIVA RELACIONADA CON EL  REGLAMENTO (CE) 834/2007 SOBRE PRODUCCION ECOLOGICA."/>
        <s v="DESIGNACION DE LABORATORIO PARA CONTROL OFICIAL DE  PROGRAMAS DE PRODUCCION ECOLOGICA Y CALIDAD DIFERENCIADA"/>
        <s v="ALTA COMO REPRESENTANTE EN UVITI."/>
        <s v="SOLICITUD DE RECONOCIMIENTO E INSCRIPCION, MODIFICACION Y BAJA EN EL REGISTRO VENTA DIRECTA DE PRODUCTOS LIGADOS A LA ACTIVIDAD AGRICOLA Y GANADERA (PRODUCTOS TRANSFORMADOS SIN RGSEAA)"/>
        <s v="SOLICITUD DE AUTORIZACION PARA RECIBIR FRUTAS Y HORTALIZAS PROCEDENTES DE RETIRADAS DEL MERCADO CON DESTINO A LA ALIMENTACION ANIMAL"/>
        <s v="SOLICITUD DE AUTORIZACION CONCENTRACION PARCELARIA CASTILLA-LA MANCHA."/>
        <s v="COMUNICACION DE EDICIONES DE CURSOS DE BIENESTAR ANIMAL, BIOSEGURIDAD, HIGIENE Y SANIDAD ANIMAL Y SUS MODIFICACIONES."/>
        <s v="EXPEDICION DEL CERTIFICADO DE COMPETENCIA, RENOVACION O DUPLICADO  EN MATERIA DE BIENESTAR ANIMAL, BIOSEGURIDAD, HIGIENE Y SANIDAD ANIMAL"/>
        <s v="SOLICITUD DE ACOGIMIENTO A LA EXCEPCION DEL ARTICULO 4.4.A DEL REAL DECRETO 306/2020, DE 11 DE FEBRERO, RELATIVA AL CERTIFICADO DE COMPETENCIA EN GANADO PORCINO"/>
        <s v="CATEGORIZACION DE ESPACIOS."/>
        <s v="INFORMACION RELATIVA A LA TRAZABILIDAD DE MATERIAS PRIMAS Y PRODUCTOS TERMINADOS A DESTILERIAS"/>
        <s v="AUTORIZACION DEL USO DE LA MARCA DE GARANTIA  CAMPO Y ALMA ."/>
        <s v="COMUNICACION ACTIVIDAD OPERADORES PRODUCCION ECOLOGICA"/>
        <s v="SOLICITUD DE AUTORIZACION EXCEPCIONAL PARA LA QUEMA DE RESIDUOS AGRICOLAS POR MOTIVOS FITOSANITARIOS"/>
        <s v="DECLARACION DEL CENSO DE ANIMALES DE NUCLEOS ZOOLOGICOS"/>
        <s v="DECLARACION DEL CENSO DE ANIMALES DE LA EXPLOTACION GANADERA"/>
        <s v="OBTENCION ELEMENTOS DE IDENTIFICACION ANIMAL"/>
        <s v="OBTENCION DUPLICADOS DE ELEMENTOS DE IDENTIFICACION ANIMAL"/>
        <s v="COMUNICACION DE INICIO DE ACTIVIDAD DE ITEAF AUTORIZADA FUERA DE CASTILLA  LA MANCHA"/>
        <s v="COMUNICACION DE CAMBIOS EN LAS CONDICIONES Y/O REQUISITOS DE LA AUTORIZACION DE ITEAF"/>
        <s v="COMUNICACION DEL CALENDARIO DE INSPECCIONES A REALIZAR POR LA ITEAF."/>
        <s v="AUTORIZACION PARA LA CONVERSION DE DERECHOS DE PLANTACION EN AUTORIZACION DE PLANTACION DE VIÑEDO"/>
        <s v="AUTORIZACION DE REPLANTACION DE PARCELAS DE VIÑEDO"/>
        <s v="TRANSFERENCIA DE AUTORIZACIONES DE PLANTACION Y/O DERECHOS DE PLANTACION"/>
        <s v="MODIFICACION DE LA LOCALIZACION DE LA AUTORIZACION DE PLANTACION DE PARCELAS DE VIÑEDO"/>
        <s v="REPOSICION DE MARRAS EN PARCELAS DE VIÑEDO"/>
        <s v="AUTORIZACION PARA REPLANTACION ANTICIPADA DE PARCELAS DE VIÑEDO"/>
        <s v="COMUNICACION DE PLANTACION DE VIÑEDO"/>
        <s v="COMUNICACION DE PLANTACIONES PARA AUTOCONSUMO"/>
        <s v="COMUNICACION DE PLANTACIONES EXPERIMENTALES"/>
        <s v="COMUNICACION DE ARRANQUE DE VIÑEDO"/>
        <s v="AUTORIZACION DE ARRANQUE DE VIÑEDO"/>
        <s v="COMUNICACION DE VARIACIONES EN LA DESTILERIA AUTORIZADA PARA SOLICITAR AYUDAS A LA DESTILACION DE SUBPRODUCTOS DE LA VINIFICACION"/>
        <s v="COMUNICACION DE LA CONTINUACION O SUSPENSION  DE LA ACTIVIDAD PARA SOLICITAR LAS AYUDAS A LA DESTILACION"/>
        <s v="SOLICITUD DE AUTORIZACION DE LOS DESTILADORES PARA SOLICITAR AYUDAS A LA DESTILACION DE SUBPRODUCTOS DE LA VINIFICACION"/>
        <s v="PRESENTACION CERTIFICADOS DE ENTREGAS DE SUBPRODUCTOS"/>
        <s v="PRESENTACION DE DOCUMENTACION DE MATERIAS PRIMAS DESTILADAS Y ALCOHOL OBTENIDO"/>
        <s v="SOLICITUD DE CESE COMO LABORATORIO AUTORIZADO PARA REALIZAR CONTROLES ANALITICOS DE SALMONELLA EN EL MARCO DE LOS PROGRAMAS DE AUTOCONTROL"/>
        <s v="SOLICITUD DE MODIFICACION DE DATOS EN LOS LABORATORIOS AUTORIZADOS PARA REALIZAR CONTROLES ANALITICOS DE SALMONELLA EN EL MARCO DE LOS PROGRAMAS DE AUTOCONTROL"/>
        <s v="SOLICITUD DE REGISTRO DE LABORATORIOS PARA REALIZAR CONTROLES ANALITICOS DE SALMONELLA EN EL MARCO DE LOS PROGRAMAS DE AUTOCONTROL"/>
        <s v="COMUNICACION PREVIA A LA GESTION DE RESTOS CINEGETICOS."/>
        <s v="COMUNICACION PREVIA AL FUNCIONAMIENTO DE UN PUNTO DE DEPOSITO DE RESTOS CINEGETICOS."/>
        <s v="RECONOCIMIENTO Y REGISTRO DE ORGANIZACIONES INTERPROFESIONALES AGROALIMENTARIAS"/>
        <s v="RECONOCIMIENTO Y REGISTRO DE AGRUPACIONES DE PRODUCTORES DEL SECTOR VITIVINICOLA"/>
        <s v="TRAMITES ADMINISTRATIVOS DEL REGISTRO DE SOCIEDADES AGRARIAS DE TRANSFORMACION (S.A.T)"/>
        <s v="REGISTRO DE ENTIDADES DE CONTROL DE PRODUCTOS AGROALIMENTARIOS DE CASTILLA-LA MANCHA"/>
        <s v="REGISTRO DE INDUSTRIAS AGROALIMENTARIAS"/>
        <s v="REGISTRO GENERAL DE ESTABLECIMIENTOS EN EL SECTOR DE ALIMENTACION ANIMAL"/>
        <s v="SOLICITUD ALTA/MODIFICACION EN EL REGISTRO DE EXPLOTACIONES GANADERAS Y NUCLEOS ZOOLOGICOS"/>
        <s v="AUTORIZACION E INSCRIPCION EN EL REGISTRO DE EMPRESAS TRANSPORTISTAS, ASI COMO CONTENEDORES Y MEDIOS DE TRANSPORTE DE ANIMALES VIVOS"/>
        <s v="REGISTRO DE CENTROS DE LIMPIEZA Y DESINFECCION DE VEHICULOS DESTINADOS AL TRANSPORTE DE GANADO."/>
        <s v="SOLICITUD DE AUTORIZACION PARA LA UTILIZACION DE LOS REGISTROS INFORMATIZADOS QUE SE HAN DE LLEVAR EN EL SECTOR VITIVINICOLA"/>
        <s v="INSCRIPCION ALTA/BAJA/EMISION DE DUPLICADOS EN EL REGISTRO OFICIAL DE MAQUINARIA AGRICOLA"/>
        <s v="SOLICITUD DE INSCRIPCION EN EL REGISTRO OFICIAL DE PRODUCTORES Y OPERADORES DE MEDIOS DE DEFENSA FITOSANITARIOS"/>
        <s v="REGISTRO DE TITULARIDAD COMPARTIDA DE EXPLOTACIONES AGRARIAS DE CASTILLA LA MANCHA"/>
        <s v="ACTUALIZACION DE DATOS DEL REGISTRO VITICOLA"/>
        <s v="SOLICITUD DE AUTORIZACION DE SANDACH PARA ALIMENTACION DE NECROFAGAS EN MULADARES O COMEDEROS Y DE EXPLOTACIONES GANADERAS"/>
        <s v="REGISTRO DE MERCADOS AMBULANTES (MERCADILLOS) DE AMBITO MUNICIPAL PARA LA VENTA DE ANIMALES"/>
        <s v="SOLICITUD DE RECONOCIMIENTO E INSCRIPCION, MODIFICACION Y BAJA EN EL REGISTRO DE ENTIDADES ASOCIATIVAS PRIORITARIAS DE INTERES REGIONAL DE CASTILLA-LA MANCHA EAPIR"/>
        <s v="INSCRIPCION, MODIFICACION Y BAJA EN EL REGISTRO DE PRIMEROS COMPRADORES DE LECHE DE VACA, OVEJA Y CABRA."/>
        <s v="ALTA, BAJA O MODIFICACION DEL REGISTRO GENERAL DE OPERADORES E INSTALACIONES DEL SECTOR VITIVINICOLA (REOVI)"/>
        <s v="SOLICITUD DE INSCRIPCION/BAJA/MODIFICACION DE EXPLOTACIONES APICOLAS"/>
        <s v="MODIFICACION/BAJA EN EL REGISTRO DE AGRUPACIONES DE PRODUCTORES DE PRODUCTOS AGROALIMENTARIOS (APPAA)"/>
        <s v="SOLICITUD DE INSCRIPCION EN EL CATALOGO DE EXPLOTACIONES PRIORITARIAS"/>
        <s v="SOLICITUD DE INCORPORACION AL PROGRAMA SANITARIO DE PREVENCION Y CONTROL DE LA RINOTRAQUEITIS INFECCIOSA BOVINA Y LA DIARREA VIRICA BOVINA"/>
        <s v="SOLICITUD DE REALIZACION DE PRUEBAS DE TUBERCULOSIS CAPRINA EN EXPLOTACIONES NO INCLUIDAS EN EL PROGRAMA NACIONAL DE  ERRADICACION DE TUBERCULOSIS BOVINA"/>
        <s v="SOLICITUD INACTIVACION/REACTIVACION/BAJA EN EL REGISTRO DE EXPLOTACIONES GANADERAS Y NUCLEOS ZOOLOGICOS"/>
        <s v="INSCRIPCION, MODIFICACION, BAJA Y CESE TEMPORAL EN EL CENSO DE INSTALACIONES Y OPERADORES OLEICOLAS"/>
        <s v="COMUNICACION DE MODIFICACIONES EN LOS DATOS O SOCIOS DE LAS ADSG Y SU REGISTRO REGIONAL"/>
        <s v="SOLICITUD DE PERDIDA DE LA CONDICION DE ADSG Y CANCELACION DE LA INSCRIPCION EN EL REGISTRO REGIONAL DE AGRUPACION DE DEFENSA SANITARIA GANADERA"/>
        <s v="REGISTRO OFICIAL DE OPERADORES PROFESIONALES DE VEGETALES EN CASTILLA-LA MANCHA"/>
        <s v="RECONOCIMIENTO COMO ORGANIZACION DE PRODUCTORES DE FRUTAS Y HORTALIZAS"/>
        <s v="SOLICITUD RECONOCIMIENTO LONJAS DE REFERENCIA"/>
        <s v="AUTORIZACION Y REGISTRO DE OPERADORES PRODUCTORES DE BROTES"/>
        <s v="INSCRIPCION/BAJA/DUPLICADO DE TANQUE DE LECHE"/>
        <s v="PRESENTACION DE EJERCICIOS ECONOMICOS ANUALES AL REGISTRO DE SOCIEDADES AGRARIAS DE TRANSFORMACION (S.A.T.)"/>
        <s v="SOLICITUD DE INSCRIPCION EN EL REGISTRO DE EMBOTELLADORES Y ENVASADORES DE VINO DE CASTILLA-LA MANCHA"/>
        <s v="SOLICITUD DE MODIFICACION EN EL REGISTRO DE EMBOTELLADORES Y ENVASADORES DE VINO DE CASTILLA-LA MANCHA."/>
        <s v="RECONOCIMIENTO E INSCRIPCION EN EL REGISTRO DE AGRUPACIONES DE PRODUCTORES DE PRODUCTOS AGROALIMENTARIOS (APPAA)"/>
        <s v="MODIFICACION Y/O BAJA EN EL REGISTRO DE AGRUPACIONES DE PRODUCTORES DE PRODUCTOS AGROALIMENTARIOS (APPAA)"/>
        <s v="COMUNICACION MANTENIMIENTO CONDICION DE AGRUPACION DE PRODUCTORES DE PRODUCTOS AGROALIMENTARIAS"/>
        <s v="COMUNICACION DE ANIMALES PRESENTES EN LA EXPLOTACION."/>
        <s v="SOLICITUD DE INCORPORACION AL PROGRAMA SANITARIO DE CONTROL DE AGALAXIA CONTAGIOSA."/>
        <s v="SOLICITUD DE AYUDA A LAS ADSG PARA LA EJECUCION DE LOS PROGRAMAS NACIONALES DE ERRADICACION DE ENFERMEDADES ANIMALES (PNEEA) REGULADAS POR EL CAPITULO III DE LA ORDEN 29/2018"/>
        <s v="AYUDAS A LAS ORGANIZACIONES PROFESIONALES AGRARIAS Y A LAS ENTIDADES ASOCIATIVAS SIN ANIMO DE LUCRO REPRESENTATIVAS DE LAS COOPERATIVAS AGRARIAS DE CASTILLA-LA MANCHA"/>
        <s v="AYUDAS EN REGIMEN DE MINIMIS PARA PALIAR LOS DAÑOS PRODUCIDOS POR AVES NECROFAGAS AL GANADO DOMESTICO EN CASTILLA-LA MANCHA."/>
        <s v="CONCURSO OFICIAL GRAN SELECCION CAMPO Y ALMA"/>
        <s v="PRESENTACION JUSTIFICANTES DEL DESTINO DEL ALCOHOL"/>
        <s v="PAGO POR ANTICIPO"/>
        <s v="AYUDAS EN REGIMEN DE MINIMIS PARA PALIAR LOS DAÑOS RELACIONADOS CON ATAQUES DE LOBO IBERICO (CANIS LUPUS SIGNATUS) AL GANADO DOMESTICO EN CASTILLA-LA MANCHA"/>
        <s v="AYUDA  PARA LA PARTICIPACION EN LA SELECCION DE GRUPOS DE ACCION LOCAL Y ESTRATEGIAS DE DESARROLLO LOCAL"/>
        <s v="MODIFICACION SOLICITUD AYUDA A LA MODERNIZACION Y TRANSFORMACION DE REGADIOS"/>
        <s v="AYUDAS PARA EL SUMINISTRO Y DISTRIBUCION DE FRUTAS Y HORTALIZAS, Y LECHE Y PRODUCTOS LACTEOS  EN LOS CENTROS ESCOLARES DE CASTILLA-LA MANCHA PARA EL CURSO ESCOLAR 2019-2020"/>
        <s v="SOLICITUD DE PAGO DE LAS AYUDAS PARA EL SUMINISTRO Y DISTRIBUCION DE FRUTAS Y HORTALIZAS, Y LECHE Y PRODUCTOS LACTEOS EN LOS CENTROS ESCOLARES DE CASTILLA-LA MANCHA PARA EL CURSO ESCOLAR 2019-2020"/>
        <s v="COMUNICACION DE CAMBIO DE TITULARIDAD Y ACEPTACION EXPRESA POR EL NUEVO TITULAR DE LAS CONDICIONES DE LA AYUDAS DE PAGOS COMPENSATORIOS POR ZONAS AGRICOLAS DE LA RED NATURA 2000"/>
        <s v="AYUDAS EN ESPECIE CONSISTENTES EN LA EJECUCION DE ACTUACIONES DE MEJORA Y ACONDICIONAMIENTO DE CAMINOS RURALES"/>
        <s v="COMUNICACION DE CAMBIO DE TITULARIDAD Y ACEPTACION EXPRESA POR EL NUEVO TITULAR DE LAS CONDICIONES DE LA AYUDAS DE PAGOS COMPENSATORIOS POR ZONAS AGRICOLAS DE LA RN 2000 1ª AMPLIACION ZONA A"/>
        <s v="SOLICITUD DE INDEMNIZACION POR SACRIFICIO OBLIGATORIO DE ANIMALES POSITIVOS A ENFERMEDADES OBJETO DE PROGRAMAS DE ERRADICACION"/>
        <s v="CONCURSO MEJOR EMPRESA ECOLOGICA"/>
        <s v="SOLICITUD DE MODIFICACION DE PROYECTOS PILOTO INNOVADORES EN LA PRODUCCION PRIMARIA AGRICOLA Y GANADERA."/>
        <s v="SOLICITUD DE MODIFICACION DE LA RESOLUCION DE CONCESION DE AYUDA DESTINADA A PROMOVER LA COOPERACION INNOVADORA EN EL SECTOR AGROALIMENTARIO."/>
        <s v="SOLICITUD  DE MODIFICACION DE LAS AYUDAS PARA LA COOPERACION ENTRE LOS AGENTES DE LA CADENA DE SUMINISTRO PARA LA CREACION Y EL DESARROLLO DE CADENAS DE DISTRIBUCION CORTAS Y MERCADOS LOCALES."/>
        <s v="JUSTIFICACION DE  SUBVENCION A LA RED CASTELLANO MANCHEGA DE DESARROLLO RURAL"/>
        <s v="ASIGNACION FINANCIERA EXTRAORDINARIA PARA GAL POR COVID-19"/>
        <s v="SUBVENCION CERDO IBERICO AÑO 2020"/>
        <s v="SOLICITUD DE PAGO DE LA AYUDA PARA EL ALMACENAMIENTO PRIVADO DE QUESO."/>
        <s v="AYUDAS AL SECTOR DE LA FLOR CORTADA Y PLANTA ORNAMENTAL"/>
        <s v="SOLICITUD DE AYUDA DEL PROGRAMA OPERATIVO"/>
        <s v="CONCURSO MEJOR EMPRESA DE VENTA DIRECTA"/>
        <s v="AYUDAS PARA LA REPOBLACION EN EXPLOTACIONES DE GANADO BOVINO, OVINO Y CAPRINO EN CASO DE VACIADO SANITARIO"/>
        <s v="FORMACION OBLIGATORIA PARA EMISORES DEL PASAPORTE FITOSANITARIO"/>
        <s v="DECLARACION RESPONSABLE DEL CUMPLIMIENTO DE LOS REQUISITOS PARA LA CONCESION DE LA SUBVENCION A LOS TITULARES DE EXPLOTACIONES DE GANADO VACUNO DE LECHE CASTILLA-LA MANCHA"/>
        <s v="SOLICITUD DE AYUDA A LA INSTALACION DE PUNTOS DE DEPOSITO DE RESTOS CINEGETICOS EN CASTILLA-LA MANCHA REGULADAS POR LA ORDEN 154/2021."/>
        <s v="CONCURSO MEJOR EMPRESA DE MANIPULACION Y ELABORACION DE CARNE DE CAZA"/>
        <s v="AYUDAS BIOSEGURIDAD VIVEROS"/>
        <s v="PAGO AYUDA DIRECTA PARA LA FINANCIACION DE LAS OBRAS DE MODERNIZACION Y CONSOLIDACION DE LOS REGADIOS DE LA COMUNIDAD DE REGANTES BALAZOTE-LA HERRERA"/>
        <s v="PAGO AYUDA DIRECTA PARA LA FINANCIACION DE LAS OBRAS DE MODERNIZACION Y CONSOLIDACION DE LOS REGADIOS DE LA COMUNIDAD DE REGANTES ESTRECHO DE PEÑARROYA"/>
        <s v="ASISTENCIA A ACCIONES FORMATIVAS DE LA MEDIDA 1 DEL PDR 2014-2020 SUBMEDIDA 1.1"/>
        <s v="SOLICITUD DE AYUDAS ESTATALES DE MINIMIS DESTINADAS A LAS CENTRALES DE ACONDICIONAMIENTO DE FRUTAS AFECTADAS POR HELADAS ASOCIADAS A LA BORRASCA CIRIL"/>
        <s v="COMUNICACION DE LAS CUENTAS ANUALES RELATIVAS A LAS AYUDAS ESTATALES DE MINIMIS DESTINADAS A LAS CENTRALES DE ACONDICIONAMIENTO DE FRUTAS AFECTADAS POR HELADAS ASOCIADAS A LA BORRASCA CIRIL"/>
        <s v="SOLICITUD DE AYUDAS PARA LA REALIZACION DE CURSOS DE FORMACION, JORNADAS DE FORMACION Y BREVES ESTANCIAS O INTERCAMBIOS Y VISITAS"/>
        <s v="SOLICITUD DE PAGO DE LAS AYUDAS PARA LA REALIZACION DE CURSOS DE FORMACION, JORNADAS DE FORMACION Y BREVES ESTANCIAS O INTERCAMBIOS Y VISITAS"/>
        <s v="COMUNICACION DE INICIO DE LAS EDICIONES DE LAS ACTIVIDADES FORMATIVAS"/>
        <s v="MODIFICACION DE LA RESOLUCION DE CONCESION DE AYUDA A INVERSIONES EN TRANSFORMACION, COMERCIALIZACION O DESARROLLO DE PRODUCTOS AGRICOLAS Y AL FOMENTO DE LA CALIDAD AGROALIMENTARIA"/>
        <s v="SOLICITUD DE PAGO DE LAS AYUDAS A INVERSIONES EN TRANSFORMACION, COMERCIALIZACION O DESARROLLO DE PRODUCTOS AGRICOLAS Y AL FOMENTO DE LA CALIDAD AGROALIMENTARIA FOCAL 2018."/>
        <s v="ACEPTACION DE LA RESOLUCION DE CONCESION DE AYUDA A INVERSIONES EN TRANSFORMACION, COMERCIALIZACION O DESARROLLO DE PRODUCTOS AGRICOLAS Y AL FOMENTO DE LA CALIDAD AGROALIMENTARIA (FOCAL 2017)"/>
        <s v="AYUDAS A INVERSIONES EN TRANSFORMACION, COMERCIALIZACION O DESARROLLO DE PRODUCTOS AGRICOLAS Y AL FOMENTO DE LA CALIDAD AGROALIMENTARIA (FOCAL)"/>
        <s v="SOLICITUD DE PAGO DE LA AYUDA A LA CREACION DE EMPRESAS AGRARIAS PARA JOVENES Y A LAS INVERSIONES EN EXPLOTACIONES AGRICOLAS Y GANADERAS"/>
        <s v="SOLICITUD DE AYUDA A LA CREACION DE EMPRESAS AGRARIAS PARA JOVENES Y A LAS INVERSIONES EN EXPLOTACIONES AGRICOLAS Y GANADERAS."/>
        <s v="AYUDAS PARA MEJORAR LAS CONDICIONES DE PRODUCCION Y COMERCIALIZACION DE LA MIEL EN LA COMUNIDAD AUTONOMA DE CASTILLA-LA MANCHA"/>
        <s v="DOCUMENTACION JUSTIFICATIVA DE LAS AYUDAS PARA MEJORAR LAS CONDICIONES DE PRODUCCION Y COMERCIALIZACION DE LA MIEL EN LA COMUNIDAD AUTONOMA DE CASTILLA-LA MANCHA"/>
        <s v="AYUDAS PARA LA PROMOCION DE PRODUCTOS VINICOLAS EN TERCEROS PAISES"/>
        <s v="PEQUEÑA MODIFICACION DEL PROGRAMA DE PROMOCION DE PRODUCTOS VINICOLAS EN TERCEROS PAISES"/>
        <s v="COMUNICACION DE MISION INVERSA DE LA AYUDA A LA PROMOCION DEL VINO EN MERCADOS DE TERCEROS PAISES"/>
        <s v="ACEPTACION DE LA RESOLUCION  DE CONCESION DE LA AYUDA A LA PROMOCION DEL VINO EN MERCADOS DE TERCEROS PAISES"/>
        <s v="SOLICITUD DEL PAGO ANTICIPADO DE LA AYUDA A LA PROMOCION DEL VINO EN MERCADOS DE TERCEROS PAISES"/>
        <s v="MODIFICACION DEL PROGRAMA DE PROMOCION DE PRODUCTOS VINICOLAS EN TERCEROS PAISES"/>
        <s v="SOLICITUD DEL PAGO INTERMEDIO O FINAL DE LA AYUDA A LA PROMOCION DEL VINO EN MERCADOS DE TERCEROS PAISES"/>
        <s v="AYUDAS PARA FOMENTAR LA PRODUCCION Y COMERCIALIZACION DE PRODUCTOS AGROALIMENTARIOS DE CALIDAD DIFERENCIADA"/>
        <s v="SOLICITUD DEL PAGO DE LAS AYUDAS PARA FOMENTAR LA PRODUCCION Y COMERCIALIZACION DE PRODUCTOS AGROALIMENTARIOS DE  CALIDAD DIFERENCIADA"/>
        <s v="AYUDAS DE LA POLITICA AGRICOLA COMUN PARA EL AÑO 2022"/>
        <s v="CESIONES DE DERECHOS DE PAGO BASICO CAMPAÑA 2022"/>
        <s v="SOLICITUD DE PAGO DE LA AYUDA DESTINADA A PROMOVER LA COOPERACION INNOVADORA EN EL SECTOR AGROALIMENTARIO"/>
        <s v="SOLICITUD DE AYUDA DESTINADA A PROMOVER LA COOPERACION INNOVADORA EN EL SECTOR AGROALIMENTARIO"/>
        <s v="DOCUMENTACION JUSTIFICATIVA DE LAS SUBVENCIONES DESTINADAS AL FOMENTO DE RAZAS AUTOCTONAS ESPAÑOLAS"/>
        <s v="SOLICITUD DE SUBVENCIONES DESTINADAS AL FOMENTO DE LAS RAZAS AUTOCTONAS ESPAÑOLAS"/>
        <s v="SOLICITUD DE AYUDAS PARA ACCIONES DE CARACTER PREVENTIVO DESTINADAS A EVITAR DAÑOS OCASIONADOS POR EL LOBO IBERICO EN LA PROVINCIA DE GUADALAJARA"/>
        <s v="COMUNICACION DE CAMBIO DE TITULARIDAD Y ACEPTACION EXPRESA DE LAS CONDICIONES DE LAS AYUDAS PARA ACCIONES PREVENTIVAS DESTINADAS A EVITAR DAÑOS POR EL LOBO IBERICO EN LA PROVINCIA DE GUADALAJARA"/>
        <s v="SOLICITUD DE PAGO AYUDAS PARA ACCIONES DE CARACTER PREVENTIVO DESTINADAS A EVITAR DAÑOS OCASIONADOS POR EL LOBO IBERICO EN LA PROVINCIA DE GUADALAJARA"/>
        <s v="SOLICITUD DE ALTA DE LA DIRECCION TECNICA"/>
        <s v="SOLICITUD INDIVIDUAL VITICULTOR/A"/>
        <s v="SOLICITUD DE MODIFICACION A LOS PROYECTOS DE REESTRUCTURACION Y RECONVERSION DE VIÑEDO"/>
        <s v="RENUNCIA A LAS SOLICITUDES DE REESTRUCTURACION Y RECONVERSION DE VIÑEDO"/>
        <s v="PAGO DE AYUDAS A INVERSIONES DE DETERMINADAS INFRAESTRUCTURAS DEL SECTOR VITIVINICOLA DENTRO DEL PROGRAMA DE APOYO 2019-2023 (VINATI)"/>
        <s v="MODIFICACION DE UN PROYECTO DE INVERSION ACOGIDO A LAS AYUDAS EN INVERSIONES DE DETERMINADAS INFRAESTRUCTURAS DEL SECTOR VITIVINICOLA EN EL PROGRAMA DE APOYO 2019-2023 (VINATI)"/>
        <s v="ACEPTACION RESOLUCION DE AYUDAS A INVERSIONES DE DETERMINADAS INFRAESTRUCTURAS DEL SECTOR VITIVINICOLA DENTRO DEL PROGRAMA DE APOYO 2019-2023 (VINATI)"/>
        <s v="AYUDAS EN INVERSIONES DE DETERMINADAS INFRAESTRUCTURAS DEL SECTOR VITIVINICOLA DENTRO DEL PROGRAMA DE APOYO 2019-2023 (VINATI)."/>
        <s v="JUSTIFICACION DE LAS YUDAS PARA LA ASISTENCIA A LA FERIA AGROALIMENTARIA  WORLD OLIVE OIL EXHIBITION"/>
        <s v="AYUDAS PARA LA ASISTENCIA A LA FERIA AGROALIMENTARIA WORLD OLIVE OIL EXHIBITION"/>
        <s v="AYUDAS PARA LA ASISTENCIA A LA FERIA AGROALIMENTARIA FRUIT ATTRACTION"/>
        <s v="ACEPTACION RESOLUCION CONCESION DE AYUDA PARA LA ASISTENCIA A LA FERIA AGROALIMENTARIA FRUIT ATTRACTION"/>
        <s v="JUSTIFICACION DE LAS AYUDAS PARA LA ASISTENCIA A LA FERIA AGROALIMENTARIA ALIMENTARIA BARCELONA 2020"/>
        <s v="AYUDAS PARA LA ASISTENCIA A LA FERIA AGROALIMENTARIA ALIMENTARIA BARCELONA 2020."/>
        <s v="AYUDAS PARA LA ASISTENCIA A LA FERIA AGROALIMENTARIA  SALON GOURMETS ."/>
        <s v="JUSTIFICACION DE LAS AYUDAS PARA LA ASISTENCIA A LA FERIA AGROALIMENTARIA SALON GOURMETS"/>
        <s v="JUSTIFICACION DE LAS AYUDAS PARA LA ASISTENCIA A LA FERIA AGROALIMENTARIA FRUIT ATTRACTION"/>
        <s v="SOLICITUD DE AYUDA PREPARATORIA PARA LOS GRUPOS DE ACCION LOCAL QUE ELABORARAN EDLP EN EL PERIODO 2014/2020."/>
        <s v="SOLICITUD DE PAGO DE LA AYUDA PREPARATORIA PARA LOS GRUPOS DE ACCION LOCAL QUE ELABORARAN EDLP EN EL PERIODO 2014/2020."/>
        <s v="JUSTIFICACION DE LAS AYUDAS PARA LA ASISTENCIA A LA FERIA AGROALIMENTARIA MEAT ATTRACTION"/>
        <s v="AYUDAS PARA LA ASISTENCIA A LA FERIA AGROALIMENTARIA MEAT ATTRACTION"/>
        <s v="ACEPTACION RESOLUCION CONCESION DE AYUDA PARA LA ASISTENCIA A LA FERIA AGROALIMENTARIA MEAT ATTRACTION"/>
        <s v="PAGO DE LAS AYUDAS A LA CREACION DE AGRUPACIONES DE PRODUCTORES DE PRODUCTOS AGROALIMENTARIOS (APPAAS)"/>
        <s v="SOLICITUD DE MODIFICACION DEL PLAN EMPRESARIAL DE COMERCIALIZACION CONJUNTA DE LAS APPAA"/>
        <s v="AYUDA AL FOMENTO DE LA CREACION DE AGRUPACIONES DE PRODUCTORES DE PRODUCTOS AGROALIMENTARIOS (APPAA)"/>
        <s v="SOLICITUD DE MODIFICACION DE PROGRAMA OPERATIVO RELATIVA A ANUALIDAD NO COMENZADA"/>
        <s v="SOLICITUD DE PRESENTACION DE NUEVO PROGRAMA OPERATIVO"/>
        <s v="NOTIFICACIONES DE LAS ACCIONES DE LA MEDIDA DE PREVENCION Y GESTION DE CRISIS"/>
        <s v="SOLICITUD DE MODIFICACION DEL PROGRAMA OPERATIVO DURANTE LA ANUALIDAD EN CURSO"/>
        <s v="COMUNICACION EJECUCION ACCIONES MEDIOAMBIENTALES"/>
        <s v="AYUDAS A LA MODERNIZACION Y TRANSFORMACION DE REGADIOS"/>
        <s v="PAGO AYUDAS A LA MODERNIZACION Y TRANSFORMACION DE REGADIOS"/>
        <s v="PRESENTACION DOCUMENTACION DEL SALDO DE LA AYUDA A LA DESTILACION DE SUBPRODUCTOS"/>
        <s v="PRESENTACION SOLICITUDES DE AYUDA A LA DESTILACION DE SUBPRODUCTOS"/>
        <s v="MODIFICACION DE LA RESOLUCION DE LA AYUDA PARA ACCIONES DE CARACTER PREVENTIVO DESTINADAS A EVITAR DAÑOS OCASIONADOS POR EL LOBO IBERICO EN LA PROVINCIA DE GUADALAJARA."/>
        <s v="AMPLIACION DE PLAZO DE EJECUCION DE LAS AYUDAS PARA ACCIONES DE CARACTER PREVENTIVO DESTINADAS A EVITAR DAÑOS OCASIONADOS POR EL LOBO IBERICO EN LA PROVINCIA DE GUADALAJARA"/>
        <s v="PAGO DE AYUDAS DESTINADAS A PROMOVER LA COOPERACION INNOVADORA MEDIANTE GRUPOS OPERATIVOS Y REALIZACION DE PROYECTOS PILOTO."/>
        <s v="PAGO POR ANTICIPO."/>
        <s v="AYUDAS A LA COOPERACION INNOVADORA MEDIANTE LA CONSTITUCION DE GRUPOS OPERATIVOS DE INNOVACION Y LA REALIZACION DE PROYECTOS PILOTO INNOVADORES EN LA PRODUCCION PRIMARIA AGRICOLA Y GANADERA."/>
        <s v="COMUNICACION PREVIA DE LA FORMACION SANITARIA."/>
        <s v="SOLICITUD DE AYUDA A LAS ADSG PARA LA EJECUCION DE LOS PROGRAMAS ZOOTECNICO-SANITARIO REGULADAS POR EL CAPITULO II DE LA ORDEN 29/2018."/>
        <s v="JUSTIFICACION DE LOS GASTOS DE EJECUCION DE LAS ACTIVIDADES SUBVENCIONABLES"/>
        <s v="PRESENTACION DEL PARTE MENSUAL DE INCIDENCIAS CON LOS RESULTADOS DE LOS CONTROLES EFECTUADOS POR PARTE DE LAS AGRUPACIONES DE SANIDAD VEGETAL DE CASTILLA-LA MANCHA"/>
        <s v="SUBVENCIONES PARA LA PRESTACION DE SERVICIOS DE ASESORAMIENTO EN GESTION INTEGRADA DE PLAGAS POR PARTE DE LAS AGRUPACIONES DE SANIDAD VEGETAL EN CASTILLA-LA MANCHA"/>
        <s v="SOLICITUD DEL PAGO DE LAS AYUDAS PARA LA COOPERACION ENTRE LOS AGENTES DE LA CADENA DE SUMINISTRO PARA LA CREACION Y EL DESARROLLO DE CADENAS DE DISTRIBUCION CORTAS Y MERCADOS LOCALES."/>
        <s v="SOLICITUD  DE LAS AYUDAS PARA LA COOPERACION ENTRE LOS AGENTES DE LA CADENA DE SUMINISTRO PARA LA CREACION Y EL DESARROLLO DE CADENAS DE DISTRIBUCION CORTAS Y MERCADOS LOCALES"/>
        <s v="DOCUMENTACION JUSTIFICATIVA DE LAS AYUDAS PARA EL CONTROL DE RENDIMIENTO DE LAS HEMBRAS LECHERAS EN CASTILLA-LA MANCHA"/>
        <s v="SOLICITUD DE AYUDAS PARA EL CONTROL DE RENDIMIENTO DE LAS HEMBRAS LECHERAS EN CASTILLA-LA MANCHA"/>
        <s v="SOLICITUD DE AYUDAS PARA LA REFORESTACION Y CREACION DE SUPERFICIES FORESTALES."/>
        <s v="COMUNICACION DE CAMBIO DE TITULARIDAD Y ACEPTACION EXPRESA POR EL NUEVO TITULAR DE LAS CONDICIONES EN LAS QUE SE CONCEDIO LA AYUDA PARA LA FORESTACION Y CREACION DE SUPERFICIES FORESTALES."/>
        <s v="SOLICITUD DE PAGO DE LA AYUDA PARA LA REFORESTACION Y  CREACION DE SUPERFICIES FORESTALES."/>
        <s v="SOLICITUD DE MODIFICACION DE LA RESOLUCION DE LA AYUDA PARA LA REFORESTACION Y CREACION DE SUPERFICIES FORESTALES"/>
        <s v="SOLICITUD DE PRORROGA DE EJECUCION DE AYUDAS PARA LA REFORESTACION Y CREACION DE SUPERFICIES FORESTALES"/>
        <s v="SOLICITUD DE PAGO DE LOS SERVICIOS DE ASESORAMIENTO PRESTADOS"/>
        <s v="SOLICITUD DE AYUDA PARA LA PRESTACION DE SERVICIOS DE ASESORAMIENTO"/>
        <s v="SOLICITUD DE PAGO AYUDAS DESTINADAS A LA CONSERVACION, USO Y DESARROLLO SOSTENIBLE DE LOS RECURSOS GENETICOS GANADEROS EN CASTILLA-LA MANCHA"/>
        <s v="SOLICITUD DE AYUDAS DESTINADAS A LA CONSERVACION, USO Y DESARROLLO SOSTENIBLE DE LOS RECURSOS GENETICOS GANADEROS EN CASTILLA-LA MANCHA"/>
        <s v="SOLICITUD DE AYUDAS DESTINADAS A LA CONSERVACION DE RECURSOS AGRICOLAS AMENAZADOS DE EROSION GENETICA EN CASTILLA-LA MANCHA."/>
        <s v="LICITACION AYUDA PARA EL ALMACENAMIENTO DE ACEITE DE OLIVA"/>
        <s v="SOLICITUD DE PAGO DE LA AYUDA PARA EL ALMACENAMIENTO DE ACEITE DE OLIVA"/>
        <s v="AYUDAS PARA LA ASISTENCIA A LA FERIA AGROALIMENTARIA ORGANIC FOOD IBERIA"/>
        <s v="JUSTIFICACION DE LAS AYUDAS PARA LA ASISTENCIA A LA FERIA AGROALIMENTARIA ORGANIC FOOD IBERIA"/>
        <s v="AYUDA  COSECHA EN VERDE"/>
        <s v="COMUNICACION EJECUCION Y PAGO DE LA AYUDA COSECHA EN VERDE"/>
        <s v="SOLICITUD DE PAGO PARA LA REALIZACION DE ACTUACIONES DE EFICIENCIA ENERGETICA EN EXPLOTACIONES AGROPECUARIAS."/>
        <s v="SOLICITUD DE AYUDA PARA LA REALIZACION DE ACTUACIONES DE EFICIENCIA ENERGETICA EN EXPLOTACIONES AGROPECUARIAS."/>
        <s v="SOLICITUD DE PAGO DE AYUDA A INVERSIONES EN EXPLOTACIONES AGRICOLAS Y GANADERAS."/>
        <s v="SOLICITUD DE AYUDA A INVERSIONES EN EXPLOTACIONES AGRICOLAS Y GANADERAS."/>
        <s v="SOLICITUD AYUDA RECUPERACION DE POTENCIAL PRODUCTIVO DEL OLIVAR AFECTADO POR EL TEMPORAL FILOMENA EN CASTILLA-LA MANCHA"/>
        <s v="DECLARACION DE FIN DE ACTUACIONES"/>
        <s v="AYUDAS A INVERSIONES EN ACTIVIDADES DE TRANSFORMACION DE PRODUCTOS DE LA PESCA Y DE LA ACUICULTURA PARA EL PERIODO 2014-2020, FINANCIADAS POR EL FONDO EUROPEO MARITIMO Y DE LA PESCA (FEMP)"/>
        <s v="MODIFICACION DE LA RESOLUCION DE CONCESION DE AYUDAS A INVERSIONES EN ACTIVIDADES DE TRANSFORMACION DE PRODUCTOS DE LA PESCA Y DE LA ACUICULTURA PARA EL PERIODO 2014-2020, FINANCIADAS POR FEMP."/>
        <s v="ACEPTACION DE LA RESOLUCION DE CONCESION DE AYUDAS A INVERSIONES EN ACTIVIDADES DE TRANSFORMACION DE PRODUCTOS DE LA PESCA Y DE LA ACUICULTURA PARA EL PERIODO 2014-2020, FINANCIADAS POR FEMP"/>
        <s v="SOLICITUD DE PAGO DE LAS AYUDAS A INVERSIONES EN ACTIVIDADES DE TRANSFORMACION DE PRODUCTOS DE LA PESCA Y DE LA ACUICULTURA PARA EL PERIODO 2014-2020, FINANCIADAS POR EL FEMP"/>
        <s v="AYUDAS AL ALMACENAMIENTO PRIVADO DE CARNE DE PORCINO"/>
        <s v="SOLICITUD DE PAGO DE LA AYUDA PARA EL ALMACENAMIENTO DE CARNE DE PORCINO"/>
        <s v="SOLICITUD DE AYUDA PARA INVERSIONES EN MATERIA DE BIOSEGURIDAD PARA LA MEJORA O CONSTRUCCION DE CENTROS DE LIMPIEZA Y DESINFECCION DE VEHICULOS DE TRANSPORTE POR CARRETERA DE GANADO"/>
        <s v="SOLICITUD DE PAGO PARA INVERSIONES EN MATERIA DE BIOSEGURIDAD PARA LA MEJORA O CONSTRUCCION DE CENTROS DE LIMPIEZA Y DESINFECCION DE VEHICULOS DE TRANSPORTE POR CARRETERA DE GANADO"/>
        <s v="SOLICITUD AYUDAS A INVERSIONES PARA LA SOSTENIBILIDAD Y COMPETITIVIDAD DE EXPLOTACIONES AGRICOLAS Y GANADERAS:AGRICULTURA DE PRECISION, EFICIENCIA ENERGETICA, GESTION ESTIERCOLES E INVERNADEROS."/>
        <s v="INSCRIPCION EN LOS REGISTROS COMUNITARIOS DE LAS DENOMINACIONES DE ORIGEN PROTEGIDAS Y DE LAS INDICACIONES GEOGRAFICAS PROTEGIDAS."/>
        <s v="EXPEDICION O DUPLICADO DE CARNE DE MANIPULADOR DE PRODUCTOS FITOSANITARIOS"/>
        <s v="EXPEDICION DE RENOVACION DE CARNE DE MANIPULADOR DE PRODUCTOS FITOSANITARIOS"/>
        <s v="AUTORIZACION, CERTIFICACION Y CONTROL DE LOS VINOS VARIETALES"/>
        <s v="REGIMEN GENERAL DE CONTROL DE LOS VINOS CON DENOMINACION DE ORIGEN PROTEGIDA."/>
        <s v="RECONOCIMIENTO DE MARCAS COLECTIVAS Y DE GARANTIAS COMO FIGURAS DE CALIDAD AGROALIMENTARIA DE CASTILLA-LA MANCHA."/>
        <s v="DECLARACION DE LOS OPERADORES, CERTIFICACION Y CONTROL DE LOS VINOS CON IGP"/>
        <s v="CERTIFICACION DE SEMILLAS"/>
        <s v="CERTIFICACION DE PLANTAS DE VIVERO"/>
        <s v="CERTIFICADO PATRON DE MATERIALES FORESTALES DE REPRODUCCION DE ESPECIES REGULADAS"/>
        <s v="SOLICITUD DE CARTOGRAFIA"/>
        <s v="RECONOCIMIENTO OFICIAL DE LAS ORGANIZACIONES O ASOCIACIONES DE CRIADORES DE PERROS DE RAZA PURA."/>
        <s v="CONVALIDACION DE CARNE DE MANIPULADOR DE PRODUCTOS FITOSANITARIOS"/>
        <s v="SOLICITUD DE CERTIFICACION DE OPERACIONES Y PAGO DE LA AYUDA"/>
        <s v="CALIFICACION DE EXPLOTACIONES PARA MOVIMIENTOS INTRACOMUNITARIOS DE OVINOS Y CAPRINOS EN RELACION A LA TEMBLADERA CLASICA"/>
        <s v="AUTORIZACION COMO ENTIDAD DE FORMACION PARA LA IMPARTICION DE CURSOS DE BIENESTAR ANIMAL, BIOSEGURIDAD, HIGIENE Y SANIDAD ANIMAL."/>
        <s v="SOLICITUD DE CERTIFICADO SANITARIO PARA  INTERCAMBIOS INTRACOMUNITARIOS"/>
        <s v="SOLICITUD DE EMISION DE DECLARACION VETERINARIA RESPONSABLE (DVR) PARA LA EXPORTACION DE PRODUCTOS DE ORIGEN ANIMAL DESTINADOS AL CONSUMO HUMANO"/>
        <s v="INFORMES FITOSANITARIOS"/>
        <s v="DECLARACION RESPONSABLE INICIO DE ACTIVIDAD, BAJA Y MODIFICACION EN EL REGISTRO DE VENTA DIRECTA DE PRODUCTOS LIGADOS A LA ACTIVIDAD AGRARIA (P. PRIMARIOS) Y TRANSFORMADOS CON RGSEAA"/>
        <s v="CERTIFICADO DE EXCLUSION DE FINCAS EN CONCENTRACION PARCELARIA Y/O ZONA REGABLE"/>
        <s v="CERTIFICADO DE RENTA AGRARIA PARA LA OBTENCION DE FINANCIACION PREFERENTE"/>
        <s v="EXPEDICION DE CERTIFICADO DE CAPACITACION DEL PERSONAL QUE UTILICE ANIMALES CON FINES EXPERIMENTALES"/>
        <s v="SOLICITUD DE CERTIFICADOS/DOCUMENTACION DEL REGISTRO DE SOCIEDADES AGRARIAS DE TRANSFORMACION (S.A.T.)"/>
        <s v="SOLICITUD DE RECONOCIMIENTO E INSCRIPCION EN EL REGISTRO REGIONAL DE AGRUPACION DE DEFENSA SANITARIA GANADERA"/>
        <s v="SOLICITUD DE FUSION DE AGRUPACIONES DE DEFENSA SANITARIA GANADERA"/>
        <s v="SOLICITUD DE RECONOCIMIENTO Y REGISTRO DE LAS AGRUPACIONES DE SANIDAD VEGETAL EN CASTILLA-LA MANCHA"/>
        <s v="TRANSFERENCIA DE RECONOCIMIENTO DE LAS AGRUPACIONES DE SANIDAD VEGETAL EN CASTILLA-LA MANCHA"/>
        <s v="MODIFICACION DE RECONOCIMIENTO DE LAS AGRUPACIONES DE SANIDAD VEGETAL EN CASTILLA-LA MANCHA"/>
        <s v="DECLARACIONES DE COSECHA DE PARCELAS ILEGALES."/>
        <s v="DECLARACION DE NO VENDIMINA"/>
        <s v="CERTIFICADO DE DESTILACION"/>
        <s v="DECLARACION DE COSECHA DE UVA Y DECLARACION DE COSECHA POR PARCELA."/>
        <s v="RELACION DE PROVEEDORES Y JUSTIFICANTE DE COMPRA-VENTA DE PRODUCTOS VITIVINICOLAS"/>
        <s v="CALIFICACION SANITARIA DE LAS EXPLOTACIONES DE GANADO BOVINO, OVINO, CAPRINO Y PORCINO EN LA COMUNIDAD AUTONOMA DE CASTILLA-LA MANCHA."/>
        <s v="CALIFICACION SANITARIA FRENTE A LA BRUCELOSIS BOVINA EN EXPLOTACIONES DE ENGORDE EN LA COMUNIDAD AUTONOMA DE CASTILLA-LA MANCHA"/>
        <s v="CALIFICACION SANITARIA FRENTE A TUBERCULOSIS BOVINA EN EXPLOTACIONES DE ENGORDE EN LA COMUNIDAD AUTONOMA DE CASTILLA-LA MANCHA."/>
        <s v="CALIFICACION SANITARIA FRENTE A BRUCELOSIS OVINA/CAPRINA EN EXPLOTACIONES DE ENGORDE EN LA COMUNIDAD AUTONOMA DE CASTILLA-LA MANCHA."/>
        <s v="DOCUMENTO DE ACOMPAÑAMIENTO PRODUCTOS VITIVINICOLAS."/>
        <s v="SOLICITUD ALTA DE LA TASA EN GELIBO WEB"/>
        <s v="INFORME PREVIO DE SUBVENCIONALIDAD LEADER 2014/2020"/>
        <s v="DECLARACION DE ACCIONES"/>
        <s v="DECLARACION DE PLANTACION"/>
        <s v="PRESTACION DEL SERVICIO ANALITICO POR EL LABORATORIO REGIONAL AGROALIMENTARIO Y AMBIENTAL DE CASTILLA-LA MANCHA."/>
        <s v="PROCEDIMIENTO DE RESPONSABILIDAD PATRIMONIAL CONSEJERIA DE AGRICULTURA, AGUA Y DESARROLLO RURAL"/>
        <s v="SELECCION DE ENTIDADES COLABORADORAS PARA LA GESTION DEL POTENCIAL VITICOLA."/>
        <s v="RECONOCIMIENTO DE ENTIDADES AGRARIAS DE COLABORACION EN EL AMBITO DE LA SOLICITUD UNICA Y EN EL AMBITO DE AYUDAS A LA CREACION E INVERSION EN EXPLOTACIONES AGRARIAS"/>
        <s v="PROVISION, POR EL PROCEDIMIENTO DE LIBRE DESIGNACION,  DE PUESTOS DE TRABAJO VACANTES EN LA ADMINISTRACION DE LA JUNTA DE COMUNIDADES DE CASTILLA-LA MANCHA."/>
        <s v="PROVISION, MEDIANTE CONCURSO SINGULARIZADO DE MERITOS (CSM AGADR 2/2022, DE PUESTOS DE TRABAJO VACANTES EN LA ADMINISTRACION DE LA JUNTA DE COMUNIDADES DE CASTILLA-LA MANCHA"/>
        <s v="SELECCION DE LAS OPERADORAS ENCARGADAS DEL SERVICIO DE RETIRADA Y DESTRUCCION DE LOS ANIMALES MUERTOS EN LAS EXPLOTACIONES GANADERAS DENTRO DEL MARCO DEL SEGURO AGRARIO"/>
        <s v="CONVOCATORIA CONTRATACION 2 PLAZAS DE DOCTORES PARA PROYECTOS DE  INVESTIGACION EN EL IVICAM DE TOMELLOSO (CR) Y EL CIAPA DE MARCHAMALO (GU)"/>
        <s v="PROVISION, POR EL PROCEDIMIENTO DE LIBRE DESIGNACION (LD.IRIAF.L1/2021), DE UN PUESTO DE TRABAJO DE LA CATEGORIA DE CONDUCTOR/A RESERVADO A PERSONAL LABORAL."/>
        <s v="PROVISION, MEDIANTE CONCURSO SINGULARIZADO DE MERITOS (CSM AAD 1/2022, DE TRES PUESTOS DE TRABAJO VACANTE EN LA ADMINISTRACION DE LA JUNTA DE COMUNIDADES DE CASTILLA-LA MANCHA"/>
        <s v="SUMINISTRO DE VARETAS DE MATERIAL INICIAL DE PISTACHERO."/>
        <s v="REGULACION DE USO DE LOS ALBERGUES Y CAMPAMENTOS PERTENECIENTES A LA RED DE ALBERGUES JUVENILES DE CASTILLA-LA MANCHA"/>
        <s v="AUTORIZACION DE APERTURA Y FUNCIONAMIENTO DE ESCUELAS DE MUSICA Y DANZA E INSRIPCION EN EL REGISTRO DE CENTROS DOCENTES DE CASTILLA-LA MANCHA"/>
        <s v="AUTORIZACION DE APERTURA Y FUNCIONAMIENTO DE LOS CENTROS PRIVADOS QUE IMPARTAN LAS ENSEÑANZAS DE TECNICOS DEPORTIVOS EN LA COMUNIDAD AUTONOMA DE CASTILLA-LA MANCHA"/>
        <s v="AUTORIZACION DE APERTURA Y FUNCIONAMIENTO DE CENTROS DOCENTES E INSCRIPCION EN EL REGISTRO DE CENTROS DOCENTES DE CASTILLA-LA MANCHA (VUDS)"/>
        <s v="PROCEDIMIENTO PARA PERMITIR LA SIMULTANEIDAD DE ESTUDIOS NO UNIVERSITARIOS EN C-LM"/>
        <s v="APERTURA Y FUNCIONAMIENTO DEL SERVICIO DE COMEDOR ESCOLAR EN  CENTROS PUBLICOS DE EDUCACION INFANTIL, PRIMARIA, EDUCACION ESPECIAL Y NO UNIVERSITARIOS CON SERVICIO DE RESIDENCIA"/>
        <s v="RECONOCIMIENTO OFICIAL DE ALBERGUES JUVENILES"/>
        <s v="AUTORIZACION DE INTERVENCIONES EN BIENES INMUEBLES DEL PATRIMONIO CULTURAL DE CASTILLA - LA MANCHA."/>
        <s v="AUTORIZACION DE PROYECTOS DE FORMACION PROFESIONAL DUAL."/>
        <s v="PROCEDIMIENTO DE INCORPORACION, MODIFICACION, ABANDONO Y CONTINUIDAD DE PROYECTOS BILINGUES Y PLURILINGUES EN CENTROS EDUCATIVOS NO UNIVERSITARIOS SOSTENIDOS CON FONDOS PUBLICOS DE CLM"/>
        <s v="SOLICITUD PROGRAMA BACHIBAC"/>
        <s v="CONVOCATORIA PARA LA INCORPORACION A LA RED DE CENTROS COMUNIDADES DE APRENDIZAJE, RECONOCIMIENTO Y CONTINUIDAD."/>
        <s v="SOLICITUD DE IMPLANTACION DE UNA SEGUNDA LENGUA EXTRANJERA EN LOS CENTROS DE EDUCACION INFANTIL Y PRIMARIA SOSTENIDOS CON FONDOS PUBLICOS DE CASTILLA-LA MANCHA."/>
        <s v="EXPEDICION DE LOS TITULOS ACADEMICOS Y DE LOS SUPLEMENTOS EUROPEOS AL TITULO DE LAS ENSEÑANZAS ESTABLECIDAS EN LA LOE."/>
        <s v="PROCEDIMIENTO DE SOLICITUD DE PARTICIPACION EN EL DESARROLLO DEL PLAN DE IGUALDAD Y PREVENCION DE LA VIOLENCIA DE GENERO. CURSO 2021/22."/>
        <s v="JUSTIFICACION DEL CENTRO EDUCATIVO DEL DESARROLLO DEL PLAN DE IGUALDAD Y PREVENCION DE LA VIOLENCIA DE GENERO."/>
        <s v="REGISTRO CENTRAL DE ASOCIACIONES DE ALUMNOS Y ALUMNAS DE CENTROS DOCENTES NO UNIVERSITARIOS DE CASTILLA-LA MANCHA"/>
        <s v="REGISTRO CENTRAL DE ASOCIACIONES DE PADRES Y MADRES DE ALUMNOS DE CENTROS DOCENTES NO UNIVERSITARIOS DE CASTILLA-LA MANCHA"/>
        <s v="REGISTRO DE ENTIDADES DEPORTIVAS"/>
        <s v="REGISTRO DE MATERIALES CURRICULARES."/>
        <s v="PRESENTACION DE PROPUESTAS DE ESPECTACULOS PARA LA FERIA DE LAS ARTES ESCENICAS Y MUSICALES DE CASTILLA-LA MANCHA."/>
        <s v="PRESENTACION DE PROPUESTAS DE ESPECTACULOS A LA RED DE ARTES ESCENICAS Y MUSICA DE CASTILLA-LA MANCHA"/>
        <s v="REGISTRO DE LA PROPIEDAD INTELECTUAL"/>
        <s v="DEPOSITO LEGAL"/>
        <s v="ADHESION DE ENTIDADES PROGRAMADORAS A LA RED DE ARTES ESCENICAS Y MUSICALES DE CASTILLA-LA MANCHA."/>
        <s v="CATALOGACION DE PUESTOS DE TRABAJO Y CENTROS DOCENTES PUBLICOS NO UNIVERSITARIOS COMO DE ESPECIAL DIFICULTAD POR LA CONSEJERIA DE EDUCACION, CULTURA Y DEPORTES."/>
        <s v="CREACION DE ACADEMIAS CIENTIFICAS, ARTISTICAS Y LITERARIAS DE LA COMUNIDAD AUTONOMA DE CASTILLA-LA MANCHA."/>
        <s v="INSCRIPCION EN EL REGISTRO DE ACADEMIAS DE CASTILLA-LA MANCHA"/>
        <s v="ALTA COMO USUARIO COLECTIVO DE LA RED DE BIBLIOTECAS PUBLICAS DE CASTILLA-LA MANCHA"/>
        <s v="ALTA COMO PERSONA USUARIA DE LA RED DE BIBLIOTECAS PUBLICAS DE CASTILLA-LA MANCHA (TARJETA PERSONAL)"/>
        <s v="PRESENTACION DE PROPUESTAS DE ESPECTACULOS PARA EL PROGRAMA  CASTILLA-LA MANCHA ACTUA ."/>
        <s v="RECONOCIMIENTO DE CORRESPONSALES JUVENILES"/>
        <s v="RECONOCIMIENTO DE CENTROS Y PUNTOS DE INFORMACION JUVENIL"/>
        <s v="MATRICULACION DE ALUMNADO EN CENTROS DOCENTES PUBLICOS Y PRIVADOS CONCERTADOS, 2º CICLO E. INFANTIL, E. PRIMARIA."/>
        <s v="MATRICULACION DE ALUMNADO EN CENTROS DOCENTES PUBLICOS Y PRIVADOS CONCERTADOS, ESO Y BACHILLERATO."/>
        <s v="CONVOCATORIA DE PLAZAS Y AYUDAS CURSOS DE IDIOMAS EN EL EXTRANJERO."/>
        <s v="AYUDAS INDIVIDUALES DE TRANSPORTE ESCOLAR EN LOS CENTROS DOCENTES PUBLICOS NO UNIVERSITARIOS DE CASTILLA-LA MANCHA"/>
        <s v="PREMIOS EXTRAORDINARIOS DE BACHILLERATO DE LA COMUNIDAD AUTONOMA DE CASTILLA-LA MANCHA.."/>
        <s v="RECURSOS ADICIONALES PARA ALUMNADO CON NECESIDADES ESPECIFICAS DE APOYO EDUCATIVO EN CENTROS PRIVADOS-CONCERTADOS DE CASTILLA-LA MANCHA COMO COMPLEMENTO DEL CONCIERTO EDUCATIVO."/>
        <s v="PREMIOS Y DISTINCIONES AL MERITO DEPORTIVO DE CASTILLA-LA MANCHA"/>
        <s v="ADMISION EN RESIDENCIAS UNIVERSITARIAS DE CASTILLA-LA MANCHA"/>
        <s v="SUBVENCIONES PARA ADQUISICIONES BIBLIOGRAFICAS, PUBLICACIONES PERIODICAS Y MULTIMEDIA PARA LAS BIBLIOTECAS PUBLICAS MUNICIPALES DE CASTILLA-LA MANCHA"/>
        <s v="SUBVENCIONES PARA LA DOTACION Y MEJORA DE EQUIPAMIENTO DE BIBLIOTECAS MUNICIPALES DE CASTILLA-LA MANCHA"/>
        <s v="SUBVENCIONES PARA EL MANTENIMIENTO DE CONTRATOS DE BIBLIOTECARIOS MUNICIPALES POR ENTIDADES LOCALES DE CASTILLA-LA MANCHA"/>
        <s v="AYUDAS PARA REALIZAR CURSOS DE FORMACION LINGUISTICA Y/O METODOLOGICA FUERA DE ESPAÑA PARA EL PROFESORADO DE CENTROS PUBLICOS DE TITULARIDAD DE LA JCCM"/>
        <s v="CONVOCATORIA DE SUBVENCIONES PARA EL MANTENIMIENTO DE CENTROS DE EDUCACION INFANTIL"/>
        <s v="CONVOCATORIA DE SUBVENCIONES PARA EL MANTENIMIENTO DE ESCUELAS INFANTILES"/>
        <s v="CONCESION DE PREMIOS EN METALICO POR EL HALLAZGO DE OBJETOS Y RESTOS ARQUEOLOGICOS."/>
        <s v="CONVOCATORIA DE PLAZAS DE ESTANCIA EN RESIDENCIAS ESCOLARES DE CASTILLA-LA MANCHA."/>
        <s v="SUBVENCIONES PARA LA ADQUISICION DE MATERIALES CURRICULARES PARA ALUMNADO EBO MATRICULADO EN CENTROS DE EDUCACION ESPECIAL PRIVADOS CONCERTADOS DE CASTILLA-LA MANCHA"/>
        <s v="BECAS DE FORMACION A LOS ALUMNOS QUE PARTICIPEN EN LOS PROYECTOS DE FORMACION PROFESIONAL DUAL EN CASTILLA-LA MANCHA, AUTORIZADOS DURANTE EL CURSO 2019-2020"/>
        <s v="SUBVENCIONES PARA LA FINANCIACION DE PROYECTOS DE INVESTIGACION DEL PATRIMONIO ARQUEOLOGICO Y PALEONTOLOGICO DE CASTILLA - LA MANCHA"/>
        <s v="PREMIOS EXTRAORDINARIOS DE ENSEÑANZAS ARTISTICAS PROFESIONALES DE LA COMUNIDAD AUTONOMA DE CASTILLA-LA MANCHA."/>
        <s v=".PREMIOS EXTRAORDINARIOS DE EDUCACION SECUNDARIA OBLIGATORIA DE LA COMUNIDAD AUTONOMA DE CASTILLA-LA MANCHA."/>
        <s v="AYUDAS PARA LA CONTRATACION DE DOCTORES EN CENTROS PUBLICOS DE INVESTIGACION Y  EMPRESAS, DENTRO DE LAS MEDIDAS PARA EL RETORNO Y LA RETENCION DEL TALENTO, COFINANCIADAS POR LA JCCM Y EL FSE +"/>
        <s v="AYUDAS PARA REALIZACION DE PROYECTOS DE INVESTIGACION CIENTIFICA Y TRANSFERENCIA DE TECNOLOGIA"/>
        <s v="AYUDAS DE FORMACION A LOS ALUMNOS QUE PARTICIPEN EN EL SISTEMA  NACIONAL DE G. JUVENIL EN CUALQUIERA DE LAS ENSEÑANZAS DE LA OFERTA EDUCATIVA DE LA CONSEJERIA DE EDUCACION, CULTURA Y DEPORTES"/>
        <s v="PLAZAS DE BECARIOS COLABORADORES EN LA RED DE RESIDENCIAS ESCOLARES PUBLICAS DE CASTILLA-LA MANCHA"/>
        <s v="CONVOCATORIA DEL PROCEDIMIENTO PARA LA SELECCION DE CENTROS  EDUCATIVOS PARTICIPANTES EN UNA ESTANCIA DE INMERSION EN INGLES EN EL CENTRO RURAL DE INNOVACION EDUCATIVA DE CUENCA (CRIEC)."/>
        <s v="CONVOCATORIA DE SUBVENCIONES DIRIGIDAS A FINANCIAR LAS ACTIVIDADES EDUCATIVAS DE LAS FEDERACIONES Y CONFEDERACIONES DE ASOCIACIONES DE MADRES Y PADRES DE ALUMNOS"/>
        <s v="AYUDA PARA LA FORMACION DE PERSONAL INVESTIGADOR COFINANCIADA POR EL FONDO SOCIAL EUROPEO"/>
        <s v="ESPACIO JOVEN SAN SERVANDO"/>
        <s v="CONVOCATORIA DE PREMIOS A PROYECTOS DE INNOVACION TECNOLOGICA Y EDUCATIVA EN FORMACION PROFESIONAL"/>
        <s v="SUBVENCIONES PARA EL DESARROLLO DE PROYECTOS DE CORRESPONSALIAS JUVENILES EN SERVICIOS DE INFORMACION JUVENIL DEPENDIENTES DE AYUNTAMIENTOS, O MANCOMUNIDADES DE CASTILLA-LA MANCHA."/>
        <s v="AYUDA PARA LA CREACION, CONSOLIDACION Y MEJORA DE INFRAESTRUCTURAS DE I+D+I"/>
        <s v="CONVOCATORIA DE EXPRESIONES DE INTERES RELATIVA AL PROGRAMA DE INFRAESTRUCTURAS EDUCATIVAS EN EL MARCO DEL PROGRAMA OPERATIVO FEDER CASTILLA-LA MANCHA 2014-2020"/>
        <s v="SUBVENCIONES DE APOYO A LA PRODUCCION TEATRAL, LA DANZA Y EL CIRCO EN CASTILLA-LA MANCHA."/>
        <s v="PARTICIPACION EN EL V PLAN DE EXITO EDUCATIVO Y PREVENCION DEL ABANDONO ESCOLAR TEMPRANO DE CENTROS EDUCATIVOS CONCERTADOS DE CASTILLA-LA MANCHA, COFINACIADO CON FSE+"/>
        <s v="AYUDAS PARA LA ELABORACION DE GUIONES DE LARGOMETRAJE CINEMATOGRAFICO EN CASTILLA-LA MANCHA."/>
        <s v="JUSTIFICACION DE LA SUBVENCION CONCEDIDA A LA FUNDACION VEDRUNA EDUCACION PARA EL DESARROLLO DEL SEGUNDO CURSO DE DOS PROGRAMAS ESPECIFICOS DE FORMACION PROFESIONAL"/>
        <s v="JUSTIFICACION DE LA SUBVENCION CONCEDIDA A LA UCLM POR LA REALIZACION DEL PROYECTO IMPACTO DEL CONFINAMIENTO DOMICILIARIO DEL COVID-19 SOBRE LA SALUD DE LOS ADULTOS MAYORES."/>
        <s v="CONVOCATORIA DEL PROCEDIMIENTO PARA LA SUSCRIPCION Y MODIFICACION DE CONCIERTOS EDUCATIVOS EN CASTILLA - LA MANCHA. ED. INFANTIL, ED. ESPECIAL, ESO, FP Y BACHILLERATO."/>
        <s v="PREMIOS DE INVESTIGACION E INNOVACION DE CASTILLA- LA MANCHA."/>
        <s v="JUSTIFICACION SUBVENCION DE CONCESION DIRECTA PARA LA FINANCIACION DE ACTUACIONES EN BIENES PERTENECIENTES AL PATRIMONIO CULTURAL Y RELIGIOSO DE CASTILLA LA MANCHA"/>
        <s v="JUSTIFICACION DE LA SUBVENCION CONCEDIDA A LA FEDERACION DE FUTBOL DE CASTILLA-LA MANCHA, PARA LA PUESTA EN FUNCIONAMIENTO DE LA RESIDENCIA DE DEPORTISTAS."/>
        <s v="JUSTIFICACION DE LA SUBVENCION A AYUNTAMIENTOS PARA LA MEJORA Y EQUIPAMIENTO DE LAS INSTALACIONES DEPORTIVAS UTILIZADAS PARA EL DESARROLLO DE DETERMINADAS COMPETICIONES DEPORTIVAS DE ALTO NIVEL"/>
        <s v="JUSTIFICACION DE LA SUBVENCION PARA LA ORGANIZACION DEL TORNEO INTERNACIONAL DE ESPAÑA 2022 DE SELECCIONES ABSOLUTAS MASCULINAS DE BALONMANO EN CUENCA."/>
        <s v="JUSTIFICACION DE LA SUBVENCION DE CONCESION DIRECTA PARA LA FINANCIACION DE ACTUACIONES DE MEJORA EN EL PARQUE ARQUEOLOGICO DE LIBISOSA"/>
        <s v="SOLICITUD DE AYUDAS DENTRO DEL PROGRAMA C24.I2.P4:  DOTACION DE BIBLIOTECAS "/>
        <s v="SUBVENCIONES A SALAS DE EXHIBICION CINEMATOGRAFICA DE CASTILLA  LA MANCHA (NEXT GENERATION EU)."/>
        <s v="SUBVENCIONES DESTINADAS A AMPLIAR Y DIVERSIFICAR LA OFERTA CULTURAL EN AREAS NO URBANAS DE CASTILLA - LA MANCHA (NEXT GENERATION EU)."/>
        <s v="CONVOCATORIA PARA LA SELECCION DE PROYECTOS DE ACTIVIDADES DE  OCIO Y TIEMPO LIBRE PARA EL PROGRAMA VERANO JOVEN"/>
        <s v="PREINSCRIPCION EN ACTIVIDADES EN CAMPOS DE VOLUNTARIADO JUVENIL."/>
        <s v="PREINSCRIPCION EN ACTIVIDADES DE OCIO Y TIEMPO LIBRE."/>
        <s v="ADJUDICACION DE PLAZAS EN OCIO Y TIEMPO LIBRE."/>
        <s v="ADJUDICACION DE PLAZAS EN ACTIVIDADES EN CAMPOS DE VOLUNTARIADO JUVENIL."/>
        <s v="PREMIOS EXTRAORDINARIOS DE FORMACION PROFESIONAL DEL SISTEMA EDUCATIVO DE GRADO SUPERIOR (ALUMNADO MATRICULADO EN CENTROS PRIVADOS)."/>
        <s v="PREMIOS EXTRAORDINARIOS DE FORMACION PROFESIONAL DEL SISTEMA EDUCATIVO DE GRADO SUPERIOR, PARA ALUMNOS DE CENTROS SOSTENIDOS CON FONDOS PUBLICOS."/>
        <s v="SOLICITUD DE SUBVENCIONES PARA DEPORTISTAS ELITE DE CASTILLA-LA MANCHA"/>
        <s v="JUSTIFICACION DE LA CONVOCATORIA DE LA CONSEJERIA DE EDUCACION, CULTURA Y DEPORTES, DE CONCESION DE SUBVENCIONES PARA DEPORTISTAS ELITE DE CASTILLA-LA MANCHA"/>
        <s v="SUBVENCIONES A FEDERACIONES DEPORTIVAS DE CASTILLA-LA MANCHA"/>
        <s v="JUSTIFICACION SUBVENCIONES PARA LA ORGANIZACION Y GESTION DE LAS FEDERACIONES DEPORTIVAS DE CASTILLA-LA MANCHA"/>
        <s v="AYUDAS DE TRANSPORTE Y COMEDOR ESCOLAR A CENTROS PRIVADOS CONCERTADOS DE EDUCACION ESPECIAL Y AL ALUMNADO ESCOLARIZADO EN LOS MISMOS"/>
        <s v="JUSTIFICACION DE LA CONVOCATORIA DE AYUDAS DE TRANSPORTE Y COMEDOR ESCOLAR A CENTROS PRIVADOS CONCERTADOS DE EDUCACION ESPECIAL Y ALUMNADO MATRICULADO EN LOS MISMOS."/>
        <s v="PROGRAMA  SOMOS DEPORTE 3-18  DE CASTILLA-LA MANCHA. ALUMNADO"/>
        <s v="PROGRAMA  SOMOS DEPORTE 3-18  DE CASTILLA-LA MANCHA. ENTIDADES"/>
        <s v="JUSTIFICACION PARA LA CONCESION DE SUBVENCIONES PARA LA ORGANIZACION DE EVENTOS DEPORTIVOS DE ESPECIAL INTERES EN CASTILLA-LA MANCHA."/>
        <s v="CONVOCATORIA PARA LA CONCESION DE SUBVENCIONES PARA LA ORGANIZACION DE EVENTOS DEPORTIVOS DE ESPECIAL INTERES EN CASTILLA-LA MANCHA."/>
        <s v="SOLICITUD DE SUBVENCIONES DE APOYO A CLUBES Y SOCIEDADES ANONIMAS DEPORTIVAS DE MAXIMO NIVEL DE CASTILLA-LA MANCHA."/>
        <s v="SOLICITUD DE AYUDAS PARA EL USO DE LIBROS DE TEXTO ALUMNADO DE E. PRIMARIA Y E. SECUNDARIA Y DE COMEDOR ESCOLAR PARA EL ALUMNADO DE SEGUNDO CICLO DE E. INFANTIL Y E. PRIMARIA. SOLICITUD ALUMNADO."/>
        <s v="JUSTIFICACION DE SUBVENCIONES CONSISTENTES EN EL USO DE LIBROS DE TEXTO POR EL ALUMNADO DE EDUCACION PRIMARIA Y SECUNDARIA OBLIGATORIA MATRICULADO EN CENTROS SOSTENIDOS CON FONDOS PUBLICOS."/>
        <s v="AYUDAS A LAS ENTIDADES QUE PARTICIPEN EN LA EJECUCION DE ACTUACIONES COFINANCIADAS POR EL FSE Y LA ADMINISTRACION DE LA JUNTA DE COMUNIDADES DE CASTILLA-LA MANCHA EN EL PO DE EMPLEO JUVENIL."/>
        <s v="SUBVENCIONES PARA LA IMPLANTACION Y DESARROLLO DE PROYECTOS ESCOLARES SALUDABLES EN LOS CENTROS DOCENTES PRIVADOS CONCERTADOS"/>
        <s v="JUSTIFICACION SUBVENCIONES PARA LA IMPLANTACION Y DESARROLLO DE PROYECTOS ESCOLARES SALUDABLES EN LOS CENTROS DOCENTES PRIVADOS CONCERTADOS"/>
        <s v="JUSTIFICACION DEL LIBRAMIENTO DE FONDOS PARA EL DESARROLLO DE PROYECTOS DE INNOVACION EN FORMACION PROFESIONAL DURANTE EL AÑO 2022."/>
        <s v="LIBRAMIENTO DE FONDOS PARA EL DESARROLLO DE PROYECTOS DE INNOVACION EN FORMACION PROFESIONAL DURANTE EL AÑO 2022"/>
        <s v="SOLICITUD DE CENTROS RECEPTORES: PROYECTO DE INNOVACION EDUCATIVA OBSERVA Y TRANSFORMA:FORMACION PARA EL DESARROLLO PROFESIONAL DOCENTE A TRAVES DE ESTANCIAS FORMATIVAS"/>
        <s v="SOLICITUD PARA PERSONAL DOCENTE  PROYECTO DE INNOVACION EDUCATIVA OBSERVA Y TRANSFORMA:FORMACION PARA EL DESARROLLO PROFESIONAL DOCENTE A TRAVES DE ESTANCIAS FORMATIVAS"/>
        <s v="JUSTIFICACION DEL LIBRAMIENTO DE FONDOS PARA LA IMPLANTACION Y DESARROLLO DE PROYECTOS ESCOLARES SALUDABLES EN LOS CENTROS DOCENTES PUBLICOS."/>
        <s v="SOLICITUD PARA EL LIBRAMIENTO DE FONDOS PARA LA IMPLANTACION Y DESARROLLO DE PROYECTOS ESCOLARES SALUDABLES EN LOS CENTROS DOCENTES PUBLICOS"/>
        <s v="SUBVENCIONES DESTINADAS AL DESARROLLO DE PROYECTOS DE LARGOMETRAJES EN CASTILLA-LA MANCHA."/>
        <s v="JUSTIFICACION SUBVENCIONES DESTINADAS AL DESARROLLO DE PROYECTOS DE LARGOMETRAJES EN CASTILLA-LA MANCHA."/>
        <s v="JUSTIFICACION SUBVENCIONES DESTINADAS A LA PRODUCCION DE CORTOMETRAJES CINEMATOGRAFICOS EN CASTILLA-LA MANCHA."/>
        <s v="SUBVENCIONES DESTINADAS A LA PRODUCCION DE CORTOMETRAJES CINEMATOGRAFICOS EN CASTILLA-LA MANCHA."/>
        <s v="JUSTIFICACION DE LA AYUDA CONCEDIDA DEL PROGRAMA REFUERZA-T DE EDUCACION PRIMARIA, EDUCACION SECUNDARIA Y BACHILLERATO EN CENTROS CONCERTADOS DE C-LM"/>
        <s v="RENUNCIA A LA AYUDA CONCEDIDA DEL PROGRAMA REFUERZA-T DE EDUCACION PRIMARIA, EDUCACION SECUNDARIA Y BACHILLERATO EN CENTROS CONCERTADOS DE C-LM"/>
        <s v="SUBVENCIONES DESTINADAS AL MANTENIMIENTO DE LA ACTIVIDAD DE CLUBES DEPORTIVOS Y S.A.  DEPORTIVAS DE C-LM , AFECTADOS POR LA CRISIS ECONOMICA CONSECUENCIA DEL COVID-19."/>
        <s v="JUSTIFICACION SUBVENCIONES DESTINADAS AL MANTENIMIENTO DE LA ACTIVIDAD DE CLUBES DEPORTIVOS Y SOCIEDADES ANONIMAS DEPORTIVAS DE CASTILLA-LA MANCHA AFECTADOS POR EL COVID-19"/>
        <s v="JUSTIFICACION SUBVENCIONES DESTINADAS A LA PRODUCCION DE LARGOMETRAJES EN CASTILLA-LA MANCHA."/>
        <s v="SUBVENCIONES DESTINADAS A LA PRODUCCION DE LARGOMETRAJES EN CASTILLA-LA MANCHA."/>
        <s v="SUBVENCIONES DESTINADAS A LA MODERNIZACION Y GESTION SOSTENIBLE DE LAS INFRAESTRUCTURAS DE LAS ARTES ESCENICAS Y MUSICALES."/>
        <s v="PREMIOS EXTRAORDINARIOS DE FORMACION PROFESIONAL DEL SISTEMA EDUCATIVO DE GRADO MEDIO, PARA ALUMNOS DE CENTROS SOSTENIDOS CON FONDOS PUBLICOS Y PRIVADOS."/>
        <s v="RECONOCIMIENTO DE ESCUELAS DE ANIMACION JUVENIL"/>
        <s v="CONVOCATORIA PARA LA REALIZACION DE PRUEBAS DE ACCESO A CICLOS FORMATIVOS DE FORMACION PROFESIONAL"/>
        <s v="ADMISION DE ALUMNADO EN CICLOS FORMATIVOS DE GRADO MEDIO Y GRADO SUPERIOR EN MODALIDAD PRESENCIAL EN CENTROS DOCENTES DE CASTILLA-LA MANCHA SOSTENIDOS CON FONDOS PUBLICOS."/>
        <s v="ADMISION DE ALUMNADO EN CICLOS FORMATIVOS DE GRADO MEDIO Y GRADO SUPERIOR EN MODALIDAD DISTANCIA EN CENTROS DOCENTES DE CASTILLA-LA MANCHA DE TITULARIDAD PUBLICA."/>
        <s v="ADMISION ALUMNADO EN CENTROS DOCENTES QUE IMPARTEN EDUCACION PARA PERSONAS ADULTAS."/>
        <s v="AUTORIZACION DE CENTROS Y ADMISION DEL ALUMNADO EN LOS CURSOS PREPARATORIOS DE LAS PRUEBAS DE ACCESO A CICLOS FORMATIVOS DE GRADO SUPERIOR."/>
        <s v="ADMISION DE ALUMNADO EN CENTROS DOCENTES PUBLICOS Y PRIVADOS CONCERTADOS ( ENSEÑANZAS DE BACHILLERATO)"/>
        <s v="SELECCION DE SUPERVISORES PEDAGOGICOS PARA LAS ACTIVIDADES DE FORMACION DIRIGIDAS A MEJORAR LA COMPETENCIA DE LOS ALUMNOS DE 3º Y 4º DE ESO Y 1º DE BACHILLERATO EN EL USO DE LENGUAS EXTRANJERAS"/>
        <s v="EXPEDICION DE TITULOS ACADEMICOS Y PROFESIONALES NO UNIVERSITARIOS CORRESPONDIENTES A ENSEÑANZAS ESTABLECIDAS EN LA LOGSE"/>
        <s v="RECONOCIMIENTO DE FIRMAS DE TITULOS Y CERTIFICACIONES ACADEMICAS DE ESTUDIOS NO UNIVERSITARIOS"/>
        <s v="PRUEBAS DE ACCESO A LA UNIVERSIDAD DE CASTILLA-LA MANCHA DE LOS MAYORES DE 25 AÑOS, ACCESO MEDIANTE ACREDITACION LABORAL O PROFESIONAL Y PARA MAYORES DE 45 AÑOS."/>
        <s v="PRUEBAS LIBRES PARA LA OBTENCION DEL TITULO DE GRADUADO EN EDUCACION SECUNDARIA OBLIGATORIA PARA MAYORES DE 18 AÑOS"/>
        <s v="CONVOCATORIA DE PRUEBAS PARA LA OBTENCION DE DETERMINADOS TITULOS DE FORMACION PROFESIONAL EN LA COMUNIDAD AUTONOMA DE CASTILLA-LA MANCHA."/>
        <s v="PRUEBAS LIBRES PARA LA OBTENCION DEL TITULO DE BACHILLER EN LA COMUNIDAD AUTONOMA DE CASTILLA-LA MANCHA."/>
        <s v="PRUEBAS  DE CERTIFICACION DE COMPETENCIA GENERAL DE LAS ENSEÑANZAS DE IDIOMAS DE REGIMEN ESPECIAL Y MATRICULACION DE ALUMNOS DE LAS MODALIDADES LIBRE Y A DISTANCIA."/>
        <s v="CALIFICACION COMO DEPORTISTA DE ALTO RENDIMIENTO DE CASTILLA-LA MANCHA"/>
        <s v="PRUEBAS LIBRES (EXAMENES TEORICOS) PARA LA OBTENCION DE LOS REQUISITOS DE CONOCIMIENTOS SEGUN NORMATIVA EASA."/>
        <s v="SOLICITUD DE INICIACION DEL PROCEDIMIENTO DE DECLARACION DE UN B.I.C., B.I.P. O E.I.P."/>
        <s v="INCLUSION Y EXCLUSION DE BIENES MUEBLES EN EL INVENTARIO GENERAL DE BIENES MUEBLES INTEGRANTES DEL PATRIMONIO HISTORICO ESPAÑOL"/>
        <s v="PRUEBAS PARA LA OBTENCION DEL CERTIFICADO DE ENSEÑANZAS INICIALES PARA PERSONAS MAYORES DE DIECIOCHO AÑOS EN LA COMUNIDAD AUTONOMA DE CASTILLA- LA MANCHA."/>
        <s v="ADMISION DE ALUMNADO PARA CURSAR ENSEÑANZAS SUPERIORES DE MUSICA."/>
        <s v="DECLARACION DE INSTITUTO HISTORICO DE CASTILLA-LA MANCHA"/>
        <s v="ADMISION DE ALUMNADO EN LOS CICLOS FORMATIVOS DE GRADO BASICO EN REGIMEN PRESENCIAL."/>
        <s v="RECONOCIMIENTO Y TRANSFERENCIA DE CREDITOS EN LAS ENSEÑANZAS ARTISTICAS SUPERIORES"/>
        <s v="SELECCION DE CENTROS EDUCATIVOS PARA CONSTITUIR CONSORCIOS ERASMUS+"/>
        <s v="OBTENCION DE CARNES DE JUVENTUD"/>
        <s v="ADMISION DE ALUMNADO EN PROGRAMAS ESPECIFICOS DE FORMACION PROFESIONAL EN CENTROS PUBLICOS DE EDUCACION SECUNDARIA DE CASTILLA LA MANCHA"/>
        <s v="PROCEDIMIENTO PARA EL ALUMNADO DE BACHILLERATO DE ARTES CON MATERIAS PENDIENTES QUE HAN  AGOTADO LA PERMANENCIA EN EL REGIMEN ORDINARIO."/>
        <s v="PROCEDIMIENTO PARA LA SELECCION DE CENTROS ESCOLARES EN EL PROGRAMA ESCOLAR DE CONSUMO DE FRUTAS, HORTALIZAS Y LECHE"/>
        <s v="RECONOCIMIENTO DE CREDITOS DE INNOVACION Y/O FORMACION AL PERSONAL DOCENTE PARTICIPANTE EN PROYECTOS ERASMUS+ DE LA COMUNIDAD AUTONOMA DE CASTILLA - LA MANCHA"/>
        <s v="PROGRAMAS PREPARA-T, ILUSIONA-T Y TITULA-S INTEGRADOS EN EL V PLAN DE EXITO EDUCATIVO Y PREVENCION DEL ABANDONO ESCOLAR TEMPRANO EN CENTROS PUBLICOS DE CASTILLA-LA MANCHA"/>
        <s v="BECAS Y AYUDAS A ALUMNOS DE NIVELES POSTOBLIGATORIOS"/>
        <s v="PRUEBAS ESPECIFICAS DE CERTIFICACION NIVEL INTERMEDIO B1 EN IDIOMAS EN CENTROS EDUCATIVOS SOSTENIDOS CON FONDOS PUBLICOS EN EL MARCO DE UN PROYECTO BILINGUE -ALUMNADO 4º ESO Y 2º CCFF GRADO MEDIO."/>
        <s v="APORTACION DE LA MEMORIA ANUAL DE LOS CENTROS EDUCATIVOS SOSTENIDOS CON FONDOS PUBLICOS DE CASTILLA - LA MANCHA"/>
        <s v="ADMISION DE ALUMNADO EN CURSOS DE ESPECIALIZACION EN FORMACION PROFESIONAL EN CENTROS DOCENTES DE CASTILLA-LA MANCHA DE TITULARIDAD PUBLICA."/>
        <s v="ADMISION ALUMNADO EN CENTROS DOCENTES DE EDUCACION PARA PERSONAS ADULTAS QUE IMPARTEN CICLOS FORMATIVOS DE GRADO BASICO DE TRES CURSOS ACADEMICOS Y FORMACION PROFESIONAL BASICA"/>
        <s v="PROGRAMA DE COOPERACION TERRITORIAL PARA LA ORIENTACION, EL AVANCE Y EL ENRIQUECIMIENTO EDUCATIVO EN CENTROS DE ESPECIAL COMPLEJIDAD EDUCATIVA, PROGRAMA PROA+"/>
        <s v="SOLICITUD DE PARTICIPACION EN EL PROYECTO DE FORMACION E INNOVACION  AULA DEL FUTURO "/>
        <s v="CONSTITUCION Y ACTUACION DE LAS COMISIONES DE ELABORACION DE LAS PRUEBAS LIBRES PARA LA OBTENCION DEL TITULO DE BACHILLER Y DE LAS PRUEBAS LIBRES PARA LA OBTENCION DEL TITULO DE GRADUADO EN ESO"/>
        <s v="DECLARACION RESPONSABLE DE ACEPTACION DE IMPLANTACION DE UN AULA DE TECNOLOGIA APLICADA Y COMPROMISO DE LA REALIZACION DE PROYECTOS EDUCATIVOS RELACIONADOS CON EL USO DE LAS NUEVAS TECNOLOGIAS."/>
        <s v="DECLARACION RESPONSABLE DE ACEPTACION DE IMPLANTACION DE UN AULA PROFESIONAL DE EMPRENDIMIENTO Y COMPROMISO DE LA REALIZACION DE PROYECTOS EDUCATIVOS RELACIONADOS CON EL EMPRENDIMIENTO."/>
        <s v="ADMISION DE ALUMNADO PARA CURSAR ENSEÑANZAS SUPERIORES DE ARTE DRAMATICO."/>
        <s v="RECONOCIMIENTO OFICIAL COMO CENTRO REGIONAL DE CULTURA DE CASTILLA-LA MANCHA"/>
        <s v="ADMISION EN LA MODALIDAD OFERTA MODULAR PRESENCIAL EN CCFF DE FORMACION PROFESIONAL Y CURSOS DE ESPECIALIZACION."/>
        <s v="PROCESO DE ADMISION DE ALUMNADO PARA CURSAR ENSEÑANZAS ARTISTICAS SUPERIORES DE DISEÑO."/>
        <s v="PROCESO DE ADMISION A LOS ESTUDIOS DE CICLOS FORMATIVOS DE ARTES PLASTICAS Y DISEÑO."/>
        <s v="ADMISION DE ALUMNADO PARA LAS ENSEÑANZAS DE IDIOMAS EN ESCUELAS OFICIALES DE IDIOMAS Y CENTROS DE EDUCACION DE PERSONAS ADULTAS."/>
        <s v="ADMISION A LOS ESTUDIOS ELEMENTALES Y PROFESIONALES DE MUSICA Y DANZA"/>
        <s v="SOLICITUD EQUIVALENCIA DE ESTUDIOS CON LOS TITULOS OFICIALES"/>
        <s v="CONCURSO-OPOSICION PARA EL INGRESO EN EL CUERPO DE MAESTROS,  ADQUISICION DE NUEVAS ESPECIALIDADES Y SELECCION DE INTERINOS."/>
        <s v="PROCESO SELECTIVO CONSTITUCION DE BOLSAS DE TRABAJO PERSONAL DOCENTE"/>
        <s v="PROCESO SELECTIVO PARA CONSTITUCION DE UNA BOLSA DE PROFESORES ESPECIALISTAS DEL CICLO FORMATIVO DE GRADO SUPERIOR EN FORMACION PARA LA MOVILIDAD SEGURA Y SOSTENIBLE"/>
        <s v="BOLSAS DE TRABAJO DE PROFESORADO ESPECIALISTA - ESCALADA"/>
        <s v="PROCEDIMIENTO DE LIBRE DESIGNACION PARA LA PROVISION DE PUESTOS DE DIRECCION EN CENTROS INTEGRADOS PUBLICOS DE FORMACION PROFESIONAL."/>
        <s v="PROCEDIMIENTO SELECTIVO PARA EL INGRESO MEDIANTE CONCURSO DE MERITOS, TURNO LIBRE, EN LOS CUERPOS DE SECUNDARIA, FORMACION PROFESIONAL Y ENSEÑANZAS DE REGIMEN ESPECIAL."/>
        <s v="PRUEBAS SELECTIVAS PARA INGRESO EN EL CUERPO DE PROFESORES DE ARTES PLASTICAS Y DISEÑO, ADQUISICION DE NUEVAS ESPECIALIDADES, Y SELECCION DE ASPIRANTES A PUESTOS EN REGIMEN DE INTERINIDAD."/>
        <s v="CONCURSO-OPOSICION PARA EL INGRESO EN EL CUERPO DE PROFESORES DE ENSEÑANZA SECUNDARIA Y MUSICA Y ARTES ESCENICAS, ACCESO, ADQUISICION DE ESPECIALIDADES Y SELECCION DE INTERINOS."/>
        <s v="CONCURSO-OPOSICION PARA EL INGRESO EN EL CUERPO DE PROFESORES TECNICOS DE FORMACION PROFESIONAL, ADQUISICION DE ESPECIALIDADES Y SELECCION DE INTERINOS."/>
        <s v="PROCESO DE AMPLIACION DE BOLSAS DE TRABAJO DE ASPIRANTES A INTERINIDADES DE DISTINTAS ESPECIALIDADES DE CUERPOS DOCENTES (SECUNDARIA, PTFP, MUSICA,PROF. ARTES PLASTICAS Y DISEÑO Y MAESTROS)"/>
        <s v="SELECCION PROFESORADO ESPECIALISTA PARA LA ESCUELA SUPERIOR DE ARTE DRAMATICO DE CASTILLA-LA MANCHA"/>
        <s v="GESTION BOLSAS DE TRABAJO DE PERSONAL DOCENTE NO UNIVERSITARIO"/>
        <s v="PROCEDIMIENTO DE ADMISION DE LAS ESCUELAS INFANTILES DE TITULARIDAD AUTONOMICA"/>
        <s v="ADMISION DE ALUMNOS EN COMEDORES ESCOLARES"/>
        <s v="SOLICITUD DE PLAZA EN EL TRANSPORTE ESCOLAR"/>
        <s v="ASISTENCIA SANITARIA AL ALUMNADO DE CENTROS DOCENTES NO UNIVERSITARIOS  CON ENFERMEDAD CRONICA O QUE PRECISE ATENCION SANITARIA ESPECIFICA."/>
        <s v="RECLAMACION DE RESPONSABILIDAD PATRIMONIAL DE LA CONSEJERIA DE EDUCACION, CULTURA Y DEPORTES"/>
        <s v="CONVOCATORIA DEL PROCEDIMIENTO PARA LA SUSCRIPCION Y MODIFICACION DE CONCIERTOS EDUCATIVOS EN CASTILLA-LA MANCHA. EDUCACION PRIMARIA."/>
        <s v="HOMOLOGACION, RECONOCIMIENTO, REGISTRO Y CERTIFICACION DE ACTIVIDADES DE FORMACION PERMANENTE DEL PROFESORADO NO UNIVERSITARIO."/>
        <s v="CONCURSO-OPOSICION PARA EL ACCESO AL CUERPO DE INSPECTORES DE EDUCACION, EN PLAZAS VACANTES DEL AMBITO DE GESTION DE LA COMUNIDAD AUTONOMA DE CASTILLA- LA MANCHA."/>
        <s v="CONCURSO DE TRASLADOS DE AMBITO AUTONOMICO ENTRE FUNCIONARIOS Y FUNCIONARIAS DOCENTES DE LOS CUERPOS DE ENSEÑANZAS MEDIAS."/>
        <s v="CONCURSO DE TRASLADOS DE AMBITO ESTATAL ENTRE FUNCIONARIOS Y FUNCIONARIAS DE LOS CUERPOS DE INSPECTORES AL SERVICIO DE LA ADMINISTRACION EDUCATIVA Y DE INSPECTORES DE EDUCACION."/>
        <s v="CONCURSO DE TRASLADOS DE AMBITO ESTATAL Y PROCESOS PREVIOS DEL CUERPO DE MAESTROS."/>
        <s v="PROCESO DE SELECCION PARA ELABORAR UNA LISTA EXTRAORDINARIA DE ASPIRANTES A OCUPAR PUESTOS COMO INSPECTORES ACCIDENTALES, EN REGIMEN DE COMISION DE SERVICIOS."/>
        <s v="SOLICITUD Y ADJUDICACION DE AUXILIARES DE CONVERSACION A CENTROS PUBLICOS DOCENTES NO UNIVERSITARIOS"/>
        <s v="CONVOCATORIA DE GRUPOS DE TRABAJO, SEMINARIOS Y CURSOS DE FORMACION EN CENTROS EDUCATIVOS"/>
        <s v="ACREDITACION DE NUEVOS DE MERITOS EN BOLSAS PROVINCIALES DEL PROFESORADO DE RELIGION"/>
        <s v="PROCEDIMIENTO DE CONSTITUCION DE LAS COMISIONES DE ELABORACION DE PRUEBAS DE CERTIFICACION DE NIVEL DE COMPETENCIA LINGUISTICA DE ENSEÑANZAS DE IDIOMAS DE REGIMEN ESPECIAL."/>
        <s v="COMUNICACION DE PRESUNTO ACOSO SEXUAL O POR RAZON DE SEXO AL PERSONAL EN EL  AMBITO EDUCATIVO"/>
        <s v="PROCESO MOVILIDAD  PARAR LA PROVISION DE PUESTOS DEL PROFESORADO RELIGION EN LOS CENTROS DOCENTES PUBLICOS NO UNIVERSITARIOS DEPENDIENTES DE CASTILLA - LA MANCHA"/>
        <s v="LIQUIDACION DE GASTOS POR TRASLADOS, ALOJAMIENTO Y MANUTENCION DEL PROFESORADO DE FP PARTICIPANTE EN ACCIONES FORMATIVAS ORGANIZADAS POR EL CRFP"/>
        <s v="PROVISION DE PUESTOS DE TRABAJO DE PERSONAL FUNCIONARIO POR EL PROCEDIMIENTO DE LIBRE DESIGNACION (LD EDCD F2/2022) EN LA CONSEJERIA DE EDUCACION, CULTURA Y DEPORTES."/>
        <s v="SOLICITUD DE ADJUDICACION DE AUXILIARES DE CONVERSACION A CENTROS PUBLICOS DOCENTES NO UNIVERSITARIOS CON PROYECTOS BILINGUES EN CICLOS FORMATIVOS DE FORMACION PROFESIONAL."/>
        <s v="PROVISION DE PUESTOS DE TRABAJO DE PERSONAL FUNCIONARIO POR EL PROCEDIMIENTO DE LIBRE DESIGNACION (LD EDCD F3/2022) EN LA CONSEJERIA DE EDUCACION, CULTURA Y DEPORTES."/>
        <s v="CONVOCATORIA DE CONCURSO SINGULARIZADO DE MERITOS PARA LA PROVISION DE PUESTOS DE TRABAJO VACANTES  (PERSONAL OTRAS ADMINISTRACIONES)"/>
        <s v="CONVOCATORIA DE CONCURSO SINGULARIZADO DE MERITOS PARA LA PROVISION DE PUESTOS DE TRABAJO VACANTES  (PERSONAL DE LA ADMINISTRACION DE LA JCCM)"/>
        <s v="PROCEDIMIENTO DE SELECCION DE DIRECTORAS Y DIRECTORES DE LOS CENTROS DOCENTES PUBLICOS RECONOCIDOS COMO COMUNIDAD DE APRENDIZAJE: CEIP LA PAZ Y CEIP ENTRE CULTURAS."/>
        <s v="PROCEDIMIENTOS DE RENOVACION, SELECCION Y NOMBRAMIENTO DE DIRECTORAS Y DE DIRECTORES DE LOS CENTROS DOCENTES PUBLICOS NO UNIVERSITARIOS DE CASTILLA-LA MANCHA."/>
        <s v="CONVOCATORIA DE PROCEDIMIENTO PARA LA RENOVACION O RENUNCIA DE COMISION DE SERVICIO EN PUESTOS ESPECIFICOS DE CICLOS FORMATIVOS"/>
        <s v="CONVOCATORIA DE PROCEDIMIENTO PARA LA  PROVISION DE PUESTOS EN COMISION DE SERVICIO EN AULAS ABIERTAS ESPECIALIZADAS Y EQUIPOS DE ATENCION EDUCATIVA PARA ALUMNADO CON TEA."/>
        <s v="COMISIONES DE SERVICIO PARA PERSONAL DOCENTE EN CENTROS DE EDUCACION ESPECIAL Y PARA PERSONAL DOCENTE DEL SERVICIO DEL ASESORAMIENTO Y APOYO ESPECIALIZADO EN LOS CENTROS DE EDUCACION ESPECIAL"/>
        <s v="CONVOCATORIA DE PROCEDIMIENTO PARA LA RENOVACION DE COMISION DE SERVICIO EN UNIDADES DE EDUCACION ESPECIAL."/>
        <s v="CONVOCATORIA DE CONCESION DE COMISIONES DE SERVICIO A FUNCIONARIOS/AS DOCENTES DE NIVELES DE ENSEÑANZA NO UNIVERSITARIA EN PUESTOS DEPENDIENTES DE LA CONSEJERIA DE EDUCACION, CULTURA Y DEPORTES"/>
        <s v="RENOVACION, RENUNCIA Y PROVISION DE PUESTOS DE TRABAJO EN COMISION DE SERVICIO EN LOS EAEHD Y EAERM DE CASTILLA-LA MANCHA."/>
        <s v="CONVOCATORIA DE PROCEDIMIENTO PARA LA  PROVISION Y RENOVACION DE PUESTOS EN COMISION DE SERVICIO PARA LOS EQUIPOS DE ATENCION EDUCATIVA PARA EL ALUMNADO CON CEGUERA O DISCAPACIDAD VISUAL GRAVE."/>
        <s v="RENOVACION, RENUNCIA Y PROVISION DE PUESTOS DE TRABAJO EN COMISION DE SERVICIO EN LOS CENTROS RECONOCIDOS COMO COMUNIDAD DE APRENDIZAJE DE CASTILLA-LA MANCHA."/>
        <s v="RENOVACION, RENUNCIA Y PROVISION DE PUESTOS DE TRABAJO EN COMISION DE SERVICIO PARA CONFORMAR UNIDADES DE ACOMPAÑAMIENTO Y ORIENTACION-C-LM."/>
        <s v="PROVISION DE COMISIONES DE SERVICIO PARA LA OFERTA DE CARACTER EXPERIMENTAL DE LOS CURSOS DE ESPECIALIZACION EN FABRICACION ADITIVA Y EN AERONAVES PILOTADAS DE FORMA REMOTA-DRONES"/>
        <s v="COMUNICACION  DE PRESUNTO ACOSO LABORAL EN EL AMBITO EDUCATIVO"/>
        <s v="AUTORIZACION DEL CAMBIO DE USO DE LOS BIENES DE INTERES CULTURAL"/>
        <s v="CONVOCATORIA A LAS PERSONAS FISICAS Y JURIDICAS DEDICADAS A LA ACTIVIDAD EDITORIAL PARA SU INCLUSION EN EL CATALOGO DE OBRAS DE CARACTER DOCUMENTAL DE INTERES PARA C-LM"/>
        <s v="PARTICIPACION DE LOS CENTROS DOCENTES EN EL PROYECTO FORMACION EN COMPETENCIA  (STEAM) EN PRIMARIA,SECUNDARIA, REGIMEN ESPECIAL Y EDUCACION DE PERSONAS ADULTAS."/>
        <s v="LIBRAMIENTO DE FONDOS PARA LA IMPLANTACION Y DESARROLLO DEL PROGRAMA DE REFUERZO DE COMPETENCIAS ESPECIFICAS, OCIO RESPONSABLE, CULTURA Y DEPORTE EN CRA Y CENTROS INCOMPLETOS"/>
        <s v="NOMBRAMIENTO DE PERSONAL FUNCIONARIO INTERINO DEL CUERPO TECNICO, ESCALA DE ARCHIVOS, BIBLIOTECAS Y MUSEOS, ESPECIALIDAD DE BIBLIOTECAS."/>
        <s v="AUTORIZACION DE ESTABLECIMIENTO DE ESTACIONES DE SERVICIO EN CARRETERAS TITULARIDAD DE LA JUNTA DE COMUNIDADES"/>
        <s v="AUTORIZACION DE ACCESOS A CARRETERAS O CAMBIO DE USO DE LOS EXISTENTES EN CARRETERAS DE LA JUNTA DE COMUNIDADES"/>
        <s v="AUTORIZACION DE OBRAS DE CONDUCCION, EN PARALELO O CRUCE, EN CARRETERAS TITULARIDAD DE LA JUNTA DE COMUNIDADES"/>
        <s v="AUTORIZACION PARA ACTIVIDADES DIVERSAS EN LAS ZONAS DE SERVIDUMBRE Y DE PROTECCION DE LAS CARRETERAS TITULARIDAD DE LA JUNTA DE COMUNIDADES"/>
        <s v="AUTORIZACION PARA LA INSTALACION DE CARTELES INFORMATIVOS (SIN PUBLICIDAD)"/>
        <s v="AUTORIZACION DE VENTA DE VIVIENDAS PROTEGIDAS"/>
        <s v="AUTORIZACION  PERCIBO DE CANTIDADES A CUENTA"/>
        <s v="AUTORIZACION DE TRANSMISION DE CONCESION DE SERVICIO PUBLICO REGULAR DE TRANSPORTE DE VIAJEROS"/>
        <s v="AUTORIZACION DE TRANSPORTE PUBLICO DISCRECIONAL DE VIAJEROS EN AUTOBUS (VD)"/>
        <s v="AUTORIZACION DE INSTALACION DE LINEAS AEREAS ELECTRICAS Y TELEFONICAS QUE AFECTEN A CARRETERAS DE LA JUNTA DE COMUNIDADES"/>
        <s v="AUTORIZACION DE TRANSPORTE REGULAR DE USO ESPECIAL (TRANSPORTE DE TRABAJADORES)"/>
        <s v="AUTORIZACION DE TRANSPORTE ESCOLAR"/>
        <s v="AUTORIZACIONES DE TRANSPORTE SANITARIO PUBLICO (VS) Y PRIVADO COMPLEMENTARIO (VSPC)"/>
        <s v="AUTORIZACION DE TRANSPORTE PRIVADO DE MERCANCIAS (MPC)"/>
        <s v="AUTORIZACION DE TRANSPORTE PUBLICO DE MERCANCIAS (MDP Y MDL)"/>
        <s v="AUTORIZACION DE ARRENDAMIENTO DE VEHICULOS CON CONDUCTOR (VTC)"/>
        <s v="AUTORIZACION DE TRANSPORTE PRIVADO DE VIAJEROS (VPC)"/>
        <s v="AUTORIZACION DE CERRAMIENTOS PROXIMOS A CARRETERAS DE LA JUNTA DE COMUNIDADES"/>
        <s v="INSCRIPCION LABORATORIOS DE ENSAYOS PARA EL CONTROL DE LA CALIDAD DE LA EDIFICACION DECLARADOS EN CASTILLA- LA MANCHA"/>
        <s v="AUTORIZACION DE USO DE BIENES DE TITULARIDAD DE LA JUNTA DE COMUNIDADES DE CASTILLA-LA MANCHA ADSCRITOS A LA CONSEJERIA DE FOMENTO."/>
        <s v="AUTORIZACION DE CENTROS DE FORMACION DE CONDUCTORES."/>
        <s v="AUTORIZACION DE OPERADOR DE TRANSPORTE DE MERCANCIAS (OT)"/>
        <s v="AUTORIZACION DE EDIFICACIONES PROXIMAS A CARRETERAS DE LA RED AUTONOMICA"/>
        <s v="INSCRIPCION DE ENTIDADES DE CONTROL DE LA CALIDAD DE LA EDIFICACION DECLARADAS EN CASTILLA- LA MANCHA"/>
        <s v="APORTACION DE GANANCIALES DE VIVIENDA DE PROTECCION PUBLICA"/>
        <s v="AUTORIZAR LA EXTINCION DEL CONDOMINIO DE UNA VIVIENDA PROTEGIDA."/>
        <s v="SUBROGACION POR FALLECIMIENTO DEL TITULAR O SUPUESTOS DE NULIDAD, SEPARACION O DIVORCIO, DE VIVIENDA DE PROMOCION PUBLICA ARRENDADA EN FAVOR DE CIERTOS FAMILIARES."/>
        <s v="AUTORIZACION PARA POSTERIORES TRANSMISIONES DE SUELO, ORIGINALMENTE PROPIEDAD DE LA JUNTA DE COMUNIDADES DE CASTILLA-LA MANCHA"/>
        <s v="CANCELACION DE CONDICIONES RESOLUTORIAS POR CUMPLIMIENTO DE OBLIGACIONES CONTRACTUALES, INCLUIDAS EN LAS ENAJENACIONES DE SUELO PROPIEDAD DE LA JUNTA DE COMUNIDADES DE CASTILLA-LA MANCHA."/>
        <s v="SOLICITUD DE AUTORIZACION PARA REALIZAR OBRAS MENORES EN LAS VIVIENDAS DE PROMOCION PUBLICA"/>
        <s v="AMORTIZACION ANTICIPADA DE UNA VIVIENDA DE PROMOCION PUBLICA ADJUDICADA EN COMPRAVENTA APLAZADA"/>
        <s v="AUTORIZACION ADMINISTRATIVA PARA HIPOTECAR UNA FINCA ENAJENADA POR LA JUNTA DE COMUNIDADES DE CASTILLA-LA MANCHA."/>
        <s v="AUTORIZACION PARA PLANTACIONES Y TRABAJOS DE TALA Y PODA EN CARRETERAS DE LA JUNTA DE COMUNIDADES"/>
        <s v="AUTORIZACION PARA INSTALACIONES DE RIEGO EN CARRETERAS DE LA JUNTA DE COMUNIDADES"/>
        <s v="INSCRIPCION EN EL REGISTRO DE DEMANDANTES DE VIVIENDA CON PROTECCION PUBLICA DE CASTILLA-LA MANCHA"/>
        <s v="INSCRIPCION EN EL REGISTRO ADMINISTRATIVO DE AGRUPACIONES DE INTERES URBANISTICO Y ENTIDADES URBANISTICAS COLABORADORAS DE CONSERVACION."/>
        <s v="INSCRIPCION EN EL REGISTRO DE INFORMES DE EVALUACION DE EDIFICIOS DE CASTILLA LA MANCHA."/>
        <s v="COMUNICACION DE ALTAS Y BAJAS PARA CONSEJEROS DE SEGURIDAD DE TRANSPORTE DE MERCANCIAS PELIGROSAS"/>
        <s v="COMUNICACION DE INCIDENCIAS AL REGISTRO DE INFORMES DE EVALUACION DE EDIFICIOS DE CASTILLA LA MANCHA."/>
        <s v="REDUCCION DE RENTA EN CONTRATO DE ARRENDAMIENTO DE VIVIENDAS DE PROMOCION PUBLICA PROPIEDAD DE LA JUNTA DE COMUNIDADES."/>
        <s v="PARTICIPACION EN PROCEDIMIENTOS DE ADJUDICACION DE VIVIENDAS DE  INICIATIVA PUBLICA REGIONAL"/>
        <s v="SOLICITUD DEL RECONOCIMIENTO DEL DERECHO A LAS AYUDAS PARA CONTRIBUIR A MINIMIZAR EL IMPACTO ECONOMICO Y SOCIAL DEL COVID-19 EN LOS ALQUILERES DE VIVIENDA HABITUAL DEL PLAN ESTATAL DE VIVIENDA."/>
        <s v="SUBVENCION DESTINADA A PALIAR PARCIALMENTE LOS EFECTOS DE LA CRISIS PROVOCADA POR LA COVID-19, A LOS OPERADORES QUE PRESTAN EL SERVICIO DE TRANSPORTE PUBLICO REGULAR DE VIAJEROS EN C-LM."/>
        <s v="AYUDAS PARA LA ELABORACION DEL LIBRO DEL EDIFICIO EXISTENTE PARA LA REHABILITACION Y LA REDACCION DE PROYECTOS TECNICOS DE REHABILITACION INTEGRAL DE EDIFICIOS DE CASTILLA-LA MANCHA."/>
        <s v="HABILITACION COMO AGENTE GESTOR DE LA REHABILITACION DEL PROGRAMA DE AYUDAS A LAS ACTUACIONES DE REHABILITACION A NIVEL DE EDIFICIO EN CASTILLA-LA MANCHA"/>
        <s v="HABILITACION COMO AGENTE GESTOR DE LA REHABILITACION DEL PROGRAMA DE AYUDAS A LAS ACTUACIONES DE MEJORA DE LA EFICIENCIA ENERGETICA EN VIVIENDAS EN CASTILLA-LA MANCHA."/>
        <s v="AYUDAS A LAS ACTUACIONES DE REHABILITACION A NIVEL DE EDIFICIO EN CASTILLA-LA MANCHA, DENTRO DEL MARCO GENERAL DEL PLAN DE RECUPERACION, TRANSFORMACION Y RESILIENCIA."/>
        <s v="AYUDAS A LAS ACTUACIONES DE MEJORA DE LA EFICIENCIA ENERGETICA EN VIVIENDAS EN CASTILLA-LA MANCHA, DENTRO DEL MARCO GENERAL DEL PLAN DE RECUPERACION, TRANSFORMACION Y RESILIENCIA."/>
        <s v="AYUDAS AL  BONO ALQUILER JOVEN EN CASTILLA-LA MANCHA."/>
        <s v="AYUDAS PARA LA TRANSFORMACION DE FLOTAS DE TRANSPORTES DE MERCANCIAS Y VIAJEROS DE EMPRESAS PRIVADAS PRESTADORAS DE SERVICIOS DE TRANSPORTE POR CARRETERA Y PRIVADO COMPLEMENTARIO."/>
        <s v="APROBACION DEL PROYECTO ANUAL DE ACTUACIONES SUBVENCIONADAS PARA LA IMPLANTACION DE LAS OFICINAS DE  REHABILITACION EN EL AMBITO TERRITORIAL DE CASTILLA- LA MANCHA"/>
        <s v="AYUDAS DESTINADAS A TITULARES DE AUTORIZACIONES DE TRANSPORTE PUBLICO DE VIAJEROS EN VEHICULOS DE TURISMO AUTO-TAXI (VT) EN EL MARCO DEL PROGRAMA DE FOMENTO A LA ADAPTACION DE VEHICULOS."/>
        <s v="JUSTIFICACION DE LA AYUDA CONCEDIDA PARA REALIZAR LA OBRA DE INSTALACION DE ASCENSOR HASTA LA COTA CERO DE ACCESO AL EDIFICIO EN LA C/ RIO MARIANA, 3 DE CUENCA."/>
        <s v="AYUDAS A LA MEJORA DE LA ACCESIBILIDAD EN Y A LAS VIVIENDAS DE CASTILLA-LA MANCHA, EN EL MARCO DEL PLAN ESTATAL DE VIVIENDA 2022-2025."/>
        <s v="ABONO DE AYUDAS AL ARRENDAMIENTO DE VIVIENDAS"/>
        <s v="COMUNICACION DE MODIFICACION DE LAS CONDICIONES"/>
        <s v="AYUDAS AL ALQUILER DE VIVIENDA EN CASTILLA-LA MANCHA, EN EL MARCO DEL PLAN ESTATAL DE VIVIENDA 2022-2025."/>
        <s v="SOLICITUD DE AYUDA PARA LA FINANCIACION DE ACTUACIONES EN MATERIA DE REDACCION DE DIVERSOS INSTRUMENTOS DE PLANEAMIENTO URBANISTICO."/>
        <s v="MODIFICACION DE LA RESOLUCION DE CONCESION DE LA SUBVENCION PARA REDACCION DE INSTRUMENTOS DE PLANEAMIENTO."/>
        <s v="SOLICITUD DE ABONO DE LA SUBVENCION PARA LA REDACCION DE INSTRUMENTOS DE PLANEAMIENTO."/>
        <s v="COMUNICACION DE MODIFICACION DE LAS ACTUACIONES- LINEAS B Y C"/>
        <s v="SOLICITUD DE ABONO DE LA AYUDA. LINEAS B Y C."/>
        <s v="SOLICITUD DE AYUDAS A LA REHABILITACION EDIFICATORIA. LINEAS B Y C."/>
        <s v="ABONO DE LA AYUDA REHABILITACION DE ELEMENTOS COMUNES DE EDIFICIOS DE TIPOLOGIA RESIDENCIAL COLECTIVA DE VIVIENDAS."/>
        <s v="PROGRAMA DE FOMENTO DE LA MEJORA DE LA EFICIENCIA ENERGETICA Y SOSTENIBILIDAD DE VIVIENDAS Y PROG.  DE FOMENTO DE LA CONSERVACION, MEJORA DE LA SEGURIDAD DE UTILIZACION Y DE LA ACCESIBILIDAD- LINEA A"/>
        <s v="COMUNICACION DE MODIFICACION DE LAS ACTUACIONES"/>
        <s v="SOLICITUD DE DECLARACION Y FINANCIACION DEL AREA DE REGENERACION Y RENOVACION URBANA Y RURAL"/>
        <s v="SOLICITUD DEL RECONOCIMIENTO DEL DERECHO A LA SUBVENCION"/>
        <s v="SOLICITUD DE ABONO DE LA AYUDA RECONOCIDA PARA ACTUACIONES DE REHABILITACION DE VIVIENDAS, SUSTITUCION DE VIVIENDAS, MEJORA DEL MEDIO URBANO, REALOJOS TEMPORALES Y EQUIPOS DE GESTION EN EL ARRUR"/>
        <s v="SOLICITUD DE ABONO PARA AYUDA RECONOCIDA PARA LA ADQUISICION DE VIVIENDA HABITUAL Y PERMANENTE EN REGIMEN DE PROPIEDAD POR JOVENES."/>
        <s v="AYUDAS A LA ADQUISICION DE VIVIENDA EN PROPIEDAD POR LOS JOVENES PARA CONTRIBUIR AL RETO DEMOGRAFICO DE CASTILLA-LA MANCHA, EN EL MARCO DEL PLAN ESTATAL DE VIVIENDA 2022-2025."/>
        <s v="COMUNICACION DE MODIFICACION DE LAS CONDICIONES DE LAS AYUDAS AL ARRENDAMIENTO DE VIVIENDAS DIRIGIDAS A VICTIMAS DE VIOLENCIA DE GENERO."/>
        <s v="ABONO DE LAS AYUDAS AL ARRENDAMIENTO DE VIVIENDAS DIRIGIDAS A VICTIMAS DE VIOLENCIA DE GENERO"/>
        <s v="SOLICITUD DE AYUDAS AL ARRENDAMIENTO DE VIVIENDAS DIRIGIDAS A VICTIMAS DE VIOLENCIA DE GENERO."/>
        <s v="SOLICITUD DE AYUDA PARA ACTUACIONES DE REHABILITACION ENERGETICA EN VIVIENDAS EXISTENTES."/>
        <s v="ABONO DE LA AYUDA PARA LA REHABILITACION ENERGETICA EN EDIFICIOS EXISTENTES"/>
        <s v="AYUDA PARA LA REHABILITACION ENERGETICA EN VIVIENDAS EXISTENTES EN MUNICIPIOS DE RETO DEMOGRAFICO."/>
        <s v="CALIFICACION/DECLARACION PROVISIONAL DE VIVIENDA DE PROTECCION PUBLICA"/>
        <s v="CALIFICACION/DECLARACION DEFINITIVA DE VIVIENDA DE PROTECCION PUBLICA"/>
        <s v="DECLARACION DE INTERES REGIONAL DE LOS PROYECTOS DE SINGULAR INTERES PROMOVIDOS POR PERSONAS O ENTIDADES PARTICULARES"/>
        <s v="VISADOS DE CONTRATOS DE VIVIENDA"/>
        <s v="PRUEBAS DE COMPETENCIA PROFESIONAL PARA LA REALIZACION DE TRANSPORTE PUBLICO INTERIOR E INTERNACIONAL DE VIAJEROS Y MERCANCIAS."/>
        <s v="PRUEBAS DE CONSEJEROS DE SEGURIDAD PARA EL TRANSPORTE"/>
        <s v="PRUEBAS PARA LA OBTENCION DEL CERTIFICADO DE APTITUD PROFESIONAL ACREDITATIVO DE LA CUALIFICACION INICIAL DE LOS CONDUCTORES DE DETERMINADOS VEHICULOS DESTINADOS AL TRANSPORTE POR CARRETERA."/>
        <s v="HOMOLOGACION DE CURSOS DE FORMACION DE CONDUCTORES (CAP)."/>
        <s v="APROBACION DE PROYECTO DE SINGULAR INTERES PROMOVIDO POR PERSONAS O ENTIDADES PARTICULARES."/>
        <s v="SOLICITUD POR AYUNTAMIENTOS A LA CONSEJERIA DE FOMENTO PARA EMISION INFORME VINCULANTE EN MATERIA DE AUTORIZACIONES INTERURBANAS DE TAXI."/>
        <s v="SOLICITUD DE AYUDAS AL ARRENDAMIENTO DE VIVIENDA LIBRE A TRAVES DEL PROGRAMA DE ALQUILER CON GARANTIAS ESPECIALES."/>
        <s v="EXPEDICION (PRIMERA EMISION), RENOVACION, MODIFICACION DE DATOS O SUSTITUCION DE LA TARJETA DE TACOGRAFO DIGITAL DE EMPRESA."/>
        <s v="EXPEDICION (PRIMERA EMISION), RENOVACION, MODIFICACION DE DATOS O SUSTITUCION DE TARJETA DE TACOGRAFO DIGITAL DE CENTRO DE ENSAYO."/>
        <s v="EXPEDICION (PRIMERA EMISION), RENOVACION, MODIFICACION DE DATOS, SUSTITUCION O CANJE DE TARJETA DE TACOGRAFO DIGITAL DE CONDUCTOR."/>
        <s v="REVERSION DE BIENES Y/O DERECHOS EXPROPIADOS POR LA CONSEJERIA DE FOMENTO."/>
        <s v="ALEGACIONES AL TRAMITE DE INFORMACION PUBLICA EN EL PROCEDIMIENTO DE EXPROPIACION FORZOSA"/>
        <s v="HOJA DE APRECIO PARA LA FIJACION DEL JUSTIPRECIO"/>
        <s v="ALEGACIONES EXPEDIENTES SANCIONADORES EN MATERIA DE TRANSPORTES"/>
        <s v="PROGRAMA DE ASISTENCIA, ASESORAMIENTO E INTERMEDIACION HIPOTECARIA"/>
        <s v="PROCESO SELECTIVO PARA LA AMPLIACION DE LA BOLSA DE TRABAJO DEL CUERPO TECNICO, ESPECIALIDAD ARQUITECTURA TECNICA."/>
        <s v="PROCESO SELECTIVO PARA LA AMPLIACION DE LA BOLSA DE TRABAJO DEL CUERPO SUPERIOR, ESPECIALIDAD ARQUITECTURA SUPERIOR."/>
        <s v="RESPONSABILIDAD PATRIMONIAL."/>
        <s v="MORATORIA EXTRAORDINARIA EN EL PAGO DE LA RENTA, PARA PERSONAS EN SITUACION DE VULNERABILIDAD ECONOMICA A CAUSA DEL COVID-19. VIVIENDAS PERTENECIENTES AL PARQUE PUBLICO DE VIVIENDA JCCM"/>
        <s v="MORATORIA EXTRAORDINARIA EN EL PAGO DE LA RENTA, PARA PERSONAS EN SITUACION DE VULNERABILIDAD ECONOMICA A CAUSA DEL COVID-19. VIVIENDAS PERTENECIENTES A LA EMPRESA PUBLICA GICAMAN"/>
        <s v="MODIFICACION DEL DEPOSITO DE FIANZA DE ARRENDAMIENTOS URBANOS."/>
        <s v="SOLICITUD DE CERTIFICACION DE CONSTITUCION DEL DEPOSITO DE FIANZAS DE ARRENDAMIENTOS URBANOS."/>
        <s v="DEVOLUCION DEL DEPOSITO DE FIANZA DE ARRENDAMIENTOS URBANOS."/>
        <s v="LIQUIDACION ORDINARIA/EXTRAORDINARIA."/>
        <s v="MODIFICACION DEL CONCIERTO"/>
        <s v="CESE DEL CONCIERTO."/>
        <s v="ACCESO AL REGIMEN ESPECIAL DE CONCIERTO."/>
        <s v="PROVISION DE PUESTOS DE TRABAJO POR EL PROCEDIMIENTO DE LIBRE DESIGNACION (FOMENTO)"/>
        <s v="CONVOCATORIA DE CONCURSO SINGULARIZADO DE MERITOS PARA LA PROVISION DE PUESTOS DE TRABAJO VACANTES EN LA ADMINISTRACION DE LA JUNTA DE COMUNIDADES DE CASTILLA-LA MANCHA."/>
        <s v="CONCESION SOBRE BIENES DE DOMINIO PUBLICO."/>
        <s v="ENAJENACION DE BIENES"/>
        <s v="CESION GRATUITA DE BIENES DE TITULARIDAD DE LA JUNTA DE COMUNIDADES DE CASTILLA-LA MANCHA ADSCRITOS A LA CONSEJERIA DE FOMENTO."/>
        <s v="PRESENTACION DE ALEGACIONES DURANTE EL PERIODO DE INFORMACION PUBLICA DE EXPEDIENTES DE PROYECTOS Y ESTUDIOS DE CARRETERAS."/>
        <s v="AYUDAS SOCIALES DIRIGIDAS A MUJERES VICTIMAS DE VIOLENCIA DE GENERO CON ESPECIALES DIFICULTADES PARA OBTENER UN EMPLEO"/>
        <s v="AYUDAS DE SOLIDARIDAD A LAS MUJERES VICTIMAS DE VIOLENCIA DOMESTICA"/>
        <s v="CONCESION DEL DISTINTIVO DE EXCELENCIA EN IGUALDAD DE GENERO."/>
        <s v="CONVOCATORIA DE SUBVENCIONES PARA EL ACCESO A PISOS TUTELADOS DESTINADOS A MUJERES VICTIMAS DE VIOLENCIA DE GENERO, MEDIANTE LA MODALIDAD DE SUBVENCION EN ESPECIE EN 2022"/>
        <s v="CONVOCATORIA DE AYUDAS PARA PLANES DE IGUALDAD EN EL AÑO 2022."/>
        <s v="CONVOCATORIA DE AYUDAS PARA LA REDUCCION DE BRECHAS DE GENERO EN EL AMBITO LABORAL"/>
        <s v="CONVOCAR EL VI PREMIO INTERNACIONAL DE CASTILLA-LA MANCHA A LA IGUALDAD DE GENERO LUISA DE MEDRANO."/>
        <s v="AYUDAS A LA INVESTIGACION"/>
        <s v="CONVOCATORIA DE AYUDAS PARA LOS CONSEJOS LOCALES DE LA MUJER O DE IGUALDAD"/>
        <s v="CONVOCATORIA DE LOS PREMIOS Y MUESTRA MUJERES EN EL ARTE DEL INSTITUTO DE LA MUJER DE CASTILLA-LA MANCHA  AMALIA AVIA  EN EL AÑO 2022"/>
        <s v="BECAS LEONOR SERRANO PABLO DE ESTUDIOS UNIVERSITARIOS A MUJERES VICTIMAS DE VIOLENCIA DE GENERO Y A SUS HIJAS E HIJOS EN 2022."/>
        <s v="REINTEGRO DE SUBVENCIONES EN EL AMBITO DEL INSTITUTO DE LA MUJER DE CASTILLA-LA MANCHA"/>
        <s v="PRESENTACION DE ALEGACIONES Y/O DOCUMENTACION EN PROCEDIMIENTOS DEL INSTITUTO DE LA MUJER DE CASTILLA-LA MANCHA"/>
        <s v="CONVOCATORIA DE AYUDAS PARA PLANES ESTRATEGICOS DE IGUALDAD MUNICIPALES"/>
        <s v="AYUDAS PARA FAVORECER LA NO DISCRIMINACION DE LAS PERSONAS PERTENECIENTES AL COLECTIVO LGTBI EN 2022."/>
        <s v="CONVOCATORIA DE AYUDAS PARA LA PROMOCION DE LA IGUALDAD DE GENERO"/>
        <s v="CONVOCATORIA DE AYUDAS PARA LA PREVENCION DE LA MUTILACION GENITAL FEMENINA (MGF)"/>
        <s v="CONVOCATORIA DE AYUDAS PARA LA PROMOCION DE LOS FINES Y VALORES DEL INSTITUTO DE LA MUJER EN 2022."/>
        <s v="AYUDAS PARA FOMENTAR EL ASOCIACIONISMO DE MUJERES"/>
        <s v="JUSTIFICACION DE UNA SUBVENCION A LA FUNDACION SECRETARIADO GITANO PARA LA PROMOCION DE LA IGUALDAD DE LAS MUJERES GITANAS Y ATENCION A LA MULTIPLE DISCRIMINACION: CALI"/>
        <s v="CONVOCATORIA PREMIO PERIODISTICO LUISA ALBERCA LORENTE POR LA IGUALDAD DE GENERO EN C-LM"/>
        <s v="JUSTIFICACION DE CONCESION DIRECTA DE UNA SUBVENCION A LA FUNDACION MUJERES PARA FINANCIAR EL PROYECTO DANA + EN CASTILLA-LA MANCHA."/>
        <s v="JUSTIFICACION DE CONCESION DIRECTA DE SUBVENCIONES A MUNICIPIOS Y EATIM, A UGT Y CCOO PARA EL DESARROLLO DE ACTUACIONES INCLUIDAS EN EL PLAN CORRESPONSABLES."/>
        <s v="CONVOCATORIA DE SUBVENCIONES DESTINADAS A ACTUACIONES DE INVERSION EN LOS CENTROS DE LA MUJER Y RECURSOS DE ACOGIDA DE CASTILLA-LA MANCHA EN EL AÑO 2021."/>
        <s v="PREMIO A LAS BUENAS PRACTICAS EN IGUALDAD DE GENERO Y CONTRA LA VIOLENCIA MACHISTA QUE SE IMPULSEN DESDE LOS CENTROS DE LA MUJER DE CASTILLA-LA MANCHA"/>
        <s v="CONCESION DIRECTA DE SUBVENCIONES A MUNICIPIOS Y EATIM, PARA EL DESARROLLO DE ACTUACIONES INCLUIDAS EN EL PLAN CORRESPONSABLES."/>
        <s v="CONVOCATORIA DE LOS PREMIOS DE CASTILLA-LA MANCHA MUJERES EN EL CINE ALICE GUY"/>
        <s v="AYUDAS PARA LA PREVENCION DE LA TRATA Y LA EXPLOTACION SEXUAL"/>
        <s v="AYUDAS PARA LA PREVENCION DE LA DISCRIMINACION MULTIPLE"/>
        <s v="CONVOCATORIA DE SUBVENCIONES PARA LA GESTION DEL FUNCIONAMIENTO DE CENTROS DE LA MUJER PARA VICTIMAS DE VIOLENCIA DE GENERO EN CASTILLA- LA MANCHA, PARA 2023-2024"/>
        <s v="CONVOCATORIA DE SUBVENCIONES PARA LA GESTION DEL FUNCIONAMIENTO DE RECURSOS DE ACOGIDA PARA VICTIMAS DE VIOLENCIA DE GENERO EN CASTILLA- LA MANCHA, PARA 2023-2024"/>
        <s v="AYUDAS A FAMILIARES EN SITUACION DE DEPENDENCIA DE LA MUJER VICTIMA MORTAL POR VIOLENCIA DE GENERO"/>
        <s v="AYUDAS A MENORES DE EDAD EN SITUACION DE ORFANDAD COMO CONSECUENCIA DE LA VIOLENCIA DE GENERO"/>
        <s v="PROCEDIMIENTO PARA EL RECONOCIMIENTO DE LA EXPERIENCIA LABORAL FORMAL O NO FORMAL EN EL SECTOR DE LOS CUIDADOS DE MENORES HASTA 14 AÑOS EN EL AMBITO DEL PLAN CORRESPONSABLES."/>
        <s v="ACREDITACION ADMINISTRATIVA DE LA CONDICION DE VICTIMA DE VIOLENCIA DE GENERO"/>
        <s v="PROVISION DE PUESTOS DE TRABAJO DE PERSONAL FUNCIONARIO LD. IM F1/2022"/>
        <s v="CASTILLA-LA MANCHA OPEN DAY DE CHINA 2022"/>
        <s v="MISION COMERCIAL VIRTUAL A PAISES NORDICOS"/>
        <s v="V2B WINE MEETING PEKIN"/>
        <s v="V2B WINE MEETING GUANGZHOU"/>
        <s v="V2B WINE MEETING TAILANDIA."/>
        <s v="FERIA WBWE"/>
        <s v="PROMOCION EN MARKETPLACES INTERNACIONALES DE MODA B2B  JOOR Y WE WANT SHOES"/>
        <s v="FERIAS INTERNACIONALES AGROALIMENTARIAS"/>
        <s v="IMPULSA TU EMPRESA  EN CHINA"/>
        <s v="FERIA DE HOTELES DE CHENGDU"/>
        <s v="ANTAD RETAIL CONNECT: INTERNATIONAL WEEK 2021"/>
        <s v="FERIAS INTERNACIONALES AGROALIMENTARIAS SEGUNDO TRIMESTRE."/>
        <s v="FERIAS INTERNACIONALES SECTORES INDUSTRIALES CUARTO TRIMESTRE"/>
        <s v="FERIAS INTERNACIONALES BIENES DE CONSUMO CUARTO TRIMESTRE 2022, (2ª CONVOCATORIA)."/>
        <s v="FERIAS INTERNACIONALES SECTOR MODA TERCER TRIMESTRE"/>
        <s v="V2B WINE MEETING EN SINGAPUR"/>
        <s v="V2B WINE MEETING EN TAILANDIA."/>
        <s v="V2B WINE MEETING CHINA: CHENGDU"/>
        <s v="MISION COMERCIAL VIRTUAL DE VINO EN COSTA DE MARFIL"/>
        <s v="MISION COMERCIAL DIRECTA DE VINO EN GHANA ( 3ª CONVOCATORIA)"/>
        <s v="MISION COMERCIAL DIRECTA DE VINO EN CAMERUN (3ª CONVOCATORIA)"/>
        <s v="VISITA FERIA A TASTE OF TAVOLA Y PLATAFORMA TAVOLA ONLINE"/>
        <s v="VISITA A FERIA YUMMEX"/>
        <s v="VISITA FERIA AMERICAS FOOD&amp;BEVERAGES SHOW"/>
        <s v="MISION COMERCIAL DIRECTA MULTISECTORIAL A MARRUECOS"/>
        <s v="MISION COMERCIAL DIRECTA A ETIOPIA"/>
        <s v="SPANISH EXTRAVAGANZA CIUDAD DE MEXICO."/>
        <s v="MISION COMERCIAL DIRECTA A ESTADOS UNIDOS"/>
        <s v="V2B WINE MEETING EN TAIWAN."/>
        <s v="MISION COMERCIAL DIRECTA A SENEGAL Y COSTA DE MARFIL"/>
        <s v="V2B WINE MEETING EN COREA 2021."/>
        <s v="V2B WINE MEETING EN NINGBO"/>
        <s v="V2B WINE MEETING EN QUINGDAO."/>
        <s v="CONVOCATORIA DE AYUDAS DESTINADAS AL DESARROLLO DE PLANES INDIVIDUALES DE INTERNACIONALIZACION"/>
        <s v="FERIA WORLD BULK WINE EXHIBITION."/>
        <s v="FOOD AND HOTEL PROWINE CHINA."/>
        <s v="FERIA BATIMATEC ARGELIA."/>
        <s v="VISITA A LA FERIA WORLD TRAVEL MARKET LONDRES"/>
        <s v="FERIA BIOFACH"/>
        <s v="FERIA FRUIT LOGISTICA."/>
        <s v="FERIA VINEXPO NUEVA YORK"/>
        <s v="FERIA PROWEIN."/>
        <s v="FERIA MILLESIME BIO"/>
        <s v="FERIA ISM"/>
        <s v="SALON DU FROMAGE ET DES PRODUITS LAITIERS"/>
        <s v="MISION COMERCIAL DIRECTA A MEXICO"/>
        <s v="FERIA TAVOLA 2022."/>
        <s v="FERIA SHANGRI LA CHENGDU"/>
        <s v="B2B MEETINGS BRASIL 2022"/>
        <s v="MISION COMERCIAL DIRECTA A SUDAFRICA Y MOZAMBIQUE"/>
        <s v="PREPARA TU EMPRESA PARA VENDER EN EEUU 2022"/>
        <s v="MISION COMERCIAL DIRECTA A COLOMBIA"/>
        <s v="FERIA GULFOOD"/>
        <s v="FERIA IWA NUREMBERG"/>
        <s v="MISION COMERCIAL DIRECTA A RUSIA"/>
        <s v="FERIA IBERICA EXPO LONDON 2022"/>
        <s v="ENCUENTRO EMPRESARIAL DE HABITAT B2B EN FRANCIA"/>
        <s v="SIAL PARIS 2022"/>
        <s v="PROMOCION EN PUNTO DE VENTA EN LA TIENDA ONLINE DE IBERICA FOOD 2022  (2ª CONVOCATORIA)."/>
        <s v="MISION COMERCIAL DIRECTA DE VINO EN COSTA DE MARFIL (2ª CONVOCATORIA)."/>
        <s v="V2B WINE MEETING HANGZHOU"/>
        <s v="V2B WINE MEETING TIANJIN Y XIAMEN"/>
        <s v="MISION COMERCIAL DIRECTA NUEVA DELHI"/>
        <s v="MISION COMERCIAL DIRECTA A EMIRATOS ARABES UNIDOS Y ARABIA SAUDI"/>
        <s v="VISITA FERIA SUMMER FANCY FOOD SHOW"/>
        <s v="PROMOCION EN PUNTO DE VENTA EN LA TIENDA ONLINE DE RIVERA WINE AND GOURMET"/>
        <s v="MISION COMERCIAL DIRECTA A ECUADOR ( 2ª CONVOCATORIA)"/>
        <s v="PROMOCION EN PUNTO DE VENTA EN MERCADOS ELECTRONICOS DE EEUU + PLATAFORMA LOGISTICA"/>
        <s v="ACCEDE AL MERCADO ESTADOS UNIDOS"/>
        <s v="VISITA A LA FERIA DEL LIBRO DE FRANFURT"/>
        <s v="MISION COMERCIAL DIRECTA A REPUBLICA DOMINICANA Y PUERTO RICO SEGUNDA CONVOCATORIA"/>
        <s v="FERIA ISM MIDDLE EAST"/>
        <s v="MISION COMERCIAL DIRECTA A RUMANIA SEGUNDA CONVOCATORIA"/>
        <s v="MISION COMERCIAL DIRECTA A PAISES BAJOS"/>
        <s v="MISION COMERCIAL DIRECTA A REINO UNIDO"/>
        <s v="VISITA A LA FERIA SIAL PARIS"/>
        <s v="B2B WINE ROAD SHOW JAPON Y COREA DEL SUR"/>
        <s v="PRESENTACION DE PRODUCTOS EN PERU"/>
        <s v="V2B FOOD MEETINGS BRASIL"/>
        <s v="MISION COMERCIAL DIRECTA A JAPON Y COREA DEL SUR"/>
        <s v="FERIA RESTAURANT AND BAR HONG KONG"/>
        <s v="B2B WINE ROADSHOW FILIPINAS Y VIETNAM"/>
        <s v="MISION COMERCIAL DIRECTA A CAMERUN Y GABON"/>
        <s v="B2B WINE ROADSHOW INDONESIA Y TAIWAN"/>
        <s v="V2B WINE MEETING WUHAN 2022"/>
        <s v="ACCESS TO MARKET WINE USA"/>
        <s v="EXPOSICION DE PRODUCTOS EN MEXICO"/>
        <s v="PROMOCION PUNTO DE VENTA VINO: GRUPO CORNERS DELI CHINA"/>
        <s v="FERIA FOOD EXPO GREECE"/>
        <s v="B2B WINE MEETING SUIZA"/>
        <s v="PRESENTACION DE PRODUCTO VINO SINGAPUR Y HONG KONG (2ª CONVOCATORIA)"/>
        <s v="IMPULSA TU EMPRESA EN EEUU"/>
        <s v="FERIA ANUGA, DIRIGIDA A EMPRESAS EXPOSITORAS."/>
        <s v="VISITA FERIA ANUGA, DIRIGIDA A EMPRESAS VISITANTES DE LA FERIA (NO EXPOSITORAS)"/>
        <s v="VISITA FERIA MICAM I SHOE EVENT MILAN (NO EXPOSITORES)"/>
        <s v="MICAM II SHOE EVENT MILAN , (DIRIGIDA A EMPRESAS EXPOSITORAS)."/>
        <s v="SOLICITUD PARA EL PROCESO SELECCION TECNICO/A COMERCIO EXTERIOR EN IPEX."/>
        <s v="SOLICITUD PARA EL PROCESO SELECCION GESTOR/A PROYECTOS PARA DEPARTAMENTO CAPTACION INVERSIONES IPEX"/>
        <s v="EJERCICIO DE LOS DERECHOS DE ACCESO, RECTIFICACION, OPOSICION, LIMITACION, PORTABILIDAD, SUPRESION Y DECISIONES AUTOMATIZADAS A LOS TRATAMIENTOS DEL SESCAM (EXCLUIDOS LOS DATOS SANITARIOS)"/>
        <s v="AYUDAS POR DESPLAZAMIENTOS Y MANUTENCION"/>
        <s v="CURSOS FORMACION CONTINUADA"/>
        <s v="CORRECCION DE DATOS RELATIVOS A LA APORTACION FARMACEUTICA."/>
        <s v="EMISION DE INFORMES Y CERTIFICADOS DEL SERVICIO DE SALUD DE CASTILLA-LA MANCHA"/>
        <s v="ACREDITACION COMO TUTOR DE FORMACION SANITARIA ESPECIALIZADA EN CASTILLA-LA MANCHA"/>
        <s v="INFORME DE USO DE UN DESFIBRILADOR EXTERNO AUTOMATIZADO (DEA) FUERA DEL AMBITO SANITARIO"/>
        <s v="SUGERENCIAS,AGRADECIMIENTOS E INICIATIVAS RELATIVAS AL SESCAM"/>
        <s v="RECLAMACIONES Y QUEJAS RELATIVAS AL SESCAM"/>
        <s v="SELECCION TEMPORAL DE PERSONAL LICENCIADO SANITARIO SIN LISTADOS DEFINITIVOS DE BOLSA DE TRABAJO"/>
        <s v="OFERTA Y ADJUDICACION DE DESTINOS DERIVADOS DE LOS PROCESOS SELECTIVOS DE PERSONAL ESTATUTARIO DEL SERVICIO DE SALUD DE CASTILLA-LA MANCHA."/>
        <s v="SOLICITUD DE BAJA DE CATEGORIA DE BOLSA DE SELECCION DE PERSONAL TEMPORAL DEL SESCAM."/>
        <s v="CONVOCATORIA PARA LA SELECCION DE PERSONAL TEMPORAL DE 3 PLAZAS DE MEDICO/A PEAC (PERSONAL ESTATUTARIO DE ATENCION CONTINUADA)  EN LA GERENCIA DE ATENCION INTEGRADA DE VALDEPEÑAS."/>
        <s v="PROVISION MEDIANTE NOMBRAMIENTO ESTATUTARIO TEMPORAL DE INTERINIDAD, DE UNA PLAZA DE FACULTATIVO ESPECIALISTA DE AREA HEMATOLOGIA - HEMOTERAPIA, GAI TALAVERA REINA. SESCAM."/>
        <s v="PROVISION MEDIANTE NOMBRAMIENTO ESTATUTARIO TEMPORAL DE INTERINIDAD, DE UNA PLAZA DE FACULTATIVO ESPECIALISTA DE AREA DE ANALISIS CLINICOS,  GAI TALAVERA REINA. SESCAM."/>
        <s v="PROCESOS DE SELECCION DEL PERSONAL ESTATUTARIO FIJO DE LAS INSTITUCIONES SANITARIAS DEL SERVICIO DE SALUD DE CASTILLA-LA MANCHA."/>
        <s v="SUBSANACION DE SOLICITUDES PRESENTADAS PARA PARTICIPAR EN LOS PROCESOS SELECTIVOS DE PERSONAL ESTATUTARIO FIJO DEL SESCAM"/>
        <s v="SOLICITUD DE EXCLUSION TEMPORAL VOLUNTARIA"/>
        <s v="SOLICITUD DE REINGRESO TRAS EXCLUSION TEMPORAL EN BOLSA DE TRABAJO"/>
        <s v="SOLICITUD DE SUSPENSION TEMPORAL"/>
        <s v="SOLICITUD DE REINGRESO TRAS SUSPENSION TEMPORAL / NO DISPONIBILIDAD"/>
        <s v="SOLICITUD DE NO DISPONIBILIDAD"/>
        <s v="SOLICITUD DE RECLAMACION Y/O SUBSANACION A LOS LISTADOS PROVISIONALES DE LA BOLSA DE TRABAJO DEL SESCAM"/>
        <s v="PROCESOS DE SELECCION DE PERSONAL TEMPORAL DE IISS DEL SESCAM (BOLSAS DE TRABAJO)"/>
        <s v="SOLICITUD PROVISION DE JEFATURA DE CARACTER ASISTENCIAL DEL SESCAM. JEFATURA DE SERVICIO DE PEDIATRIA. GAI DE ALCAZAR DE SAN JUAN"/>
        <s v="PROVISION DE JEFATURA DE CARACTER ASISTENCIAL DEL SERVICIO DE SALUD DE CASILLA-LA MANCHA. JEFATURA DE SECCION DE NEUROLOGIA. GERENCIA DE ATENCION INTEGRADA ALBACETE."/>
        <s v="SEGUNDA OPINION MEDICA"/>
        <s v="CITA PREVIA CON SU MEDICO DE CABECERA, PEDIATRA O ENFERMERO"/>
        <s v="TARJETA SANITARIA INDIVIDUAL"/>
        <s v="CONVENIO ESPECIAL ASISTENCIA SANIT. A PERSONAS QUE NO TENGAN LA CONDICION DE ASEGURADAS NI BENEFICIARIAS A EFECTOS DE LA ASISTENCIA SANIT. A TRAVES DEL SISTEMA NACIONAL DE SALUD."/>
        <s v="SOLICITUD DE LIBRE ELECCION EN EL AMBITO DE LA ATENCION PRIMARIA."/>
        <s v="SOLICITUD DE LIBRE ELECCION EN EL AMBITO DE LA ATENCION ESPECIALIZADA."/>
        <s v="AUTORIZACION PREVIA ASISTENCIA SANITARIA TRANSFRONTERIZA"/>
        <s v="PROCEDIMIENTO DE ADHESION Y DE BAJA DE ESTABLECIMIENTOS DISPENSADORES DE MATERIAL ORTOPROTESICO EN CASTILLA-LA MANCHA."/>
        <s v="COMUNICACION DE MODIFICACION DE REQUISITOS PARA LA INCLUSION EN EL SISTEMA SANITARIO PUBLICO DE CASTILLA-LA MANCHA"/>
        <s v="SOLICITUD DE TARJETA PARA LA ATENCION SANITARIA EN EL SESCAM"/>
        <s v="REINTEGRO DE GASTOS POR ASISTENCIA SANITARIA TRANSFRONTERIZA"/>
        <s v="REINTEGRO DE GASTOS POR ASISTENCIA SANITARIA URGENTE, INMEDIATA Y DE CARACTER VITAL."/>
        <s v="REINTEGRO DE GASTOS POR PRESTACION ORTOPROTESICA"/>
        <s v="REINTEGRO DE GASTOS POR SALUD BUCODENTAL"/>
        <s v="REINTEGRO DE GASTOS POR ADQUISICION DE MEDICAMENTOS Y EFECTOS Y ACCESORIOS PARA PACIENTES MENORES DE EDAD AFECTADOS POR DISCAPACIDAD IGUAL O SUPERIOR AL 33%."/>
        <s v="PROCEDIMIENTO DE REINTEGRO DE GASTOS POR ATENCION PODOLOGICA DEL PIE DIABETICO (QUIROPODIA BASICA)"/>
        <s v="REINTEGRO DE GASTOS POR APORTACIONES EN LA PRESTACION FARMACEUTICA AMBULATORIA"/>
        <s v="EXENCION DE JORNADA COMPLEMENTARIA EN HORARIO DE ATENCION CONTINUADA POR GUARDIAS DEL PERSONAL DE II.SS DEL SESCAM"/>
        <s v="DECLARACION DE SITUACIONES ADMINISTRATIVAS PERSONAL IISS SESCAM"/>
        <s v="RECONOCIMIENTO DE SERVICIOS PREVIOS DEL PERSONAL DE INSTITUCIONES SANITARIAS DEL SESCAM."/>
        <s v="ANTICIPOS DE RETRIBUCIONES AL PERSONAL ESTATUTARIO DEL SESCAM."/>
        <s v="AUTORIZACION DE COMPATIBILIDAD PARA SEGUNDA ACTIVIDAD PUBLICA DEL PERSONAL DE II.SS. DEL SESCAM"/>
        <s v="AUTORIZACION DE COMPATIBILIDAD PARA SEGUNDA ACTIVIDAD PRIVADA DEL PERSONAL DE IISS DEL SESCAM."/>
        <s v="REINGRESO AL SERVICIO ACTIVO."/>
        <s v="AUTORIZACION DE COMISIONES DE SERVICIO Y SUS PRORROGAS EL PERSONAL DE IISS DEL SECAM"/>
        <s v="SOLICITUD DE ADMISION A LA CONVOCATORIA DE PROVISION DE JEFATURAS DE CARACTER ASISTENCIAL DEL SERVICIO DE SALUD DE CASTILLA-LA MANCHA (SESCAM)"/>
        <s v="PROVISION, POR EL PROCEDIMIENTO DE LIBRE DESIGNACION, DE PUESTO DE TRABAJO VACANTE EN LA ADMINISTRACION DE LA JUNTA DE COMUNIDADES DE CASTILLA-LA MANCHA (LD. SESCAM F2/2022)."/>
        <s v="PROVISION DE  PUESTOS DE PERSONAL DIRECTIVO DE LAS INSTITUCIONES SANITARIAS DEL SERVICIO DE SALUD DE CASTILLA-LA MANCHA 3/2022."/>
        <s v="TELETRABAJO DEL PERSONAL DE CENTROS E INSTITUCIONES SANITARIAS DEL SESCAM."/>
        <s v="AUTORIZACION PARA SOLICITAR CERTIFICACION DEL REGISTRO CENTRAL DE DELINCUENTES SEXUALES"/>
        <s v="CONCURSO PERMANENTE PARA LA PROVISION DE PUESTOS DE TRABAJO DE LA ESCALA SUPERIOR DE SANITARIOS LOCALES, ESPECIALIDAD MEDICINA, DE LA ADMINISTRACION DE LA JUNTA DE COMUNIDADES DE CLM."/>
        <s v="SUBSANACION DEFECTOS PROVISION DE PUESTOS DE TRABAJO POR EL SISTEMA DE CONCURSO DE TRASLADOS PERSONAL ESTATUTARIO (FACULTATIVO)"/>
        <s v="SUBSANACION DEFECTOS PROVISION DE PUESTOS DE TRABAJO POR EL SISTEMA DE CONCURSO DE TRASLADOS PERSONAL ESTATUTARIO PERSONAL SANITARIO DE GRADO, DIPLOMADO Y TECNICO Y PERSONAL DE GESTION Y SERVICIOS"/>
        <s v="CONCURSO PERMANENTE PARA LA PROVISION DE PUESTOS DE TRABAJO DE LA ESCALA TECNICA DE SANITARIOS LOCALES DE LA JUNTA DE COMUNIDADES DE CASTILLA- LA MANCHA."/>
        <s v="RECLAMACION CONTRA ACUERDO DE LA COMISION DE VALORACION SOBRE RESULTADO PROVISIONAL DE LA CONVOCATORIA DE JEFATURA DE SERVICIO DE DERMATOLOGIA MEDICO-QUIRURGICA Y VENEREOLOGIA. GAI DE ALBACETE"/>
        <s v="MOVILIDAD INTERNA VOLUNTARIA EN EL AMBITO DE LA ATENCION PRIMARIA DEL SERVICIO DE SALUD DE CASTILLA-LA MANCHA (SESCAM)"/>
        <s v="MOVILIDAD INTERNA VOLUNTARIA EN EL AMBITO DE LA GERENCIA DE URGENCIAS, EMERGENCIAS Y TRANSPORTE SANITARIO (GUETS)"/>
        <s v="PROVISION DE LA JEFATURA DE SECCION DE NEUROLOGIA  EN LA GERENCIA DE ATENCION ESPECIALIZADA DEL HOSPITAL NACIONAL DE PARAPLEJICOS. SESCAM"/>
        <s v="PROCESOS DE PROVISION DEL PERSONAL  DE II.SS DEL SESCAM. PERSONAL FACULTATIVO."/>
        <s v="SOLICITUD SUBSANACION DE LOS DEFECTOS MOTIVO DE EXCLUSION EN EL CONCURSO DE TRASLADOS PARA LA PROVISION DE PLAZAS DE PERSONAL ESTATUTARIO DEL SESCAM"/>
        <s v="PROCESO DE PROVISION PERSONAL ESTATUTARIO FACULTATIVO ESPECIALISTA DE AREA Y ATENCION PRIMARIA"/>
        <s v="PROCESO DE PROVISION DE PERSONAL ESTATUTARIO SANITARIO DE GRADO/DIPLOMADO Y SANITARIO TECNICO Y GESTION Y SERVICIOS."/>
        <s v="RECLAMACION CONTRA ADJUDICACION PROVISIONAL DE DESTINOS DEL CONCURSO DE TRASLADOS PERSONAL ESTATUTARIO DEL SESCAM, FACULTATIVO ESPECIALISTA DE AREA Y ATENCION PRIMARIA."/>
        <s v="RECLAMACION ADJUDICACION PROVISIONAL DE DESTINOS DEL CONCURSO DE TRASLADOS PARA LA PROVISION DE PLAZAS DE PERSONAL ESTATUTARIO SANITARIO NO FACULTATIVO Y PERSONAL DE GESTION Y SERVICIOS."/>
        <s v="LISTADOS PROVISIONALES DE ADMITIDOS Y EXCLUIDOS CONCURSO PERSONAL ESTATUTARIO"/>
        <s v="SOLICITUD DE SUBSANACION DE DEFECTOS A LA PROVISION DE PUESTOS DE PERSONAL ESTATUTARIO SANITARIO, NO FACULTATIVO Y PERSONAL DE GESTION Y SERVICIOS DEL SESCAM"/>
        <s v="SUBSANACION  DE EXCLUSION EN EL CONCURSO DE TRASLADOS PARA LA PROVISION DE PLAZAS DE PERSONAL ESTATUTARIO DEL SESCAM NO FACULTATIVO CATEGORIA GESTION Y SERVICIOS"/>
        <s v="RECLAMACION A LA RELACION PROVISIONAL DE ADMITIDOS Y EXCLUIDOS APROBADA POR COMISION DE VALORACION PARA LA PROVISION DE LA JEFATURA DE Sº DE ANESTESIOLOGIA Y REANIMACION EN LA GAI DE CIUDAD REAL."/>
        <s v="RECLAMACION CONTRA EL ACUERDO PROVISIONAL DE LA COMISION DE VALORACION SOBRE EL RESULTADO PROVISIONAL DE LA CONVOCATORIA DE JEFE DE SERVICIO DE ANESTESIOLOGIA Y REANIMACION. GAI  DE CIUDAD REAL"/>
        <s v="RECLAMACION RELACION PROVISIONAL PERSONAS ADMITIDAS Y EXCLUIDAS APROBADA POR COMISION DE VALORACION PARA LA PROVISION JEFATURA DE SERVICIO DE NEUMOLOGIA. GAE HNP."/>
        <s v="RECLAMACION CONTRA EL ACUERDO PROVISIONAL COMISION DE VALORACION SOBRE EL RESULTADO PROVISIONAL  CONVOCATORIA DE JEFATURA DE SERVICIO DE NEUMOLOGIA. GAE  HNP."/>
        <s v="SEGUNDA CONVOCATORIA JEFATURA DE SECCION DE MEDICINA FISICA Y REHABILITACION . GERENCIA DE HOSPITAL NACIONAL DE PARAPLEJICOS."/>
        <s v="RECLAMACION A  RELACION PROVISIONAL  ADMITIDOS/AS Y EXCLUIDOS/AS APROBADA POR COMISION DE VALORACION PARA LA  2ª PROVISION DE JEFE/A DE SECCION DE MED. FISICA Y REHABILITACION. HNP"/>
        <s v="RECLAMACION CONTRA EL ACUERDO PROVISIONAL DE COMISION DE VALORACION SOBRE RESULTADO PROVISIONAL DE CONVOCATORIA DE JEFE/A DE SECCION DE MED FISICA Y REHABILITACION H.N. PARAPLEJICOS."/>
        <s v="PROVISION DE JEFATURA DE CARACTER ASISTENCIAL DEL SERVICIO DE SALUD DE CASTILLA LA MANCHA. JEFATURA DE SECCION DE OBSTETRICIA Y GINECOLOGIA. GERENCIA A. INTEGRADA DE ALCAZAR DE SAN JUAN (SESCAM)"/>
        <s v="RECLAMACION A LA RELACION PROVISIONAL DE PERSONAS ADMITIDAS Y EXCLUIDAS APROBADA POR COMISION VALORACION JEFATURA DE SECCION DE OBSTETRICIA Y GINECOLOGIA.GAI ALCAZAR DE SAN JUAN"/>
        <s v="RECLAMACION CONTRA EL ACUERDO DE LA COMISION DE VALORACION SOBRE EL RESULTADO PROVISIONAL DE LA CONVOCATORIA DE JEFE DE SECCION DE OBST Y GINEC. GAI DE ALCAZAR SAN JUAN."/>
        <s v="RECLAMACION A LA RELACION PROVISIONAL DE PERSONAS ADMITIDAS Y EXCLUIDAS APROBADA POR COMISION VALORACION JEFATURA DE SERVICIO DE MEDICINA INTENSIVA. GERENCIA DE ATENCION INTEGRADA DE ALBACETE."/>
        <s v="RECLAMACION CONTRA EL ACUERDO DE LA COMISION DE VALORACION SOBRE EL RESULTADO PROVISIONAL DE LA CONVOCATORIA DE LA JEFATURA DE SERVICIO DE MEDICINA INTENSIVA DE LA GAI DE ALBACETE (SESCAM)."/>
        <s v="RECLAMACION A LA RELACION PROVISIONAL DE PERSONAS ADMITIDAS Y EXCLUIDAS APROBADA POR LA COMISION VALORACION JEFATURA DE SERVICIO DE OBSTETRICIA Y GINECOLOGIA. GAI DE ALBACETE"/>
        <s v="RECLAMACION CONTRA EL ACUERDO DE LA COMISION DE VALORACION SOBRE EL RESULTADO PROVISIONAL DE LA CONVOCATORIA DE LA JEFATURA DE SERVICIO DE OBSTETRICIA Y GINECOLOGIA. GAI DE ALBACETE (SESCAM)"/>
        <s v="PROVISION DE JEFATURA DE CARACTER ASISTENCIAL DEL SERVICIO DE SALUD DE CASILLA-LA MANCHA. JEFATURA DE SERVICIO DE CARDIOLOGIA, GERENCIA ATENCION INTEGRADA DE CIUDAD REAL."/>
        <s v="RECLAMACION A LA RELACION PROVISIONAL DE ADMITIDOS Y EXCLUIDOS APROBADA POR COMISION DE VALORACION EN LA PROVISION DE LA JEFATURA DE SERVICIO DE CARDIOLOGIA GAI DE CIUDAD REAL."/>
        <s v="RECLAMACION CONTRA EL ACUERDO PROVISIONAL DE LA COMISION DE VALORACION SOBRE EL RESULTADO PROVISIONAL DE LA CONVOCATORIA DE JEFATURA DE SERVICIO CARDIOLOGIA  GAI DE CIUDAD REAL."/>
        <s v="RECLAMACION A LA RELACION PROVISIONAL DE ADMITIDOS Y EXCLUIDOS APROBADA POR COMISION DE VALORACION EN LA PROVISION DE LA JEF. SERV. MEDICINA INTENSIVA GERENCIA DE ATENCION ESPECIALIZADA TOLEDO."/>
        <s v="RECLAMACION CONTRA EL ACUERDO PROVISIONAL DE LA COMISION DE VALORACION SOBRE EL RESULTADO PROVISIONAL DE LA CONVOCATORIA DE JEF. DE SERV. MEDIC. INTENSIVA GERENCIA ATENCION ESPECIALIZADA TOLEDO."/>
        <s v="PROVISION DE JEFATURA DE CARACTER ASISTENCIAL DEL SERVICIO DE SALUD DE CASILLA-LA MANCHA. JEFATURA DE SERVICIO DE ANESTESILOGIA Y REANIMACION. GERENCIA DE ATENCION INTEGRADA ALBACETE."/>
        <s v="RECLAMACION CONTRA EL ACUERDO DE LA COMISION DE VALORACION SOBRE EL RESULTADO PROVISIONAL DE LA CONVOCATORIA DE JEFATURA DE SERVICIO DE ANESTESIOLOGIA Y REANIMA. GAI DE ALBACETE. SESCAM."/>
        <s v="RECLAMACION A LA RELACION PROVISIONAL DE PERSONAS ADMITIDAS Y EXCLUIDAS APROBADA POR COMISION VALORACION JEFATURA DE SERVICIO DE ANESTESIOLOGIA Y REANIMACION. GAI DE ALBACETE."/>
        <s v="PROVISION DE JEFATURA DE CARACTER ASISTENCIAL DEL SERVICIO DE SALUD DE CASILLA-LA MANCHA. JEFATURA DE SERVICIO DE PEDIATRIA Y SUS AREAS ESPECIFICAS. GERENCIA DE ATENCION INTEGRADA ALBACETE."/>
        <s v="PROVISION DE JEFATURA DE CARACTER ASISTENCIAL DEL SERVICIO DE SALUD DE CASILLA-LA MANCHA. JEFATURA DE SECCION DE CIRUGIA GENERAL Y DEL APARATO DIGESTIVO. GERENCIA DE ATENCION INTEGRADA ALBACETE."/>
        <s v="PROVISION DE JEFATURA DE CARACTER ASISTENCIAL DEL SERVICIO DE SALUD DE CASTILLA LA MANCHA. JEFATURA DE SECCION DE MEDICINA INTERNA. GERENCIA ATENCION INTEGRADA DE TOMELLOSO (SESCAM)"/>
        <s v="PROVISION DE JEFATURA DE CARACTER ASISTENCIAL DEL SERVICIO DE SALUD DE CASTILLA LA MANCHA. JEFATURA DE SECCION DE APARATO DIGESTIVO. GERENCIA ATENCION INTEGRADA DE TOMELLOSO (SESCAM)"/>
        <s v="PROVISION DE JEFATURA DE CARACTER ASISTENCIAL DEL SERVICIO DE SALUD DE CASTILLA LA MANCHA. JEFATURA DE SECCION DE CIRUGIA ORTOPEDICA Y TRAUMATO. GERENCIA ATENCION INTEGRADA DE TOMELLOSO (SESCAM)"/>
        <s v="PROVISION DE DOS JEFATURAS DE CARACTER ASISTENCIAL DEL SERVICIO DE SALUD DE CASILLA-LA MANCHA. DOS JEFATURAS DE SECCION DE MEDICINA INTENSIVA, GERENCIA ATENCION INTEGRADA DE CIUDAD REAL."/>
        <s v="PROVISION DE DOS JEFATURAS DE CARACTER ASISTENCIAL DEL SERVICIO DE SALUD DE CASILLA-LA MANCHA. DOS JEFATURAS DE SECCION DE CIRUGIA GRAL. Y A. DIG., GERENCIA ATENCION INTEGRADA DE CIUDAD REAL."/>
        <s v="RECLAMACION A LA RELACION PROVISIONAL DE PERSONAS ADMITIDAS Y EXCLUIDAS APROBADA POR COMISION VALORACION JEFATURA DE SERVICIO DE DERMATOLOGIA MEDICO-QUIRURGICA Y VENEREOLOGIA. GAI DE ALBACETE."/>
        <s v="SUBVENCIONES A EATIM,  MUNICIPIOS,MANCOMUNIDADES Y AGRUPACIONES TERRITORIALES, PARA EL MANTENIMIENTO DE PLAZAS EN CENTROS DE ATENCION A PERSONAS MAYORES EN CASTILLA-LA MANCHA."/>
        <s v="SUBVENCIONES PARA LA REALIZACION DE PROYECTOS DE COOPERACION INTERNACIONAL PARA EL DESARROLLO"/>
        <s v="SUBVENCIONES PARA LA REALIZACION DE PROYECTOS DE EDUCACION PARA EL DESARROLLO"/>
        <s v="SUBVENCIONES PARA LA REALIZACION DE PROYECTOS DE ACCION HUMANITARIA Y DE EMERGENCIA"/>
        <s v="RECONOCIMIENTO A LA INICIATIVA SOCIAL DE CASTILLA-LA MANCHA."/>
        <s v="SUBVENCIONES A ENTIDADES PRIVADAS PARA EL DESARROLLO DE PROGRAMAS DESTINADOS AL DESEMPEÑO DE LAS MEDIDAS JUDICIALES DE APOYO A PERSONAS CON DISCAPACIDAD PARA EL EJERCICIO DE SU CAPACIDAD JURIDICA"/>
        <s v="SOLICITUD DE PLAZA EN PROGRAMA DE TERMALISMO DE CASTILLA-LA MANCHA"/>
        <s v="SUBVENCIONES A ENTIDADES DE INICIATIVA SOCIAL PARA PROGRAMAS DEL SERVICIO DE PROMOCION DE  AUTONOMIA PERSONAL Y PROGRAMAS DE PREVENCION DE PERSONAS EN SITUACION DE DEPENDENCIA O EN RIESGO"/>
        <s v="SUBVENCIONES PARA LA REALIZACION DE PROYECTOS DE INTERES GENERAL CON CARGO A LA ASIGNACION TRIBUTARIA DEL IMPUESTO SOBRE LA RENTA DE LAS PERSONAS FISICAS, EN EL AMBITO DE CASTILLA-LA MANCHA."/>
        <s v="SUBVENCIONES A ENTIDADES LOCALES PARA PROGRAMAS DESTINADOS AL SERVICIO DE PROMOCION DE LA AUTONOMIA PERSONAL DE PERSONAS EN SITUACION DE DEPENDENCIA EN CASTILLA-LA MANCHA."/>
        <s v="TARJETA DORADA DE TRANSPORTE PARA MAYORES DE 65 AÑOS"/>
        <s v="SOLICITUD DE AYUDA EMERGENCIA EXCEPCIONAL COVID19 PARA PERSONAS CON CERTIFICADO DIGITAL Y PRESOLICITUD DE AYUDA DE EMERGENCIA EXCEPCIONAL PARA PERSONAS SIN CERTIFICADO DIGITAL"/>
        <s v="DECRETO 118/2021, DE 30 DE NOVIEMBRE POR EL QUE SE REGULA LA CONCESION DIRECTA DE UNA SUBVENCION A UNICEF COMITE ESPAÑOL, PARA LA DISTRIBUCION SEGURA Y EQUITATIVA DE LAS VACUNAS CONTRA LA COVID-19."/>
        <s v="CONCESION DIRECTA DE SUBVENCIONES A LAS DIPUTACIONES PROVINCIALES  PARA LA GARANTIA DE CUIDADOS DE LAS PERSONAS EN SU ENTORNO."/>
        <s v="SUBVENCIONES PARA LA REALIZACION DE PROYECTOS DESTINADOS A LA MEJORA DE LOS MODELOS DE ATENCION RESIDENCIAL Y ACOGIMIENTO FAMILIAR Y A PROYECTOS DE INNOVACION EN SERVICIOS SOCIALES"/>
        <s v="DECRETO 34/22 DE 3 DE MAYO, DE CONCESION DIRECTA DE SUBVENCION A LA ENTIDAD EAPN-CLM, PARA EL DESARROLLO Y MEJORA DE LAS CAPACIDADES DIGITALES DE LA POBLACION MAS VULNERABLE DE LA REGION,"/>
        <s v="SOLICITUD DE SUBVENCION PARA FINANCIACION DE PROYECTOS DE INVERSION EN VIVIENDAS Y CENTROS DE MAYORES DE TITULARIDAD MUNICIPAL."/>
        <s v="SOLICITUD DE SUBVENCION PARA LA FINANCIACION DE PROYECTOS DE CONSTRUCCION DE RESIDENCIAS DESTINADAS A PERSONAS MAYORES, CON CARGO AL PLAN DE RECUPERACION, TRANSFORMACION Y RESILIENCIA."/>
        <s v="CONCESION DIRECTA DE SUBVENCIONES A DIVERSAS ENTIDADES DE INICIATIVA SOCIAL PARA LA INFORMACION, FORMACION Y VALORACION DE IDONEIDAD DE FAMILIAS PARA ACOGIMIENTO FAMILIAR."/>
        <s v="SUBVENCIONES A PERSONAS MAYORES CON DISCAPACIDAD O EN SITUACION DE DEPENDENCIA QUE VIVEN EN ZONAS DE RIESGO O DE EXTREMA/INTENSA DESPOBLACION PARA MEJORA DE LA ACCESIBILIDAD DE SUS VIVIENDAS."/>
        <s v="CONCESION DIRECTA DE UNA SUBVENCION A LA POI-CLM, DENTRO DEL MECANISMO DE RECUPERACION, TRANSFORMACION Y RESILIENCIA, NEXT GENERATION EU."/>
        <s v="SOLICITUD DE SUBVENCIONES PARA EL DESARROLLO DE PROGRAMAS DE ACTIVIDADES DESTINADAS A MENORES AFECTADOS POR MEDIDAS DE PROTECCION O JUDICIALES."/>
        <s v="JUSTIFICACION SUBVENCIONES PARA EL DESARROLLO DE PROGRAMAS DE ACTIVIDADES DESTINADAS A MENORES AFECTADOS POR MEDIDAS DE PROTECCION O JUDICIALES."/>
        <s v="JUSTIFICACION DE SUBVENCION A ENTIDADES PRIVADAS DE INICIATIVA SOCIAL PARA EL DESARROLLO DE PROGRAMAS DE ATENCION A PERSONAS MAYORES."/>
        <s v="SOLICITUD DE SUBVENCION A ENTIDADES PRIVADAS DE INICIATIVA SOCIAL PARA EL DESARROLLO DE PROGRAMAS DE ATENCION A PERSONAS MAYORES"/>
        <s v="JUSTIFICACION DE SUBVENCION A ENTIDADES PRIVADAS, DE INICIATIVA SOCIAL, PARA MANTENIMIENTO DE CENTROS, SERVICIOS Y DESARROLLO DE PROGRAMAS PARA LA ATENCION A PERSONAS CON DISCAPACIDAD."/>
        <s v="SUBVENCION A ENTIDADES PRIVADAS, DE INICIATIVA SOCIAL, PARA MANTENIMIENTO DE CENTROS, SERVICIOS Y DESARROLLO DE PROGRAMAS PARA LA ATENCION A PERSONAS CON DISCAPACIDAD."/>
        <s v="SOLICITUD DE SUBVENCIONES PARA EL MANTENIMIENTO DE CENTROS DESTINADOS A MENORES AFECTADOS POR MEDIDAS DE PROTECCION O JUDICIALES."/>
        <s v="JUSTIFICACION DE SUBVENCIONES PARA EL MANTENIMIENTO DE CENTROS DESTINADOS A MENORES AFECTADOS POR MEDIDAS DE PROTECCION O JUDICIALES."/>
        <s v="SUBVENCION PARA LA FINANCIACION DE PROYECTOS DE INCLUSION SOCIAL DEL SISTEMA PUBLICO DE SERVICIOS SOCIALES."/>
        <s v="JUSTIFICACION DE SUBVENCION PARA LA FINANCIACION DE PROYECTOS DE INCLUSION SOCIAL DEL SISTEMA PUBLICO DE SERVICIOS SOCIALES"/>
        <s v="SUBVENCIONES A ENTIDADES LOCALES EN EL AMBITO DE LA ATENCION A LAS PERSONAS CON DISCAPACIDAD INTELECTUAL EN CASTILLA-LA MANCHA."/>
        <s v="JUSTIFICACION DE LAS SUBVENCIONES A ENTIDADES LOCALES EN EL AMBITO DE LA ATENCION A LAS PERSONAS CON DISCAPACIDAD INTELECTUAL EN CASTILLA-LA MANCHA."/>
        <s v="SOLICITUD SUBVENCIONES A ENTIDADES PARA EL MANTENIMIENTO DE SERVICIOS Y PROGRAMAS DE ATENCION A INFANCIA Y FAMILIA."/>
        <s v="JUSTIFICACION SUBVENCIONES PARA EL DESARROLLO DE SERVICIOS Y PROGRAMAS DE PREVENCION Y ATENCION A LA INFANCIA Y A LAS FAMILIAS."/>
        <s v="JUSTIFICACION DE LAS RUTAS CONCEDIDAS EN EL MARCO DEL PROGRAMA MAYORES ACTIVOS. RUTAS CULTURALES Y DE OCIO PARA PERSONAS MAYORES DE CASTILLA-LA MANCHA."/>
        <s v="PROGRAMA MAYORES ACTIVOS. RUTAS CULTURALES Y DE OCIO PARA PERSONAS MAYORES DE CASTILLA-LA MANCHA"/>
        <s v="JUSTIFICACION DE LA SUBVENCION A CENTROS RESIDENCIALES, COMO CONSECUENCIA DE LA COVID-19, PARA LA ATENCION Y CUIDADO DE LAS PERSONAS MAYORES."/>
        <s v="SOLICITUD DE SUBVENCION A CENTROS RESIDENCIALES, COMO CONSECUENCIA DE LA COVID-19, PARA LA ATENCION Y CUIDADO DE LAS PERSONAS MAYORES."/>
        <s v="SOLICITUD DE SUBVENCION LINEA 1. CENTROS Y SERVICIOS DE ATENCION A PERSONAS MAYORES."/>
        <s v="SOLICITUD DE SUBVENCION LINEA 2. CENTROS Y SERVICIOS DE ATENCION A PERSONAS CON DISCAPACIDAD"/>
        <s v="SOLICITUD DE SUBVENCION LINEA 3. CENTROS Y SERVICIOS DE ATENCION A PERSONAS SIN HOGAR"/>
        <s v="SOLICITUD DE SUBVENCION LINEA 4. SERVICIOS DE PROMOCION DE LA AUTONOMIA PERSONAL (SEPAP MERJORAT) Y SERVICIOS DE PREVENCION DE LA DEPENDENCIA"/>
        <s v="SOLICITUD DE SUBVENCION LINEA 5. CENTROS Y HOGARES DE ATENCION RESIDENCIAL DE NIÑOS, NIÑAS Y ADOLESCENTES TUTELADOS, SERVICIOS DE APOYO A MENORES."/>
        <s v="SOLICITUD DE SUBVENCION LINEA 6. ENTIDADES DEL TERCER SECTOR DE ACCION SOCIAL"/>
        <s v="MODELO DE CUENTA JUSTIFICATIVA SIMPLIFICADA DE SUBVENCIONES DESTINADAS A LA MEJORA DE LA ACCESIBILIDAD DE INFRAESTRUCTURAS Y EQUIPAMIENTOS EELL  CON POBLACION INFERIOR O IGUAL A 1000 HABITANTES"/>
        <s v="SUBVENCIONES A ENTIDADES LOCALES DE CASTILLA-LA MANCHA CON POBLACION INFERIOR O IGUAL A MIL HABITANTES PARA MEJORA DE LA ACCESIBILIDAD DE SUS INFRAESTRUCTURAS Y EQUIPAMIENTOS."/>
        <s v="SOLICITUD DE SUBVENCION LINEA 2. CENTROS DE TITULARIDAD MUNICIPAL DE ATENCION A PERSONAS CON DISCAPACIDAD"/>
        <s v="SOLICITUD DE SUBVENCION LINEA 1. CENTROS DE TITULARIDAD MUNICIPAL DE ATENCION A PERSONAS MAYORES."/>
        <s v="ACREDITACION DE ESTABLECIMIENTOS, INSTALACIONES Y VEHICULOS DE TRANSPORTE PUBLICO ACCESIBLES"/>
        <s v="ACREDITACION DE LA CALIDAD DE LOS SERVICIOS"/>
        <s v="RECONOCIMIENTO DEL GRADO DE DISCAPACIDAD"/>
        <s v="TITULO DE FAMILIA NUMEROSA"/>
        <s v="TARJETA ACREDITATIVA DE GRADO DE DISCAPACIDAD"/>
        <s v="ACREDITACION DE LOS SERVICIOS DE ATENCION DOMICILIARIA: AYUDA A DOMICILIO Y TELEASISTENCIA."/>
        <s v="HABILITACION DE PROFESIONALES DE CENTROS Y SERVICIOS DEL SISTEMA DE AUTONOMIA Y ATENCION A LA DEPENDENCIA."/>
        <s v="INFORME SECTORIAL DE CUMPLIMIENTO DE LA NORMATIVA DE ACCESIBILIDAD POR LOS PLANES DE ORDENACION MUNICIPAL."/>
        <s v="INFORME PREVIO SOBRE ADECUACION DEL PROYECTO A LA NORMATIVA ESPECIFICA DEL SERVICIO PUBLICO A PRESTAR"/>
        <s v="CONVOCATORIA DE CONCIERTO SOCIAL PARA EL SERVICIO DE PLAZAS RESIDENCIALES EN LA JUNTA DE COMUNIDADES DE CASTILLA-LA MANCHA VINCULADAS A LA CONSTRUCCION DE RESIDENCIAS PARA PERSONAS MAYORES."/>
        <s v="ADMISION EN CENTROS RESIDENCIALES DE MAYORES DE LA RED PUBLICA DE CASTILLA LA MANCHA"/>
        <s v="TRAMITACION DE ESTANCIAS TEMPORALES EN RESIDENCIAS DE MAYORES"/>
        <s v="TRASLADOS VOLUNTARIOS EN CENTROS RESIDENCIALES DE MAYORES DE LA RED PUBLICA DE CASTILLA-LA MANCHA"/>
        <s v="INGRESO EN CENTROS DE ATENCION PARA PERSONAS CON DISCAPACIDAD INTELECTUAL"/>
        <s v="TRASLADOS DE CENTROS DE ATENCION DE PERSONAS CON DISCAPACIDAD INTELECTUAL"/>
        <s v="INGRESO EN CENTROS DE ATENCION A PERSONAS CON DISCAPACIDAD FISICA"/>
        <s v="PERMUTA EN CENTROS DE ATENCION A PERSONAS CON DISCAPACIDAD FISICA"/>
        <s v="ALOJAMIENTOS TEMPORALES EN CENTROS DE ATENCION A PERSONAS CON DISCAPACIDAD FISICA"/>
        <s v="PENSIONES NO CONTRIBUTIVAS DE LA SEGURIDAD SOCIAL POR INVALIDEZ Y A MAYORES DE 65 AÑOS"/>
        <s v="PRESTACIONES SOCIALES Y ECONOMICAS PARA PERSONAS CON DISCAPACIDAD DERIVADAS DE LA LEY DE INTEGRACION SOCIAL DE MINUSVALIDOS (LISMI)"/>
        <s v="ADMISION EN SERVICIOS DE ESTANCIAS DIURNAS EN CENTROS DE MAYORES DE LA RED PUBLICA DE CASTILLA-LA MANCHA"/>
        <s v="RECONOCIMIENTO DE LA SITUACION DE DEPENDENCIA Y DEL DERECHO DE ACCESO A LOS SERVICIOS Y PRESTACIONES ECONOMICAS DEL SISTEMA PARA LA AUTONOMIA Y ATENCION A LA DEPENDENCIA EN CASTILLA LA MANCHA."/>
        <s v="TRASLADO DE CENTROS DE ATENCION A PERSONAS CON DISCAPACIDAD FISICA"/>
        <s v="COMPLEMENTO PARA TITULARES DE PENSION NO CONTRIBUTIVA QUE RESIDAN EN UNA VIVIENDA ALQUILADA."/>
        <s v="SERVICIO DE TELEASISTENCIA"/>
        <s v="PERMUTA ENTRE CENTROS  DE ATENCION A PERSONAS CON DISCAPACIDAD INTELECTUAL"/>
        <s v="ALOJAMIENTO TEMPORAL EN CENTROS DE ATENCION A PERSONAS CON DISCAPACIDAD INTELECTUAL."/>
        <s v="REVISION EN EL MARCO DEL SITEMA PARA LA AUTONOMIA Y ATENCION A LA DEPENDENCIA (SAAD)"/>
        <s v="ACCESO AL SERVICIO DE ATENCION TEMPRANA."/>
        <s v="CONVOCATORIA DE CONCIERTO SOCIAL DE PLAZAS RESIDENCIALES, ESTANCIAS TEMPORALES Y PLAZAS EN CENTROS DE DIA PERSONAS MAYORES JCCM 2022-2025"/>
        <s v="SOLICITUD DE CONVENIO UNIFICADO CON LAS ENTIDADES LOCALES  PARA LA PRESTACION DE SERVICIOS SOCIALES DE ATENCION PRIMARIA"/>
        <s v="CONVOCATORIA PARA LA PROVISION POR EL PROCEDIMIENTO DE LIBRE DESIGNACION (LD BS F1/2022)."/>
        <s v="CONVOCATORIA DE CONCURSO SINGULARIZADO DE MERITOS PARA LA PROVISION DE PUESTOS DE TRABAJO VACANTES"/>
        <s v="ADOPCION DE NIÑOS Y NIÑAS DE CASTILLA-LA MANCHA"/>
        <s v="PROGRAMA DE ACOGIMIENTO FAMILIAR DE CASTILLA-LA MANCHA"/>
        <s v="SOLICITUD DE INFORME PARA DESPLAZAMIENTO TEMPORAL DE MENORES EXTRANJEROS"/>
        <s v="PROCESO SELECTIVO PARA LA DESIGNACION DE LAS PERSONAS QUE OCUPARAN LAS VOCALIAS DEL CONSEJO REGIONAL DE INFANCIA Y FAMILIA DE CASTILLA-LA MANCHA"/>
        <s v="INFORME DE SEGUIMIENTO POSTADOPTIVO DE ADOPCION INTERNACIONAL DE NIÑOS Y NIÑAS"/>
        <s v="ADOPCION INTERNACIONAL DE NIÑOS Y NIÑAS"/>
      </sharedItems>
    </cacheField>
    <cacheField name="PRESENCIAL" numFmtId="0">
      <sharedItems/>
    </cacheField>
    <cacheField name="O12" numFmtId="0">
      <sharedItems/>
    </cacheField>
    <cacheField name="ONLINE" numFmtId="0">
      <sharedItems/>
    </cacheField>
    <cacheField name="VUDS"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2139">
  <r>
    <x v="0"/>
    <s v="010032"/>
    <s v="AUTORIZACION ADMINISTRATIVA DE CENTROS SOCIALES"/>
    <s v="4 MESES"/>
    <x v="0"/>
    <x v="0"/>
    <x v="0"/>
    <s v="SIA5"/>
    <x v="0"/>
    <s v="N"/>
    <s v="N"/>
    <s v="S"/>
    <s v="S"/>
  </r>
  <r>
    <x v="0"/>
    <s v="010070"/>
    <s v="TARJETA DE ESTACIONAMIENTO PARA PERSONAS CON DISCAPACIDAD CON MOVILIDAD REDUCIDA"/>
    <s v="3 MESES"/>
    <x v="1"/>
    <x v="0"/>
    <x v="1"/>
    <s v="SD22"/>
    <x v="1"/>
    <s v="S"/>
    <s v="N"/>
    <s v="S"/>
    <s v="N"/>
  </r>
  <r>
    <x v="0"/>
    <s v="010652"/>
    <s v="RECONOCIMIENTO OFICIAL DE LA ENTIDAD DE ADIESTRAMIENTO DE PERROS DE ASISTENCIA."/>
    <s v="2 MESES"/>
    <x v="0"/>
    <x v="0"/>
    <x v="1"/>
    <s v="SLLL"/>
    <x v="2"/>
    <s v="N"/>
    <s v="N"/>
    <s v="S"/>
    <s v="N"/>
  </r>
  <r>
    <x v="0"/>
    <s v="010668"/>
    <s v="COMUNICACION DE CAMBIO DE ENTIDAD TITULAR O GESTORA, CESE DE ACTIVIDAD DE UN SERVICIO SOCIAL"/>
    <s v="NO ESTÁ SUJETO A PLAZO."/>
    <x v="0"/>
    <x v="0"/>
    <x v="0"/>
    <s v="MLSS"/>
    <x v="3"/>
    <s v="N"/>
    <s v="N"/>
    <s v="S"/>
    <s v="N"/>
  </r>
  <r>
    <x v="0"/>
    <s v="010679"/>
    <s v="AUTORIZACION ADMINISTRATIVA DE SERVICIOS SOCIALES"/>
    <s v="4 MESES"/>
    <x v="0"/>
    <x v="0"/>
    <x v="2"/>
    <s v="SLZB"/>
    <x v="4"/>
    <s v="N"/>
    <s v="N"/>
    <s v="S"/>
    <s v="N"/>
  </r>
  <r>
    <x v="0"/>
    <s v="020186"/>
    <s v="ACREDITACION E INSCRIPCION REGISTRAL DE ENTIDADES DE VOLUNTARIADO"/>
    <s v="1 MES"/>
    <x v="0"/>
    <x v="0"/>
    <x v="3"/>
    <s v="SC13"/>
    <x v="5"/>
    <s v="S"/>
    <s v="N"/>
    <s v="S"/>
    <s v="N"/>
  </r>
  <r>
    <x v="0"/>
    <s v="020284"/>
    <s v="RECONOCIMIENTO DE LA UNIDAD DE VINCULACION CON PERRO DE ASISTENCIA."/>
    <s v="2 MESES"/>
    <x v="0"/>
    <x v="0"/>
    <x v="1"/>
    <s v="SLLJ"/>
    <x v="6"/>
    <s v="S"/>
    <s v="N"/>
    <s v="S"/>
    <s v="N"/>
  </r>
  <r>
    <x v="0"/>
    <s v="030025"/>
    <s v="AYUDAS ECONOMICAS DE APOYO POR ACOGIMIENTO FAMILIAR DE MENORES"/>
    <s v="3 MESES."/>
    <x v="1"/>
    <x v="0"/>
    <x v="4"/>
    <s v="SIR9"/>
    <x v="7"/>
    <s v="S"/>
    <s v="N"/>
    <s v="S"/>
    <s v="N"/>
  </r>
  <r>
    <x v="0"/>
    <s v="030026"/>
    <s v="AYUDAS PARA EL DESARROLLO DE PROGRAMAS DE AUTONOMIA PERSONAL"/>
    <s v="3 MESES"/>
    <x v="1"/>
    <x v="0"/>
    <x v="4"/>
    <s v="SH80"/>
    <x v="8"/>
    <s v="S"/>
    <s v="N"/>
    <s v="S"/>
    <s v="N"/>
  </r>
  <r>
    <x v="0"/>
    <s v="030030"/>
    <s v="AYUDAS DE EMERGENCIA SOCIAL"/>
    <s v="1 MES"/>
    <x v="1"/>
    <x v="0"/>
    <x v="5"/>
    <s v="N609, S609"/>
    <x v="9"/>
    <s v="S"/>
    <s v="N"/>
    <s v="S"/>
    <s v="N"/>
  </r>
  <r>
    <x v="0"/>
    <s v="030036"/>
    <s v="AYUDAS A FAMILIAS NUMEROSAS"/>
    <s v="3 MESES"/>
    <x v="1"/>
    <x v="0"/>
    <x v="5"/>
    <s v="NIIJ, SIIJ"/>
    <x v="10"/>
    <s v="S"/>
    <s v="N"/>
    <s v="S"/>
    <s v="N"/>
  </r>
  <r>
    <x v="0"/>
    <s v="030037"/>
    <s v="INGRESO MINIMO DE SOLIDARIDAD"/>
    <s v="1 MES"/>
    <x v="1"/>
    <x v="0"/>
    <x v="5"/>
    <s v="N513, S513"/>
    <x v="11"/>
    <s v="S"/>
    <s v="N"/>
    <s v="S"/>
    <s v="N"/>
  </r>
  <r>
    <x v="0"/>
    <s v="030038"/>
    <s v="AYUDAS PARA EL MANTENIMIENTO DE LAS CONDICIONES BASICAS DE VIDA"/>
    <s v="3 MESES"/>
    <x v="1"/>
    <x v="0"/>
    <x v="5"/>
    <s v="NIYY, SIYY"/>
    <x v="12"/>
    <s v="S"/>
    <s v="N"/>
    <s v="S"/>
    <s v="N"/>
  </r>
  <r>
    <x v="0"/>
    <s v="030039"/>
    <s v="SOLICITUD DE SUBVENCIONES A EATIM, MUNICIPIOS, MANCOMUNIDADES Y AGRUPACIONES MUNICIPALES PARA EL DESARROLLO DE PROGRAMAS Y PROYECTOS DE ATENCION A PERSONAS MAYORES."/>
    <s v="3 MESES."/>
    <x v="1"/>
    <x v="0"/>
    <x v="6"/>
    <s v="SIMZ"/>
    <x v="13"/>
    <s v="N"/>
    <s v="N"/>
    <s v="S"/>
    <s v="N"/>
  </r>
  <r>
    <x v="1"/>
    <s v="010001"/>
    <s v="COMUNICACION DE CELEBRACION DE ACTIVIDADES FERIALES EN CASTILLA-LA MANCHA.  REGISTRO"/>
    <s v=""/>
    <x v="2"/>
    <x v="1"/>
    <x v="7"/>
    <s v="S194"/>
    <x v="14"/>
    <s v="S"/>
    <s v="N"/>
    <s v="S"/>
    <s v="S"/>
  </r>
  <r>
    <x v="1"/>
    <s v="010011"/>
    <s v="COMUNICACION VENTAS EN  LIQUIDACION"/>
    <s v=""/>
    <x v="2"/>
    <x v="1"/>
    <x v="7"/>
    <s v="SJPU"/>
    <x v="15"/>
    <s v="S"/>
    <s v="N"/>
    <s v="S"/>
    <s v="N"/>
  </r>
  <r>
    <x v="1"/>
    <s v="010020"/>
    <s v="COMUNICACION DE VENTAS  AUTOMATICAS POR ESTABLECIMIENTOS COMERCIALES"/>
    <s v=""/>
    <x v="2"/>
    <x v="1"/>
    <x v="7"/>
    <s v="SJPV"/>
    <x v="16"/>
    <s v="S"/>
    <s v="N"/>
    <s v="S"/>
    <s v="N"/>
  </r>
  <r>
    <x v="1"/>
    <s v="010021"/>
    <s v="COMUNICACION DE VENTAS EN PUBLICA SUBASTA"/>
    <s v=""/>
    <x v="2"/>
    <x v="1"/>
    <x v="7"/>
    <s v="SJPW"/>
    <x v="17"/>
    <s v="S"/>
    <s v="N"/>
    <s v="S"/>
    <s v="N"/>
  </r>
  <r>
    <x v="1"/>
    <s v="010026"/>
    <s v="DECLARACION RESPONSABLE PARA EL INICIO/MODIFICACIONES DE CAMPAMENTO DE TURISMO EN CASTILLA-LA MANCHA E INSCRIPCION EN  EL REGISTRO GENERAL DE EMPRESAS, ESTABLECIMIENTOS Y ASOCIACIONES DE EMPRESAS TURISTICAS Y ENTIDAES TURISTICAS NO EMPRESARIALES DE CASTIL"/>
    <s v=""/>
    <x v="2"/>
    <x v="1"/>
    <x v="7"/>
    <s v="DIH4"/>
    <x v="18"/>
    <s v="S"/>
    <s v="N"/>
    <s v="S"/>
    <s v="S"/>
  </r>
  <r>
    <x v="1"/>
    <s v="010161"/>
    <s v="AUTORIZACION DE PERSONAS O ENTIDADES ESPECIALIZADAS QUE PRETENDAN DESARROLLAR LA ACTIVIDAD DE AUDITORIA DE SISTEMA DE PREVENCION."/>
    <s v="3 MESES"/>
    <x v="1"/>
    <x v="1"/>
    <x v="8"/>
    <s v="SIJI"/>
    <x v="19"/>
    <s v="S"/>
    <s v="N"/>
    <s v="S"/>
    <s v="N"/>
  </r>
  <r>
    <x v="1"/>
    <s v="010163"/>
    <s v="COMUNICACION DE APERTURA DE CENTROS DE TRABAJO"/>
    <s v=""/>
    <x v="2"/>
    <x v="1"/>
    <x v="8"/>
    <s v="SIJF"/>
    <x v="20"/>
    <s v="N"/>
    <s v="N"/>
    <s v="S"/>
    <s v="S"/>
  </r>
  <r>
    <x v="1"/>
    <s v="010305"/>
    <s v="AUTORIZACION DE EMPRESAS DE TRABAJO TEMPORAL"/>
    <s v="1 MES"/>
    <x v="0"/>
    <x v="1"/>
    <x v="9"/>
    <s v="SIJ8"/>
    <x v="21"/>
    <s v="N"/>
    <s v="N"/>
    <s v="S"/>
    <s v="S"/>
  </r>
  <r>
    <x v="1"/>
    <s v="010306"/>
    <s v="SOLICITUD DE AUTORIZACION PARA LA PARTICIPACION DE MENORES EN ESPECTACULOS PUBLICOS.."/>
    <s v="3 MESES."/>
    <x v="0"/>
    <x v="1"/>
    <x v="9"/>
    <s v="SI95"/>
    <x v="22"/>
    <s v="S"/>
    <s v="N"/>
    <s v="S"/>
    <s v="N"/>
  </r>
  <r>
    <x v="1"/>
    <s v="010317"/>
    <s v="DECLARACION RESPONSABLE DE INICIO O AMPLIACION DE ACTIVIDAD COMO AGENCIA DE COLOCACION"/>
    <s v=""/>
    <x v="2"/>
    <x v="1"/>
    <x v="8"/>
    <s v="SG41"/>
    <x v="23"/>
    <s v="S"/>
    <s v="N"/>
    <s v="S"/>
    <s v="S"/>
  </r>
  <r>
    <x v="1"/>
    <s v="010319"/>
    <s v="REGISTRO DE CENTROS Y ENTIDADES QUE IMPARTEN FORMACION PROFESIONAL PARA EL EMPLEO EN CASTILLA-LA MANCHA"/>
    <s v="3 MESES"/>
    <x v="0"/>
    <x v="1"/>
    <x v="10"/>
    <s v="SE86"/>
    <x v="24"/>
    <s v="S"/>
    <s v="N"/>
    <s v="S"/>
    <s v="N"/>
  </r>
  <r>
    <x v="1"/>
    <s v="010457"/>
    <s v="COMUNICACION DE VENTA DOMICILIARIA"/>
    <s v=""/>
    <x v="2"/>
    <x v="1"/>
    <x v="7"/>
    <s v="SK0S"/>
    <x v="25"/>
    <s v="S"/>
    <s v="N"/>
    <s v="S"/>
    <s v="N"/>
  </r>
  <r>
    <x v="1"/>
    <s v="010556"/>
    <s v="COMUNICACION DE DESPLAZAMIENTO EN EL MARCO DE UNA PRESTACION DE SERVICIOS TRANSNACIONAL"/>
    <s v=""/>
    <x v="2"/>
    <x v="1"/>
    <x v="9"/>
    <s v="MKRW"/>
    <x v="26"/>
    <s v="N"/>
    <s v="N"/>
    <s v="S"/>
    <s v="N"/>
  </r>
  <r>
    <x v="1"/>
    <s v="010557"/>
    <s v="FORMACION PROFESIONAL PARA EL EMPLEO NO FINANCIADA CON FONDOS PUBLICOS, REALIZADA POR EMPRESAS Y CENTROS DE INICIATIVA PRIVADA"/>
    <s v="3 MESES"/>
    <x v="1"/>
    <x v="1"/>
    <x v="10"/>
    <s v="SKS7"/>
    <x v="27"/>
    <s v="N"/>
    <s v="N"/>
    <s v="S"/>
    <s v="N"/>
  </r>
  <r>
    <x v="1"/>
    <s v="010581"/>
    <s v="HUELGA: COMUNICACION A LA AUTORIDAD LABORAL"/>
    <s v=""/>
    <x v="2"/>
    <x v="1"/>
    <x v="9"/>
    <s v="ML08"/>
    <x v="28"/>
    <s v="S"/>
    <s v="N"/>
    <s v="S"/>
    <s v="N"/>
  </r>
  <r>
    <x v="1"/>
    <s v="010586"/>
    <s v="HABILITACION DEL LIBRO DE SUBCONTRATACION"/>
    <s v=""/>
    <x v="2"/>
    <x v="1"/>
    <x v="8"/>
    <s v="SL0K"/>
    <x v="29"/>
    <s v="N"/>
    <s v="N"/>
    <s v="S"/>
    <s v="N"/>
  </r>
  <r>
    <x v="1"/>
    <s v="010615"/>
    <s v="AUTORIZACION PARA LA ADQUISICION DE LA CONDICION DE NUEVO MIEMBRO Y SOCIO DE LA RED EURES EN ESPAÑA."/>
    <s v="3 MESES"/>
    <x v="0"/>
    <x v="1"/>
    <x v="8"/>
    <s v="SL95"/>
    <x v="30"/>
    <s v="N"/>
    <s v="N"/>
    <s v="S"/>
    <s v="N"/>
  </r>
  <r>
    <x v="1"/>
    <s v="010626"/>
    <s v="MEDIDAS EXTRAORDINARIAS EN MATERIA DE SUBVENCIONES PARA EL FOMENTO DEL EMPLEO, FRENTE A LA CRISIS OCASIONADA POR EL COVID-19"/>
    <s v=""/>
    <x v="2"/>
    <x v="1"/>
    <x v="8"/>
    <s v="MLD3"/>
    <x v="31"/>
    <s v="N"/>
    <s v="N"/>
    <s v="S"/>
    <s v="N"/>
  </r>
  <r>
    <x v="1"/>
    <s v="010628"/>
    <s v="DECLARACION RESPONSABLE SOBRE LA IMPARTICION EXCEPCIONAL DE LAS ACCIONES FORMATIVAS DE LA MODALIDAD PRESENCIAL DE FORMACION PROFESIONAL PARA EL EMPLEO"/>
    <s v=""/>
    <x v="2"/>
    <x v="1"/>
    <x v="10"/>
    <s v="DLDT"/>
    <x v="32"/>
    <s v="N"/>
    <s v="N"/>
    <s v="S"/>
    <s v="N"/>
  </r>
  <r>
    <x v="1"/>
    <s v="010641"/>
    <s v="EXPEDIENTES DE SOLICITUD DE DECLARACION DE EMPRESA DEPENDIENTE O INTEGRANTE DE LA CADENA DE VALOR EN EXPEDIENTES DE REGULACION TEMPORAL DE EMPLEO"/>
    <s v="5 DIAS"/>
    <x v="0"/>
    <x v="1"/>
    <x v="9"/>
    <s v="SLGD"/>
    <x v="33"/>
    <s v="N"/>
    <s v="N"/>
    <s v="S"/>
    <s v="N"/>
  </r>
  <r>
    <x v="1"/>
    <s v="015074"/>
    <s v="COMUNICACION DE DATOS AL REGISTRO DE EMPRESAS DE VENTAS A DISTANCIA"/>
    <s v=""/>
    <x v="2"/>
    <x v="1"/>
    <x v="7"/>
    <s v="SIWH"/>
    <x v="34"/>
    <s v="S"/>
    <s v="N"/>
    <s v="S"/>
    <s v="S"/>
  </r>
  <r>
    <x v="1"/>
    <s v="015077"/>
    <s v="DECLARACION RESPONSABLE DE CESE DE ACTIVIDAD COMO ESTABLECIMIENTO HOTELERO DE CASTILLA-LA MANCHA Y BAJA EN EL REGISTRO GENERAL REGULADO EN EL DECRETO 5/2007, DE 22 DE ENERO"/>
    <s v=""/>
    <x v="2"/>
    <x v="1"/>
    <x v="7"/>
    <s v="DKOA"/>
    <x v="35"/>
    <s v="S"/>
    <s v="N"/>
    <s v="S"/>
    <s v="N"/>
  </r>
  <r>
    <x v="1"/>
    <s v="015078"/>
    <s v="DECLARACION RESPONSABLE DE INICIO DE ACTIVIDAD COMO ESTABLECIMIENTO HOTELERO DE CASTILLA-LA MANCHA E INSCRIPCION EN EL REGISTRO GENERAL REGULADO EN EL DECRETO 5/2007, DE 22 DE ENERO"/>
    <s v=""/>
    <x v="2"/>
    <x v="1"/>
    <x v="7"/>
    <s v="D139"/>
    <x v="36"/>
    <s v="S"/>
    <s v="N"/>
    <s v="S"/>
    <s v="S"/>
  </r>
  <r>
    <x v="1"/>
    <s v="015079"/>
    <s v="DECLARACION RESPONSABLE DE CAMBIO DE TITULARIDAD, CATEGORIA O DENOMINACION/MODIFICACION DE CAPACIDAD, COMO ESTABLECIMIENTO HOTELERO DE CASTILLA-LA MANCHA E INSCRIPCION  EN EL REGISTRO GENERAL REG"/>
    <s v=""/>
    <x v="2"/>
    <x v="1"/>
    <x v="7"/>
    <s v="DKO9"/>
    <x v="37"/>
    <s v="S"/>
    <s v="N"/>
    <s v="S"/>
    <s v="N"/>
  </r>
  <r>
    <x v="1"/>
    <s v="015080"/>
    <s v="MODIFICACION DE ACTIVIDAD/ES COMO EMPRESA DE TURISMO ACTIVO/ECOTURISMO"/>
    <s v="3 MESES"/>
    <x v="0"/>
    <x v="1"/>
    <x v="7"/>
    <s v="DKOW"/>
    <x v="38"/>
    <s v="N"/>
    <s v="N"/>
    <s v="S"/>
    <s v="N"/>
  </r>
  <r>
    <x v="1"/>
    <s v="015081"/>
    <s v="CAMBIO DE TITULARIDAD,  CAMBIO DE DENOMINACION, CESE TOTAL DE ACTIVIDAD/ES, O CESE PARCIAL DE ACTIVIDAD/ES, COMO EMPRESA DE TURISMO ACTIVO/ECOTURISMO"/>
    <s v="3 MESES"/>
    <x v="0"/>
    <x v="1"/>
    <x v="7"/>
    <s v="MKOX"/>
    <x v="39"/>
    <s v="N"/>
    <s v="N"/>
    <s v="S"/>
    <s v="N"/>
  </r>
  <r>
    <x v="1"/>
    <s v="015082"/>
    <s v="DECLARACION RESPONSABLE DE INICIO DE ACTIVIDAD COMO EMPRESA DE TURISMO ACTIVO/ECOTURISMO"/>
    <s v="3 MESES"/>
    <x v="0"/>
    <x v="1"/>
    <x v="7"/>
    <s v="DITB"/>
    <x v="40"/>
    <s v="N"/>
    <s v="N"/>
    <s v="S"/>
    <s v="S"/>
  </r>
  <r>
    <x v="1"/>
    <s v="015083"/>
    <s v="MODIFICACION DE CAPACIDAD COMO ALOJAMIENTO DE TURISMO RURAL EN EL REGISTRO GENERAL."/>
    <s v=""/>
    <x v="2"/>
    <x v="1"/>
    <x v="7"/>
    <s v="DKOK"/>
    <x v="41"/>
    <s v="N"/>
    <s v="N"/>
    <s v="S"/>
    <s v="N"/>
  </r>
  <r>
    <x v="1"/>
    <s v="015084"/>
    <s v="INICIO DE ACTIVIDAD COMO ALOJAMIENTOS DE TURISMO RURAL DE CASTILLA-LA MANCHA E INSCRIPCION EN EL REGISTRO GENERAL."/>
    <s v=""/>
    <x v="2"/>
    <x v="1"/>
    <x v="7"/>
    <s v="DIWI"/>
    <x v="42"/>
    <s v="N"/>
    <s v="N"/>
    <s v="S"/>
    <s v="S"/>
  </r>
  <r>
    <x v="1"/>
    <s v="015085"/>
    <s v="CESE DE ACTIVIDAD, CAMBIO DE TITULARIDAD Y CAMBIO  DE DENOMINACION COMO ALOJAMIENTO DE TURISMO RURAL DE CASTILLA-LA MANCHA Y BAJA EN EL REGISTRO GENERAL"/>
    <s v=""/>
    <x v="2"/>
    <x v="1"/>
    <x v="7"/>
    <s v="MKOL"/>
    <x v="43"/>
    <s v="N"/>
    <s v="N"/>
    <s v="S"/>
    <s v="N"/>
  </r>
  <r>
    <x v="1"/>
    <s v="015120"/>
    <s v="DECLARACION DE EXCEPCIONALIDAD PARA EL CUMPLIMIENTO ALTERNATIVO DE LA CUOTA DE RESERVA DE PLANTILLA A FAVOR DE TRABAJADORES CON DISCAPACIDAD"/>
    <s v="2 MESES."/>
    <x v="0"/>
    <x v="1"/>
    <x v="8"/>
    <s v="SJ4D"/>
    <x v="44"/>
    <s v="N"/>
    <s v="N"/>
    <s v="S"/>
    <s v="N"/>
  </r>
  <r>
    <x v="1"/>
    <s v="015121"/>
    <s v="COMUNICACION DE MEDIDAS ALTERNATIVAS AL CUMPLIMIENTO DE LA OBLIGACION DE RESERVA DEL 2% DE PLANTILLA A FAVOR DE TRABAJADORES CON DISCAPACIDAD."/>
    <s v="2 MESES."/>
    <x v="0"/>
    <x v="1"/>
    <x v="8"/>
    <s v="MKIX"/>
    <x v="45"/>
    <s v="N"/>
    <s v="N"/>
    <s v="S"/>
    <s v="N"/>
  </r>
  <r>
    <x v="1"/>
    <s v="015435"/>
    <s v="AUTORIZACION PARA LA COMUNICACION DE LA CONTRATACION A TRAVES DE LA APLICACION CONTRAT@"/>
    <s v=""/>
    <x v="2"/>
    <x v="1"/>
    <x v="8"/>
    <s v="SJW1"/>
    <x v="46"/>
    <s v="S"/>
    <s v="N"/>
    <s v="S"/>
    <s v="N"/>
  </r>
  <r>
    <x v="1"/>
    <s v="015436"/>
    <s v="COMUNICACION PRESENCIAL EXCEPCIONAL DE CONTRATOS DE TRABAJO,COPIAS BASICAS, PRORROGAS,TRANSFORMACIONES, MODIFICACIONES,CORRECCIONES/ANULACIONES Y LLAMAMIENTOS A LA CONSEJERIA DE EMPLEO Y ECONOMIA"/>
    <s v=""/>
    <x v="2"/>
    <x v="1"/>
    <x v="8"/>
    <s v="SJW0"/>
    <x v="47"/>
    <s v="S"/>
    <s v="N"/>
    <s v="S"/>
    <s v="N"/>
  </r>
  <r>
    <x v="1"/>
    <s v="015661"/>
    <s v="COMUNICACION DE CAMBIO DE TITULARIDAD, CAMBIO DE DENOMINACION O CESE DE ACTIVIDAD COMO APARTAMENTO TURISTICO EN EL REGISTRO GENERAL REGULADO EN EL DECRETO 5/2007."/>
    <s v=""/>
    <x v="2"/>
    <x v="1"/>
    <x v="7"/>
    <s v="DKQA"/>
    <x v="48"/>
    <s v="N"/>
    <s v="N"/>
    <s v="S"/>
    <s v="N"/>
  </r>
  <r>
    <x v="1"/>
    <s v="015662"/>
    <s v="DECLARACION RESPONSABLE DE MODIFICACION DE CAPACIDAD O CAMBIO DE CATEGORIA, COMO APARTAMENTO TURISTICO DE CASTILLA-LA MANCHA E INSCRIPCION  EN EL REGISTRO GENERAL REGULADO EN EL DECRETO 5/2007"/>
    <s v=""/>
    <x v="2"/>
    <x v="1"/>
    <x v="7"/>
    <s v="DKQ9"/>
    <x v="49"/>
    <s v="N"/>
    <s v="N"/>
    <s v="S"/>
    <s v="N"/>
  </r>
  <r>
    <x v="1"/>
    <s v="015663"/>
    <s v="DECLARACION RESPONSABLE DE INICIO DE ACTIVIDAD COMO APARTAMENTO TURISTICO DE CASTILLA-LA MANCHA E INSCRIPCION EN EL REGISTRO GENERAL REGULADO EN EL DECRETO 5/2007, DE 22 DE ENERO"/>
    <s v=""/>
    <x v="2"/>
    <x v="1"/>
    <x v="7"/>
    <s v="DKIE"/>
    <x v="50"/>
    <s v="N"/>
    <s v="N"/>
    <s v="S"/>
    <s v="N"/>
  </r>
  <r>
    <x v="1"/>
    <s v="015778"/>
    <s v="DECLARACION RESPONSABLE DE INICIO DE ACTIVIDAD COMO VIVIENDA DE USO  TURISTICO DE CASTILLA-LA MANCHA E INSCRIPCION EN EL REGISTRO GENERAL REGULADO EN EL DECRETO 5/2007, DE 22 DE ENERO"/>
    <s v=""/>
    <x v="2"/>
    <x v="1"/>
    <x v="7"/>
    <s v="DKT4"/>
    <x v="51"/>
    <s v="N"/>
    <s v="N"/>
    <s v="S"/>
    <s v="N"/>
  </r>
  <r>
    <x v="1"/>
    <s v="015780"/>
    <s v="COMUNICACION DE CAMBIO DE TITULARIDAD, CAMBIO DE DENOMINACION O CESE DE ACTIVIDAD COMO VIVIENDA DE USO TURISTICO EN EL REGISTRO GENERAL REGULADO EN EL DECRETO 5/2007."/>
    <s v=""/>
    <x v="2"/>
    <x v="1"/>
    <x v="7"/>
    <s v="DKT6"/>
    <x v="52"/>
    <s v="N"/>
    <s v="N"/>
    <s v="S"/>
    <s v="N"/>
  </r>
  <r>
    <x v="1"/>
    <s v="015781"/>
    <s v="DECLARACION RESPONSABLE DE  MODIFICACION DE CAPACIDAD COMO VIVIENDA DE USO TURISTICO  E INSCRIPCION EN EL REGISTRO GENERAL REGULADO EN EL DECRETO 5/2007"/>
    <s v=""/>
    <x v="2"/>
    <x v="1"/>
    <x v="7"/>
    <s v="DKT5"/>
    <x v="53"/>
    <s v="N"/>
    <s v="N"/>
    <s v="S"/>
    <s v="N"/>
  </r>
  <r>
    <x v="1"/>
    <s v="015859"/>
    <s v="COMUNICACION RELATIVA AL CESE DE ACTIVIDAD, CAMBIO DE TITULARIDAD Y CAMBIO  DE DENOMINACION COMO ALBERGUE TURISTICO DE CASTILLA-LA MANCHA Y BAJA EN EL REGISTRO GENERAL"/>
    <s v=""/>
    <x v="2"/>
    <x v="1"/>
    <x v="7"/>
    <s v="MKXX"/>
    <x v="54"/>
    <s v="N"/>
    <s v="N"/>
    <s v="S"/>
    <s v="N"/>
  </r>
  <r>
    <x v="1"/>
    <s v="015860"/>
    <s v="DECLARACION RESPONSABLE RELATIVA A LA MODIFICACION DE CAPACIDAD COMO ALBERGUE TURISTICO EN EL REGISTRO GENERAL."/>
    <s v=""/>
    <x v="2"/>
    <x v="1"/>
    <x v="7"/>
    <s v="DKXW"/>
    <x v="55"/>
    <s v="N"/>
    <s v="N"/>
    <s v="S"/>
    <s v="N"/>
  </r>
  <r>
    <x v="1"/>
    <s v="015861"/>
    <s v="DECLARACION RESPONSABLE RELATIVA AL INICIO DE ACTIVIDAD COMO ALBERGUE TURISTICO DE CASTILLA-LA MANCHA E INSCRIPCION EN EL REGISTRO GENERAL."/>
    <s v=""/>
    <x v="2"/>
    <x v="1"/>
    <x v="7"/>
    <s v="DKXV"/>
    <x v="56"/>
    <s v="N"/>
    <s v="N"/>
    <s v="S"/>
    <s v="N"/>
  </r>
  <r>
    <x v="1"/>
    <s v="015862"/>
    <s v="ADHESION RED DE HOSPEDERIAS DE CASTILLA- LA MANCHA."/>
    <s v="6 MESES."/>
    <x v="1"/>
    <x v="1"/>
    <x v="7"/>
    <s v="SKXY"/>
    <x v="57"/>
    <s v="N"/>
    <s v="N"/>
    <s v="S"/>
    <s v="N"/>
  </r>
  <r>
    <x v="1"/>
    <s v="015863"/>
    <s v="COMUNICACION DE BAJA VOLUNTARIA, CAMBIO DE TITULARIDAD Y CAMBIO DE DENOMINACION DE HOTEL ADHERIDO A LA RED DE HOSPEDERIAS DE CASTILLA-LA MANCHACOMUNICACION DE BAJA VOLUNTARIA, CAMBIO DE TITULARIDAD Y"/>
    <s v="6 MESES."/>
    <x v="1"/>
    <x v="1"/>
    <x v="7"/>
    <s v="MKXZ"/>
    <x v="58"/>
    <s v="N"/>
    <s v="N"/>
    <s v="S"/>
    <s v="N"/>
  </r>
  <r>
    <x v="1"/>
    <s v="015864"/>
    <s v="DECLARACION RESPONSABLE RELATIVA A LA MODIFICACION DE LA CAPACIDAD Y MODIFICACION DE LA CATEGORIA DEL HOTEL ADHERIDO A LA RED DE HOSPEDERIAS DE CASTILLA-LA MANCHA"/>
    <s v="6 MESES."/>
    <x v="1"/>
    <x v="1"/>
    <x v="7"/>
    <s v="DKY0"/>
    <x v="59"/>
    <s v="N"/>
    <s v="N"/>
    <s v="S"/>
    <s v="N"/>
  </r>
  <r>
    <x v="1"/>
    <s v="015865"/>
    <s v="COMUNICACION RELATIVA AL CESE DE ACTIVIDAD, CAMBIO DE TITULARIDAD Y CAMBIO  DE DENOMINACION COMO AREAS DE PERNOCTA PARA AUTOCARAVANAS Y BAJA EN EL REGISTRO GENERAL"/>
    <s v=""/>
    <x v="2"/>
    <x v="1"/>
    <x v="7"/>
    <s v="MKY2"/>
    <x v="60"/>
    <s v="N"/>
    <s v="N"/>
    <s v="S"/>
    <s v="N"/>
  </r>
  <r>
    <x v="1"/>
    <s v="015866"/>
    <s v="DECLARACION RESPONSABLE RELATIVA AL INICIO DE ACTIVIDAD COMO AREAS DE PERNOCTA PARA AUTOCARAVANAS DE CASTILLA-LA MANCHA  E INSCRIPCION EN EL REGISTRO GENERAL."/>
    <s v=""/>
    <x v="2"/>
    <x v="1"/>
    <x v="7"/>
    <s v="DKY6"/>
    <x v="61"/>
    <s v="N"/>
    <s v="N"/>
    <s v="S"/>
    <s v="N"/>
  </r>
  <r>
    <x v="1"/>
    <s v="015867"/>
    <s v="DECLARACION RESPONSABLE RELATIVA A LA MODIFICACION DE CAPACIDAD COMO AREA DE PERNOCTA PARA AUTOCARAVANAS EN EL REGISTRO GENERAL."/>
    <s v=""/>
    <x v="2"/>
    <x v="1"/>
    <x v="7"/>
    <s v="DKY1"/>
    <x v="62"/>
    <s v="N"/>
    <s v="N"/>
    <s v="S"/>
    <s v="N"/>
  </r>
  <r>
    <x v="1"/>
    <s v="015868"/>
    <s v="COMUNICACION RELATIVA AL CESE DE ACTIVIDAD, CAMBIO DE TITULARIDAD Y CAMBIO  DE DENOMINACION COMO CAMPING Y BAJA EN EL REGISTRO GENERAL"/>
    <s v=""/>
    <x v="2"/>
    <x v="1"/>
    <x v="7"/>
    <s v="MKY3"/>
    <x v="63"/>
    <s v="N"/>
    <s v="N"/>
    <s v="S"/>
    <s v="N"/>
  </r>
  <r>
    <x v="1"/>
    <s v="015869"/>
    <s v="DECLARACION RESPONSABLE RELATIVA AL INICIO DE ACTIVIDAD COMO CAMPING DE CASTILLA-LA MANCHA E INSCRIPCION EN EL REGISTRO GENERAL."/>
    <s v=""/>
    <x v="2"/>
    <x v="1"/>
    <x v="7"/>
    <s v="DKY4"/>
    <x v="64"/>
    <s v="N"/>
    <s v="N"/>
    <s v="S"/>
    <s v="N"/>
  </r>
  <r>
    <x v="1"/>
    <s v="015870"/>
    <s v="DECLARACION RESPONSABLE RELATIVA A LA MODIFICACION DE CAPACIDAD COMO CAMPING EN EL REGISTRO GENERAL."/>
    <s v=""/>
    <x v="2"/>
    <x v="1"/>
    <x v="7"/>
    <s v="DKY5"/>
    <x v="65"/>
    <s v="N"/>
    <s v="N"/>
    <s v="S"/>
    <s v="N"/>
  </r>
  <r>
    <x v="1"/>
    <s v="015883"/>
    <s v="RENOVACION, DUPLICADO O MODIFICACION DE DATOS DEL CARNE DE INFORMADOR TURISTICO DE AMBITO LOCAL DE CASTILLA-LA MANCHA"/>
    <s v=""/>
    <x v="2"/>
    <x v="1"/>
    <x v="7"/>
    <s v="SL3V"/>
    <x v="66"/>
    <s v="S"/>
    <s v="N"/>
    <s v="S"/>
    <s v="N"/>
  </r>
  <r>
    <x v="1"/>
    <s v="015884"/>
    <s v="EXPEDICION,RENOVACION, DUPLICADO O MODIFICACION DE DATOS DEL CARNE DE GUIA DE TURISMO DE CASTILLA-LA MANCHA"/>
    <s v=""/>
    <x v="2"/>
    <x v="1"/>
    <x v="7"/>
    <s v="SL0M"/>
    <x v="67"/>
    <s v="S"/>
    <s v="N"/>
    <s v="S"/>
    <s v="N"/>
  </r>
  <r>
    <x v="1"/>
    <s v="015885"/>
    <s v="RECONOCIMIENTO CUALIFICACION PROFESIONAL COMO GUIA DE TURISMO DE CASTILLA-LA MANCHA POR PROFESIONALES DE LA UNION EUROPEA. ESTABLECIMIENTO"/>
    <s v=""/>
    <x v="2"/>
    <x v="1"/>
    <x v="7"/>
    <s v="SL0I"/>
    <x v="68"/>
    <s v="S"/>
    <s v="N"/>
    <s v="S"/>
    <s v="N"/>
  </r>
  <r>
    <x v="1"/>
    <s v="015886"/>
    <s v="DECLARACION EJERCICIO DE LA ACTIVIDAD DE GUIA DE TURISMO EN CASTILLA-LA MANCHA POR PROFESIONALES DE LA UNION EUROPEA"/>
    <s v=""/>
    <x v="2"/>
    <x v="1"/>
    <x v="7"/>
    <s v="DL0L"/>
    <x v="69"/>
    <s v="S"/>
    <s v="N"/>
    <s v="S"/>
    <s v="N"/>
  </r>
  <r>
    <x v="1"/>
    <s v="015887"/>
    <s v="SOLICITUD DE HABILITACION DE INFORMADOR TURISTICO DE AMBITO LOCAL DE CASTILLA-LA MANCHA"/>
    <s v=""/>
    <x v="2"/>
    <x v="1"/>
    <x v="7"/>
    <s v="SL3U"/>
    <x v="70"/>
    <s v="S"/>
    <s v="N"/>
    <s v="S"/>
    <s v="N"/>
  </r>
  <r>
    <x v="1"/>
    <s v="015888"/>
    <s v="DECLARACION RESPONSABLE RELATIVA AL INICIO DE ACTIVIDAD COMO EMPRESA DE INFORMACION TURISTICA DE CASTILLA-LA MANCHA E INSCRIPCION EN EL REGISTRO GENERAL"/>
    <s v=""/>
    <x v="2"/>
    <x v="1"/>
    <x v="7"/>
    <s v="DL0G"/>
    <x v="71"/>
    <s v="N"/>
    <s v="N"/>
    <s v="S"/>
    <s v="N"/>
  </r>
  <r>
    <x v="1"/>
    <s v="015889"/>
    <s v="COMUNICACION DE CESE DE ACTIVIDAD, CAMBIO DE TITULARIDAD Y CAMBIO DE DENOMINACION DE EMPRESA DE INFORMACION TURISTICA ."/>
    <s v=""/>
    <x v="2"/>
    <x v="1"/>
    <x v="7"/>
    <s v="ML0H"/>
    <x v="72"/>
    <s v="N"/>
    <s v="N"/>
    <s v="S"/>
    <s v="N"/>
  </r>
  <r>
    <x v="1"/>
    <s v="016008"/>
    <s v="COMUNICACION PREVIA DEL INICIO DE TRABAJOS."/>
    <s v="45 DÍAS HÁBILES, A CONTAR DESDE LA FECHA EN LA QUE EL PLAN HAYA TENIDO ENTRADA EN EL REGISTRO DE LAS DELEGACIONES PROVINCIALES DE ECONOMÍA, EMPRESAS Y EMPLEO"/>
    <x v="0"/>
    <x v="1"/>
    <x v="8"/>
    <s v="MLCR"/>
    <x v="73"/>
    <s v="N"/>
    <s v="N"/>
    <s v="S"/>
    <s v="N"/>
  </r>
  <r>
    <x v="1"/>
    <s v="016009"/>
    <s v="REGISTRO DE DATOS DE EVALUACION DE LA EXPOSICION EN LOS TRABAJOS CON AMIANTO."/>
    <s v="45 DÍAS HÁBILES, A CONTAR DESDE LA FECHA EN LA QUE EL PLAN HAYA TENIDO ENTRADA EN EL REGISTRO DE LAS DELEGACIONES PROVINCIALES DE ECONOMÍA, EMPRESAS Y EMPLEO"/>
    <x v="0"/>
    <x v="1"/>
    <x v="8"/>
    <s v="MLCS"/>
    <x v="74"/>
    <s v="N"/>
    <s v="N"/>
    <s v="S"/>
    <s v="N"/>
  </r>
  <r>
    <x v="1"/>
    <s v="016010"/>
    <s v="APROBACION DE PLAN DE TRABAJO CON RIESGO DE AMIANTO."/>
    <s v="45 DÍAS HÁBILES, A CONTAR DESDE LA FECHA EN LA QUE EL PLAN HAYA TENIDO ENTRADA EN EL REGISTRO DE LAS DELEGACIONES PROVINCIALES DE ECONOMÍA, EMPRESAS Y EMPLEO"/>
    <x v="0"/>
    <x v="1"/>
    <x v="8"/>
    <s v="SLCQ"/>
    <x v="75"/>
    <s v="N"/>
    <s v="N"/>
    <s v="S"/>
    <s v="N"/>
  </r>
  <r>
    <x v="1"/>
    <s v="016011"/>
    <s v="EXPEDIENTES DE REGULACION TEMPORAL DE EMPLEO. PRORROGA DE ERTE."/>
    <s v=""/>
    <x v="2"/>
    <x v="1"/>
    <x v="11"/>
    <s v="SLPH"/>
    <x v="76"/>
    <s v="N"/>
    <s v="N"/>
    <s v="S"/>
    <s v="N"/>
  </r>
  <r>
    <x v="1"/>
    <s v="016012"/>
    <s v="ERTE POR MECANISMO RED"/>
    <s v=""/>
    <x v="2"/>
    <x v="1"/>
    <x v="9"/>
    <s v="SLT0"/>
    <x v="77"/>
    <s v="N"/>
    <s v="N"/>
    <s v="S"/>
    <s v="N"/>
  </r>
  <r>
    <x v="1"/>
    <s v="016013"/>
    <s v="ERTE POR FUERZA MAYOR TEMPORAL, IMPEDIMENTO Y LIMITACION."/>
    <s v=""/>
    <x v="2"/>
    <x v="1"/>
    <x v="9"/>
    <s v="MLCV"/>
    <x v="78"/>
    <s v="N"/>
    <s v="N"/>
    <s v="S"/>
    <s v="N"/>
  </r>
  <r>
    <x v="1"/>
    <s v="016014"/>
    <s v="ERTE POR CAUSAS ECONOMICAS, TECNICAS, ORGANIZATIVAS O DE PRODUCCION."/>
    <s v=""/>
    <x v="2"/>
    <x v="1"/>
    <x v="9"/>
    <s v="MLDB"/>
    <x v="79"/>
    <s v="N"/>
    <s v="N"/>
    <s v="S"/>
    <s v="N"/>
  </r>
  <r>
    <x v="1"/>
    <s v="016059"/>
    <s v="EMPRESA DE INTERMEDIACION TURISTICA DE CASTILLA-LA MANCHA INICIO DE ACTIVIDAD SEDE PRINCIPAL"/>
    <s v=""/>
    <x v="2"/>
    <x v="1"/>
    <x v="7"/>
    <s v="DLJE"/>
    <x v="80"/>
    <s v="N"/>
    <s v="N"/>
    <s v="S"/>
    <s v="N"/>
  </r>
  <r>
    <x v="1"/>
    <s v="016060"/>
    <s v="EMPRESA DE INTERMEDIACION TURISTICA DE C-LM.  COMUNICACION DE CAMBIO DE DENOMINACION, DE CLASIFICACION DE AGENCIAS DE VIAJE, ASI COMO DE CESE DE ACTIVIDAD"/>
    <s v=""/>
    <x v="2"/>
    <x v="1"/>
    <x v="7"/>
    <s v="MLJG"/>
    <x v="81"/>
    <s v="N"/>
    <s v="N"/>
    <s v="S"/>
    <s v="N"/>
  </r>
  <r>
    <x v="1"/>
    <s v="016061"/>
    <s v="EMPRESAS INTERMEDIACION TURISTICA DE C-LM. DECLARACION RESPONSABLE APERTURA DE NUEVAS SUCURSALES, ASI COMO EL CIERRE DE LAS YA EXISTENTES (SOLO PARA ESTABLECIMIENTOS FISICOS)"/>
    <s v=""/>
    <x v="2"/>
    <x v="1"/>
    <x v="7"/>
    <s v="DLJF"/>
    <x v="82"/>
    <s v="N"/>
    <s v="N"/>
    <s v="S"/>
    <s v="N"/>
  </r>
  <r>
    <x v="1"/>
    <s v="020102"/>
    <s v="OBTENCION DE CERTIFICACION DE DENOMINACION NO COINCIDENTE Y DE SUS PRORROGAS PARA UNA SOCIEDAD COOPERATIVA EN EL REGISTRO DE COOPERATIVAS DE CASTILLA-LA MANCHA."/>
    <s v="5 DIAS HÁBILES"/>
    <x v="0"/>
    <x v="1"/>
    <x v="9"/>
    <s v="SIJH"/>
    <x v="83"/>
    <s v="N"/>
    <s v="N"/>
    <s v="S"/>
    <s v="S"/>
  </r>
  <r>
    <x v="1"/>
    <s v="020104"/>
    <s v="REGISTRO, DEPOSITO Y PUBLICACION DE CONVENIOS Y ACUERDOS COLECTIVOS DE TRABAJO"/>
    <s v="20 DÍAS."/>
    <x v="0"/>
    <x v="1"/>
    <x v="9"/>
    <s v="SI90"/>
    <x v="84"/>
    <s v="N"/>
    <s v="N"/>
    <s v="S"/>
    <s v="N"/>
  </r>
  <r>
    <x v="1"/>
    <s v="020105"/>
    <s v="REGISTRO Y DEPOSITO DE ESTATUTOS DE ASOCIACIONES EMPRESARIALES Y SINDICALES, ASI COMO SUS FUSIONES, FEDERACIONES Y CONFEDERACIONES"/>
    <s v="DIEZ DÍAS ORGANIZACIONES SINDICALES._x000d__x000a_VEINTE DÍAS, ORGANIZACIONES EMPRESARIALES."/>
    <x v="0"/>
    <x v="1"/>
    <x v="9"/>
    <s v="SI91"/>
    <x v="85"/>
    <s v="N"/>
    <s v="N"/>
    <s v="S"/>
    <s v="N"/>
  </r>
  <r>
    <x v="1"/>
    <s v="020106"/>
    <s v="REGISTRO REGIONAL DE EMPRESAS EXENTAS DE AUDITORIA DE SU SISTEMAS DE PREVENCION"/>
    <s v="3 MESES"/>
    <x v="0"/>
    <x v="1"/>
    <x v="8"/>
    <s v="SI00"/>
    <x v="86"/>
    <s v="S"/>
    <s v="N"/>
    <s v="S"/>
    <s v="N"/>
  </r>
  <r>
    <x v="1"/>
    <s v="020159"/>
    <s v="INSCRIPCION EN EL REGISTRO ADMINISTRATIVO DE EMPRESAS DE INSERCION DE CASTILLA-LA MANCHA"/>
    <s v="6 MESES"/>
    <x v="0"/>
    <x v="1"/>
    <x v="12"/>
    <s v="SJI7"/>
    <x v="87"/>
    <s v="S"/>
    <s v="N"/>
    <s v="S"/>
    <s v="N"/>
  </r>
  <r>
    <x v="1"/>
    <s v="020160"/>
    <s v="HABILITACION/LEGALIZACION DE LIBROS SOCIALES Y CONTABLES DE LAS SOCIEDADES COOPERATIVAS POR EL REGISTRO DE COOPERATIVAS DE CASTILLA-LA MANCHA"/>
    <s v="20 DÍAS DESDE LA PRESENTACIÓN ANTE LA UNIDAD PROVINCIAL O REGIONAL CORRESPONDIENTE DEL REGISTRO DE COOPERATIVAS DE CASTILLA-LA MANCHA"/>
    <x v="0"/>
    <x v="1"/>
    <x v="9"/>
    <s v="SJMF"/>
    <x v="88"/>
    <s v="S"/>
    <s v="N"/>
    <s v="S"/>
    <s v="N"/>
  </r>
  <r>
    <x v="1"/>
    <s v="020169"/>
    <s v="INSCRIPCION EN EL REGISTRO DE EMPRESAS CON RIESGO DE AMIANTO (RERA) DE LAS EMPRESAS QUE VAYAN A REALIZAR ACTIVIDADES U OPERACIONES CON RIESGO DE EXPOSICION A AMIANTO"/>
    <s v="3 MESES"/>
    <x v="0"/>
    <x v="1"/>
    <x v="8"/>
    <s v="SJOS"/>
    <x v="89"/>
    <s v="N"/>
    <s v="N"/>
    <s v="S"/>
    <s v="S"/>
  </r>
  <r>
    <x v="1"/>
    <s v="020170"/>
    <s v="REGISTRO DE TECNICOS DE NIVEL INTERMEDIO Y SUPERIOR EN PREVENCION DE RIESGOS LABORALES DE LA COMUNIDAD AUTONOMA DE CASTILLA-LA MANCHA"/>
    <s v="3 MESES"/>
    <x v="0"/>
    <x v="1"/>
    <x v="8"/>
    <s v="SJOT"/>
    <x v="90"/>
    <s v="S"/>
    <s v="N"/>
    <s v="S"/>
    <s v="N"/>
  </r>
  <r>
    <x v="1"/>
    <s v="020208"/>
    <s v="REGISTRO DE FORMADORES DE ACCIONES FORMATIVAS CONDUCENTES A LA OBTENCIÓN DE CERTIFICADOS DE PROFESIONALIDAD"/>
    <s v="3 MESES"/>
    <x v="0"/>
    <x v="1"/>
    <x v="10"/>
    <s v="SJWK"/>
    <x v="91"/>
    <s v="N"/>
    <s v="N"/>
    <s v="S"/>
    <s v="N"/>
  </r>
  <r>
    <x v="1"/>
    <s v="020229"/>
    <s v="DEPOSITO DE LAS CUENTAS ANUALES DE LAS SOCIEDADES COOPERATIVAS EN EL REGISTRO DE COOPERATIVAS DE CASTILLA-LA MANCHA (TRAMITE ORDINARIO Y TRAMITE PROVISIONAL)"/>
    <s v="20 DÍAS DESDE LA PRESENTACIÓN ANTE LA CORRESPONDIENTE UNIDAD REGISTRAL DEL REGISTRO DE COOPERATIVAS DE C-LM."/>
    <x v="0"/>
    <x v="1"/>
    <x v="9"/>
    <s v="SKFL"/>
    <x v="92"/>
    <s v="N"/>
    <s v="N"/>
    <s v="S"/>
    <s v="N"/>
  </r>
  <r>
    <x v="1"/>
    <s v="020243"/>
    <s v="REGISTRO ESPECIAL DE ASOCIACIONES DE TRABAJADORAS Y TRABAJADORES AUTONOMOS DE CASTILLA-LA MANCHA"/>
    <s v="3 MESES"/>
    <x v="0"/>
    <x v="1"/>
    <x v="9"/>
    <s v="SKQ8"/>
    <x v="93"/>
    <s v="N"/>
    <s v="N"/>
    <s v="S"/>
    <s v="N"/>
  </r>
  <r>
    <x v="1"/>
    <s v="020255"/>
    <s v="OFICINA DE ELECCIONES SINDICALES"/>
    <s v=""/>
    <x v="2"/>
    <x v="1"/>
    <x v="9"/>
    <s v="ML06"/>
    <x v="94"/>
    <s v="S"/>
    <s v="N"/>
    <s v="S"/>
    <s v="N"/>
  </r>
  <r>
    <x v="1"/>
    <s v="020261"/>
    <s v="MEMORIA ANUAL DE LOS CENTROS ESPECIALES DE EMPLEO"/>
    <s v=""/>
    <x v="2"/>
    <x v="1"/>
    <x v="12"/>
    <s v="ML2M"/>
    <x v="95"/>
    <s v="N"/>
    <s v="N"/>
    <s v="S"/>
    <s v="N"/>
  </r>
  <r>
    <x v="1"/>
    <s v="020264"/>
    <s v="CALIFICACION E INSCRIPCION  EN EL REGISTRO DE CENTROS ESPECIALES DE EMPLEO, COMO CENTRO ESPECIAL DE EMPLEO."/>
    <s v="6 MESES"/>
    <x v="0"/>
    <x v="1"/>
    <x v="12"/>
    <s v="SL45"/>
    <x v="96"/>
    <s v="N"/>
    <s v="N"/>
    <s v="S"/>
    <s v="N"/>
  </r>
  <r>
    <x v="1"/>
    <s v="020265"/>
    <s v="COMUNICACION DE CAMBIOS REGISTRALES Y BAJA EN EL REGISTRO DE CENTROS ESPECIALES DE EMPLEO, COMO CENTRO ESPECIAL DE EMPLEO."/>
    <s v=""/>
    <x v="2"/>
    <x v="1"/>
    <x v="12"/>
    <s v="ML46"/>
    <x v="97"/>
    <s v="N"/>
    <s v="N"/>
    <s v="S"/>
    <s v="N"/>
  </r>
  <r>
    <x v="1"/>
    <s v="020293"/>
    <s v="SOLICITUD DE CAMBIO DE TITULARIDAD EN EL REGISTRO DE CENTROS ESPECIALES DE CASTILLA-LA MANCHA."/>
    <s v="6 MESES."/>
    <x v="1"/>
    <x v="1"/>
    <x v="12"/>
    <s v="SLP6"/>
    <x v="98"/>
    <s v="N"/>
    <s v="N"/>
    <s v="S"/>
    <s v="N"/>
  </r>
  <r>
    <x v="1"/>
    <s v="025134"/>
    <s v="CALIFICACION PREVIA DEL PROYECTO DE ESTATUTOS E INSCRIPCION DE LA CONSTITUCION DE UNA NUEVA SOCIEDAD COOPERATIVA EN EL REGISTRO DE COOPERATIVAS DE CASTILLA-LA MANCHA."/>
    <s v="&quot;20 DÍAS DESDE LA PRESENTACIÓN DE LA DOCUMENTACIÓN ANTE LA CORRESPONDIENTE _x000a_  UNIDAD DEL REGISTRO DE COOPERATIVAS DE CASTILLA-LA MANCHA.&quot;"/>
    <x v="0"/>
    <x v="1"/>
    <x v="9"/>
    <s v="SKYQ"/>
    <x v="99"/>
    <s v="N"/>
    <s v="N"/>
    <s v="S"/>
    <s v="N"/>
  </r>
  <r>
    <x v="1"/>
    <s v="025135"/>
    <s v="INSCRIPCION DE ACTOS RELATIVOS A LAS COOPERATIVAS Y ASOCIACIONES DE COOPERATIVAS EN EL REGISTRO DE COOPERATIVAS DE CASTILLA-LA MANCHA."/>
    <s v="&quot;20 DÍAS DESDE LA PRESENTACIÓN DE LA DOCUMENTACIÓN ANTE LA CORRESPONDIENTE _x000a_  UNIDAD DEL REGISTRO DE COOPERATIVAS DE CASTILLA-LA MANCHA.&quot;"/>
    <x v="0"/>
    <x v="1"/>
    <x v="9"/>
    <s v="SI8Z"/>
    <x v="100"/>
    <s v="S"/>
    <s v="N"/>
    <s v="S"/>
    <s v="S"/>
  </r>
  <r>
    <x v="1"/>
    <s v="025136"/>
    <s v="INSCRIPCION Y RENOVACION EN EL REGISTRO DE EMPRESAS ACREDITADAS EN EL SECTOR DE LA CONSTRUCCION (REA)."/>
    <s v="15 DÍAS"/>
    <x v="0"/>
    <x v="1"/>
    <x v="8"/>
    <s v="SJ39"/>
    <x v="101"/>
    <s v="N"/>
    <s v="N"/>
    <s v="S"/>
    <s v="N"/>
  </r>
  <r>
    <x v="1"/>
    <s v="025137"/>
    <s v="COMUNICACION DE VARIACION DE DATOS EN EL REGISTRO DE EMPRESAS ACREDITADAS EN EL SECTOR DE LA CONSTRUCCION (REA)."/>
    <s v="15 DÍAS"/>
    <x v="0"/>
    <x v="1"/>
    <x v="8"/>
    <s v="SKJP"/>
    <x v="102"/>
    <s v="N"/>
    <s v="N"/>
    <s v="S"/>
    <s v="N"/>
  </r>
  <r>
    <x v="1"/>
    <s v="025138"/>
    <s v="CANCELACION DE INSCRIPCION EN EL REGISTRO DE EMPRESAS ACREDITADAS EN EL SECTOR DE LA CONSTRUCCION (REA)."/>
    <s v="15 DÍAS"/>
    <x v="0"/>
    <x v="1"/>
    <x v="8"/>
    <s v="SKJQ"/>
    <x v="103"/>
    <s v="N"/>
    <s v="N"/>
    <s v="S"/>
    <s v="N"/>
  </r>
  <r>
    <x v="1"/>
    <s v="025150"/>
    <s v="REGISTRO DE FRANQUICIADORES"/>
    <s v=""/>
    <x v="2"/>
    <x v="1"/>
    <x v="7"/>
    <s v="SIHW"/>
    <x v="104"/>
    <s v="S"/>
    <s v="N"/>
    <s v="S"/>
    <s v="S"/>
  </r>
  <r>
    <x v="1"/>
    <s v="025155"/>
    <s v="EXPEDICION DE CERTIFICADO DE PROFESIONALIDAD"/>
    <s v="3 MESES"/>
    <x v="1"/>
    <x v="1"/>
    <x v="10"/>
    <s v="SITX"/>
    <x v="105"/>
    <s v="S"/>
    <s v="N"/>
    <s v="S"/>
    <s v="N"/>
  </r>
  <r>
    <x v="1"/>
    <s v="025156"/>
    <s v="EXPEDICION DE ACREDITACION DE UNIDADES DE COMPETENCIA"/>
    <s v="3 MESES"/>
    <x v="1"/>
    <x v="1"/>
    <x v="10"/>
    <s v="SKCK"/>
    <x v="106"/>
    <s v="S"/>
    <s v="N"/>
    <s v="S"/>
    <s v="N"/>
  </r>
  <r>
    <x v="1"/>
    <s v="025157"/>
    <s v="SOLICITUD DE BAJA COMO DEMANDANTE EN LOS SERVICIOS PUBLICOS DE EMPLEO DE CASTILLA LA MANCHA"/>
    <s v=""/>
    <x v="2"/>
    <x v="1"/>
    <x v="8"/>
    <s v="SKIK"/>
    <x v="107"/>
    <s v="S"/>
    <s v="N"/>
    <s v="S"/>
    <s v="N"/>
  </r>
  <r>
    <x v="1"/>
    <s v="025158"/>
    <s v="COMUNICACION DE DESPLAZAMIENTO DE DEMANDANTES INSCRITOS EN LOS SERVICIOS PUBLICOS DE EMPLEO DE CASTILLA LA MANCHA"/>
    <s v=""/>
    <x v="2"/>
    <x v="1"/>
    <x v="8"/>
    <s v="MKIJ"/>
    <x v="108"/>
    <s v="S"/>
    <s v="N"/>
    <s v="N"/>
    <s v="N"/>
  </r>
  <r>
    <x v="1"/>
    <s v="025159"/>
    <s v="SOLICITUD DE SUSPENSION DE LA DEMANDA EN LOS SERVICIOS PUBLICOS DE EMPLEO DE CASTILLA LA MANCHA"/>
    <s v=""/>
    <x v="2"/>
    <x v="1"/>
    <x v="8"/>
    <s v="SKII"/>
    <x v="109"/>
    <s v="S"/>
    <s v="N"/>
    <s v="N"/>
    <s v="N"/>
  </r>
  <r>
    <x v="1"/>
    <s v="025160"/>
    <s v="SOLICITUD DE RECUPERACION DE PERIODO EN BAJA DE LA DEMANDA"/>
    <s v=""/>
    <x v="2"/>
    <x v="1"/>
    <x v="8"/>
    <s v="SKIH"/>
    <x v="110"/>
    <s v="S"/>
    <s v="N"/>
    <s v="N"/>
    <s v="N"/>
  </r>
  <r>
    <x v="1"/>
    <s v="025161"/>
    <s v="INSCRIPCION COMO DEMANDANTE DE PERSONAS TRABAJADORAS EN OFICINAS DE EMPLEO Y EMPRENDEDORES DE LA CONSEJERIA DE EMPLEO Y ECONOMIA, ASI COMO MANTENIMIENTO Y ACTUALIZACION DE LOS DATOS DE SU DEMANDA"/>
    <s v=""/>
    <x v="2"/>
    <x v="1"/>
    <x v="8"/>
    <s v="SJNO"/>
    <x v="111"/>
    <s v="S"/>
    <s v="N"/>
    <s v="S"/>
    <s v="N"/>
  </r>
  <r>
    <x v="1"/>
    <s v="025714"/>
    <s v="DECLARACION RESPONSABLE DE USO DE LA MARCA  CASTILLA-LA MANCHA"/>
    <s v=""/>
    <x v="0"/>
    <x v="1"/>
    <x v="7"/>
    <s v="DKNB"/>
    <x v="112"/>
    <s v="S"/>
    <s v="N"/>
    <s v="S"/>
    <s v="N"/>
  </r>
  <r>
    <x v="1"/>
    <s v="025715"/>
    <s v="COMUNICACION DE BAJA VOLUNTARIA EN EL REGISTRO REGIONAL DE USUARIOS DE LA MARCA  CASTILLA-LA MANCHA"/>
    <s v=""/>
    <x v="0"/>
    <x v="1"/>
    <x v="7"/>
    <s v="MKYC"/>
    <x v="113"/>
    <s v="S"/>
    <s v="N"/>
    <s v="S"/>
    <s v="N"/>
  </r>
  <r>
    <x v="1"/>
    <s v="025749"/>
    <s v="BAJA DEL REGISTRO DE ENTIDADES HOMOLOGADAS"/>
    <s v="1 MES"/>
    <x v="0"/>
    <x v="1"/>
    <x v="12"/>
    <s v="SKPY"/>
    <x v="114"/>
    <s v="N"/>
    <s v="N"/>
    <s v="S"/>
    <s v="N"/>
  </r>
  <r>
    <x v="1"/>
    <s v="025750"/>
    <s v="HOMOLOGACION DE ENTIDADES PARA LA PRESTACION DE SERVICIOS DE ASESORAMIENTO Y TUTORIZACION A PERSONAS EMPRENDEDORAS Y ALTA EN EL REGISTRO DE ENTIDADES HOMOLOGADAS"/>
    <s v="1 MES"/>
    <x v="0"/>
    <x v="1"/>
    <x v="12"/>
    <s v="SKPW"/>
    <x v="115"/>
    <s v="N"/>
    <s v="N"/>
    <s v="S"/>
    <s v="N"/>
  </r>
  <r>
    <x v="1"/>
    <s v="025751"/>
    <s v="MODIFICACION DE LOS DATOS DEL REGISTRO DE ENTIDADES HOMOLOGADAS"/>
    <s v="1 MES"/>
    <x v="0"/>
    <x v="1"/>
    <x v="12"/>
    <s v="SKPX"/>
    <x v="116"/>
    <s v="N"/>
    <s v="N"/>
    <s v="S"/>
    <s v="N"/>
  </r>
  <r>
    <x v="1"/>
    <s v="030427"/>
    <s v="AYUDAS ESPECIALES DEL DECRETO 312/2011, DE 29 DE DICIEMBRE, DE LAS PERSONAS TRABAJADORAS AFECTADAS POR LOS ERES 76/2000, DE 08/03/2001 Y 25/2001, DE 31/07/2001"/>
    <s v="3 MESES"/>
    <x v="1"/>
    <x v="1"/>
    <x v="12"/>
    <s v="SJOW"/>
    <x v="117"/>
    <s v="S"/>
    <s v="N"/>
    <s v="S"/>
    <s v="N"/>
  </r>
  <r>
    <x v="1"/>
    <s v="030551"/>
    <s v="CONCESION DE BECAS Y/O AYUDAS A PERSONAS TRABAJADORAS DESEMPLEADAS QUE PARTICIPEN EN LAS DIFERENTES MODALIDADES DE FORMACION PROFESIONAL PARA EL EMPLEO EN CASTILLA-LA MANCHA."/>
    <s v="UN MES DESDE EL DÍA SIGUIENTE AL DE LA FINALIZACIÓN DEL CURSO O PRÁCTICAS PROFESIONALES NO LABORALES."/>
    <x v="1"/>
    <x v="1"/>
    <x v="10"/>
    <s v="SK5F"/>
    <x v="118"/>
    <s v="S"/>
    <s v="N"/>
    <s v="S"/>
    <s v="N"/>
  </r>
  <r>
    <x v="1"/>
    <s v="030570"/>
    <s v="INSCRIPCION PARA LA REALIZACION DE ACCIONES DE FORMACION PROFESIONAL PARA EL EMPLEO."/>
    <s v=""/>
    <x v="1"/>
    <x v="1"/>
    <x v="10"/>
    <s v="SK5E"/>
    <x v="119"/>
    <s v="S"/>
    <s v="N"/>
    <s v="S"/>
    <s v="N"/>
  </r>
  <r>
    <x v="1"/>
    <s v="030638"/>
    <s v="SUBVENCIONES PARA LA REALIZACION DE PROYECTOS DENTRO DEL PROGRAMA GARANTIA +52 AÑOS, EN EL MARCO DEL PLAN REGIONAL DE EMPLEO Y GARANTIA DE RENTAS DE CASTILLA-LA MANCHA (2018-2020)"/>
    <s v="3 MESES"/>
    <x v="1"/>
    <x v="1"/>
    <x v="12"/>
    <s v="SKM2"/>
    <x v="120"/>
    <s v="N"/>
    <s v="N"/>
    <s v="S"/>
    <s v="N"/>
  </r>
  <r>
    <x v="1"/>
    <s v="030639"/>
    <s v="PREMIOS PERIODISTICOS DE CASTILLA-LA MANCHA."/>
    <s v="4 MESES"/>
    <x v="1"/>
    <x v="1"/>
    <x v="7"/>
    <s v="SKM6"/>
    <x v="121"/>
    <s v="N"/>
    <s v="N"/>
    <s v="S"/>
    <s v="N"/>
  </r>
  <r>
    <x v="1"/>
    <s v="030642"/>
    <s v="PREMIOS MIGUEL DE CERVANTES DE GASTRONOMIA"/>
    <s v="4 MESES"/>
    <x v="1"/>
    <x v="1"/>
    <x v="7"/>
    <s v="SKM9"/>
    <x v="122"/>
    <s v="N"/>
    <s v="N"/>
    <s v="S"/>
    <s v="N"/>
  </r>
  <r>
    <x v="1"/>
    <s v="030643"/>
    <s v="CONCESION DIRECTA DE SUBVENCIONES DE CARACTER EXCEPCIONAL, PARA EL FOMENTO DE LA CONTRATACION INDEFINIDA, Y EN ESPECIAL DE PERSONAS MAYORES DE 45 AÑOS"/>
    <s v="DOS MESES"/>
    <x v="1"/>
    <x v="1"/>
    <x v="12"/>
    <s v="SKMA"/>
    <x v="123"/>
    <s v="N"/>
    <s v="N"/>
    <s v="S"/>
    <s v="N"/>
  </r>
  <r>
    <x v="1"/>
    <s v="030645"/>
    <s v="AYUDAS PARA LA CONTRATACION DE PERSONAS DESEMPLEADAS, EN EL MARCO DEL PLAN EXTRAORDINARIO POR EL EMPLEO EN CASTILLA LA MANCHA"/>
    <s v="3 MESES"/>
    <x v="1"/>
    <x v="1"/>
    <x v="12"/>
    <s v="SKME"/>
    <x v="124"/>
    <s v="N"/>
    <s v="N"/>
    <s v="S"/>
    <s v="N"/>
  </r>
  <r>
    <x v="1"/>
    <s v="030678"/>
    <s v="CONCESION DIRECTA DE UNA SUBVENCION DE CARACTER EXCEPCIONAL A CRUZ ROJA ESPAÑOLA, FUNDACION SECRETARIADO GITANO, CARITAS, FUNDACION DE ACCION CONTRA EL HAMBRE E YMCA"/>
    <s v=""/>
    <x v="2"/>
    <x v="1"/>
    <x v="8"/>
    <s v="PKOZ"/>
    <x v="125"/>
    <s v="N"/>
    <s v="N"/>
    <s v="S"/>
    <s v="N"/>
  </r>
  <r>
    <x v="1"/>
    <s v="030706"/>
    <s v="SUBVENCIONES DE CONCESION DIRECTA A U.G.T., C.C.O.O. Y C.E.C.A.M., VINCULADAS A LA PARTICIPACION INSTITUCIONAL EN EL PLAN DE MEDIDAS EXTRAORDINARIAS PARA LA RECUPERACION ECONOMICA DE CASTILLA-LA MANCHA, CON MOTIVO DE LA CRISIS DEL COVID-19."/>
    <s v="NO SE APLICA"/>
    <x v="2"/>
    <x v="1"/>
    <x v="8"/>
    <s v="PKU8"/>
    <x v="126"/>
    <s v="N"/>
    <s v="N"/>
    <s v="S"/>
    <s v="N"/>
  </r>
  <r>
    <x v="1"/>
    <s v="030707"/>
    <s v="SUBVENCION DE CONCESION DIRECTA D A LA CONFEDERACION REGIONAL DE EMPRESARIOS DE CASTILLA-LA MANCHA (CECAM), PARA LA DIVULGACION, ASESORAMIENTO Y EL SEGUIMIENTO DE LOS INCENTIVOS A LA CONTRATACION Y DURANTE EL EJERCICIO 2017"/>
    <s v="3 MESES"/>
    <x v="1"/>
    <x v="1"/>
    <x v="12"/>
    <s v="PKU9"/>
    <x v="127"/>
    <s v="N"/>
    <s v="N"/>
    <s v="S"/>
    <s v="N"/>
  </r>
  <r>
    <x v="1"/>
    <s v="030721"/>
    <s v="PREMIOS AL MERITO EMPRESARIAL DE CASTILLA-LA MANCHA (MEEM)."/>
    <s v="TRES MESES"/>
    <x v="1"/>
    <x v="1"/>
    <x v="13"/>
    <s v="SKVD"/>
    <x v="128"/>
    <s v="N"/>
    <s v="N"/>
    <s v="S"/>
    <s v="N"/>
  </r>
  <r>
    <x v="1"/>
    <s v="030725"/>
    <s v="SUBVENCION DE CONCESION DIRECTA AL CONSEJO DE CAMARAS OFICIALES DE COMERCIO, INDUSTRIA Y SERVICIOS DE CASTILLA LA MANCHA, PARA LA EJECUCION DE PROGRAMAS DIRIGIDOS A LA MEJORA DE LA COMPETITIVIDAD Y LA INTERNACIONALIZACION DE LAS EMPRESAS EN EL EJERCICIO 2"/>
    <s v=""/>
    <x v="2"/>
    <x v="1"/>
    <x v="13"/>
    <s v="PKVI"/>
    <x v="129"/>
    <s v="N"/>
    <s v="N"/>
    <s v="S"/>
    <s v="N"/>
  </r>
  <r>
    <x v="1"/>
    <s v="030734"/>
    <s v="SUBVENCION DE CONCESION DIRECTA A LA FUNDACION ESCUELA DE ORGANIZACION INDUSTRIAL (EOI), PARA EL DESARROLLO DE UN PROGRAMA DE FORMACION DIRIGIDO A FOMENTAR EL EMPRENDIMIENTO"/>
    <s v=""/>
    <x v="1"/>
    <x v="1"/>
    <x v="9"/>
    <s v="PKWO"/>
    <x v="130"/>
    <s v="N"/>
    <s v="N"/>
    <s v="S"/>
    <s v="N"/>
  </r>
  <r>
    <x v="1"/>
    <s v="030745"/>
    <s v="AYUDAS DE LA CONVOCATORIA DE EXPRESIONES DE INTERES PARA LA SELECCION Y EJECUCION DE PROYECTOS PARA LA PROMOCION, MEJORA E INCREMENTO DE LOS RECURSOS TURISTICOS DE LA REGION."/>
    <s v="EL PLAZO MÁXIMO PARA RESOLVER Y NOTIFICAR LA RESOLUCIÓN NO PODRÁ EXCEDER DE 4 MESES, A CONTAR DESDE LA FECHA DE FINALIZACIÓN DEL PLAZO PARA PRESENTAR SOLICITUDES."/>
    <x v="1"/>
    <x v="1"/>
    <x v="7"/>
    <s v="SKYY"/>
    <x v="131"/>
    <s v="N"/>
    <s v="N"/>
    <s v="S"/>
    <s v="N"/>
  </r>
  <r>
    <x v="1"/>
    <s v="030754"/>
    <s v="INSERCION LABORAL DE PERSONAS EN SITUACION DE EXCLUSION A TRAVES DE EMPRESAS DE INSERCION"/>
    <s v="3 MESES DESDE LA PRESENTACIÓN DE LA SOLICITUD."/>
    <x v="1"/>
    <x v="1"/>
    <x v="12"/>
    <s v="SKZ7"/>
    <x v="132"/>
    <s v="N"/>
    <s v="N"/>
    <s v="S"/>
    <s v="N"/>
  </r>
  <r>
    <x v="1"/>
    <s v="030771"/>
    <s v="CONCESION DIRECTA DE SUBVENCIONES PARA EL ESTIMULO DEL MERCADO DE TRABAJO Y EL FOMENTO DEL EMPLEO ESTABLE Y DE CALIDAD."/>
    <s v="2 MESES."/>
    <x v="1"/>
    <x v="1"/>
    <x v="12"/>
    <s v="SL10"/>
    <x v="133"/>
    <s v="N"/>
    <s v="N"/>
    <s v="S"/>
    <s v="N"/>
  </r>
  <r>
    <x v="1"/>
    <s v="030781"/>
    <s v="PREMIOS REGIONALES DE TURISMO DE CASTILLA-LA MANCHA."/>
    <s v=""/>
    <x v="2"/>
    <x v="1"/>
    <x v="7"/>
    <s v="SL21"/>
    <x v="134"/>
    <s v="N"/>
    <s v="N"/>
    <s v="S"/>
    <s v="N"/>
  </r>
  <r>
    <x v="1"/>
    <s v="030787"/>
    <s v="SUBVENCIONES PARA FINANCIAR PROYECTOS PARA EL EMPLEO DE PERSONAS JOVENES CUALIFICADAS INSCRITAS EN EL SISTEMA NACIONAL DE GARANTIA JUVENIL, COFINANCIADA POR EL PROGRAMA OPERATIVO DE EMPLEO JUVENIL."/>
    <s v="3 MESES DESDE LA FECHA DE FINALIZACIÓN DEL PLAZO DE PRESENTACIÓN DE SOLICITUDES."/>
    <x v="1"/>
    <x v="1"/>
    <x v="12"/>
    <s v="SL2T"/>
    <x v="135"/>
    <s v="N"/>
    <s v="N"/>
    <s v="S"/>
    <s v="N"/>
  </r>
  <r>
    <x v="1"/>
    <s v="030800"/>
    <s v="CONCESION DIRECTA AL CONSEJO DE CAMARAS OFICIALES DE COMERCIO, INDUSTRIA Y SERVICIOS DE CLM, VINCULADAS A LA EVALUACION Y DIFUSION DE LOS PROGRAMAS DE EMPLEO REALIZADOS EN EL MARCO DEL PROGRAMA OPERATIVO DE EMPLEO JUVENIL 2014-2020"/>
    <s v=""/>
    <x v="2"/>
    <x v="1"/>
    <x v="12"/>
    <s v="PL41"/>
    <x v="136"/>
    <s v="N"/>
    <s v="N"/>
    <s v="S"/>
    <s v="N"/>
  </r>
  <r>
    <x v="1"/>
    <s v="030815"/>
    <s v="CONCESION DIRECTA DE SUBVENCIONES PARA INCENTIVAR LA CONTRATACION EN EL MARCO DEL PROGRAMA &quot;CHEQUE TRANSICION&quot;."/>
    <s v="2 MESES"/>
    <x v="1"/>
    <x v="1"/>
    <x v="12"/>
    <s v="SL5W"/>
    <x v="137"/>
    <s v="N"/>
    <s v="N"/>
    <s v="S"/>
    <s v="N"/>
  </r>
  <r>
    <x v="1"/>
    <s v="030831"/>
    <s v="INSCRIPCION PARA LA REALIZACION DE ACCIONES DE FORMACION PROFESIONAL PARA EL EMPLEO, CON COMPROMISO DE CONTRATACION."/>
    <s v="HASTA LA FECHA DEL 25% DE LA ACCIÓN FORMATIVA O EN EL CASO DE CERTIFICADOS DE PROFESIONALIDAD HASTA EL 5º DÍA LECTIVO."/>
    <x v="1"/>
    <x v="1"/>
    <x v="10"/>
    <s v="SL89"/>
    <x v="119"/>
    <s v="S"/>
    <s v="N"/>
    <s v="S"/>
    <s v="N"/>
  </r>
  <r>
    <x v="1"/>
    <s v="030833"/>
    <s v="CONCESION DE BECAS Y/O AYUDAS A PERSONAS TRABAJADORAS DESEMPLEADAS QUE PARTICIPEN EN LAS DIFERENTES MODALIDADES DE FORMACION PROFESIONAL PARA EL EMPLEO EN CASTILLA-LA MANCHA."/>
    <s v="UN MES DESDE EL DÍA SIGUIENTE AL DE LA FINALIZACIÓN DEL CURSO O PRÁCTICAS PROFESIONALES NO LABORALES."/>
    <x v="1"/>
    <x v="1"/>
    <x v="10"/>
    <s v="SL8B"/>
    <x v="118"/>
    <s v="S"/>
    <s v="N"/>
    <s v="S"/>
    <s v="N"/>
  </r>
  <r>
    <x v="1"/>
    <s v="030837"/>
    <s v="CONCESION DIRECTA DE SUBVENCIONES A LAS ENTIDADES BENEFICIARIAS DE PROGRAMAS DE FORMACION Y EMPLEO, PARA SUFRAGAR EL SOBRECOSTE LABORAL DERIVADO DEL INCREMENTO DEL SALARIO MINIMO INTERPROFESIONAL PARA 2019"/>
    <s v="EL PLAZO MÁXIMO PARA RESOLVER Y NOTIFICAR LA RESOLUCIÓN DEL PROCEDIMIENTO NO PODRÁ EXCEDER DE TRES MESES, CONTADOS DESDE LA FECHA DE PRESENTACIÓN DE LA SOLICITUD."/>
    <x v="1"/>
    <x v="1"/>
    <x v="10"/>
    <s v="SL8P"/>
    <x v="138"/>
    <s v="N"/>
    <s v="N"/>
    <s v="S"/>
    <s v="N"/>
  </r>
  <r>
    <x v="1"/>
    <s v="030842"/>
    <s v="SERVICIOS DE ASESORAMIENTO Y TUTORIZACION A LAS PERSONAS EMPRENDEDORAS, EN EL MARCO DEL PLAN REGIONAL DE AUTOEMPLEO, CREACION DE EMPRESAS Y EMPRENDIMIENTO."/>
    <s v="2 MESES."/>
    <x v="1"/>
    <x v="1"/>
    <x v="9"/>
    <s v="SL98"/>
    <x v="139"/>
    <s v="N"/>
    <s v="N"/>
    <s v="S"/>
    <s v="N"/>
  </r>
  <r>
    <x v="1"/>
    <s v="030848"/>
    <s v="SUBVENCION DIRECTA A LA FUNDACION ESCUELA DE ORGANIZACION INDUSTRIAL (EOI), PARA EL DESARROLLO DEL PROGRAMA DE FORMACION SOY DIGITAL CLM"/>
    <s v=""/>
    <x v="2"/>
    <x v="1"/>
    <x v="13"/>
    <s v="PLAG"/>
    <x v="140"/>
    <s v="N"/>
    <s v="N"/>
    <s v="S"/>
    <s v="N"/>
  </r>
  <r>
    <x v="1"/>
    <s v="030852"/>
    <s v="SUBVENCION DE CARACTER EXCEPCIONAL AL AYUNTAMIENTO DE YUNCOS POR LA CELEBRACION DEL XVI CONGRESO NACIONAL DEL TORO DE CUERDA."/>
    <s v=""/>
    <x v="2"/>
    <x v="1"/>
    <x v="7"/>
    <s v="PLAR"/>
    <x v="141"/>
    <s v="N"/>
    <s v="N"/>
    <s v="S"/>
    <s v="N"/>
  </r>
  <r>
    <x v="1"/>
    <s v="030853"/>
    <s v="AYUDAS PARA EL DESARROLLO DE UN PROGRAMA DE INSERCION LABORAL A MUJERES VICTIMAS DE VIOLENCIA DE GENERO Y A MUJERES EN SITUACION DE ESPECIAL VULNERABILIDAD EN EL AMBITO RURAL."/>
    <s v="1 MES DESDE LA FECHA DE PRESENTACIÓN DE LA SOLICITUD."/>
    <x v="1"/>
    <x v="1"/>
    <x v="12"/>
    <s v="SLAW"/>
    <x v="142"/>
    <s v="N"/>
    <s v="N"/>
    <s v="S"/>
    <s v="N"/>
  </r>
  <r>
    <x v="1"/>
    <s v="030866"/>
    <s v="DECRETO DE CONCESION DIRECTA DE SUBVENCIONES AFECTADOS COVID-19 (AUTONOMOS Y MICROEMPRESAS)"/>
    <s v="1 MES"/>
    <x v="1"/>
    <x v="1"/>
    <x v="9"/>
    <s v="SLD6"/>
    <x v="143"/>
    <s v="N"/>
    <s v="N"/>
    <s v="S"/>
    <s v="N"/>
  </r>
  <r>
    <x v="1"/>
    <s v="030875"/>
    <s v="SUBVENCIONES PARA LA ADQUISICION DE ELEMENTOS DE PROTECCION SANITARIA EN LOS ESTABLECIMIENTOS DE COMERCIO, HOSTELERIA Y RESTAURACION DE CASTILLA-LA MANCHA."/>
    <s v="1 MES"/>
    <x v="1"/>
    <x v="1"/>
    <x v="7"/>
    <s v="SLDI"/>
    <x v="144"/>
    <s v="N"/>
    <s v="N"/>
    <s v="S"/>
    <s v="N"/>
  </r>
  <r>
    <x v="1"/>
    <s v="030876"/>
    <s v="SUBVENCIONES DESTINADAS A FAVORECER EL EMPLEO EN LAS CAMPAÑAS AGRARIAS DE CASTILLA-LA MANCHA ANTE LA SITUACION GENERADA POR EL COVID-19."/>
    <s v="2 MESES"/>
    <x v="1"/>
    <x v="1"/>
    <x v="12"/>
    <s v="SLDK"/>
    <x v="145"/>
    <s v="S"/>
    <s v="N"/>
    <s v="S"/>
    <s v="N"/>
  </r>
  <r>
    <x v="1"/>
    <s v="030884"/>
    <s v="PROGRAMA DE REACTIVACION DE LA ACTIVIDAD ECONOMICA Y EL EMPLEO EN COOPERATIVAS Y SOCIEDADES LABORALES EN CASTILLA-LA MANCHA"/>
    <s v="1 MES"/>
    <x v="1"/>
    <x v="1"/>
    <x v="9"/>
    <s v="SLEJ"/>
    <x v="146"/>
    <s v="N"/>
    <s v="N"/>
    <s v="S"/>
    <s v="N"/>
  </r>
  <r>
    <x v="1"/>
    <s v="030885"/>
    <s v="SUBVENCIONES PARA LA CONCILIACION DE LA VIDA FAMILIAR Y LABORAL COMO MEDIDA DE FOMENTO DE LA CONCILIACION, COFINANCIALBLE CON EL FONDO SOCIAL EUROPEO."/>
    <s v="2 MESES"/>
    <x v="1"/>
    <x v="1"/>
    <x v="12"/>
    <s v="SLEP"/>
    <x v="147"/>
    <s v="S"/>
    <s v="N"/>
    <s v="S"/>
    <s v="N"/>
  </r>
  <r>
    <x v="1"/>
    <s v="030886"/>
    <s v="DECRETO CHEQUE COVID-19. CONCESION DIRECTA DE SUBVENCIONES POR CONTRATACION DE PERSONAS AFECTADAS POR PROCEDIMIENTOS DE EXTINCION DEL CONTRATO DE TRABAJO COMO CONSECUENCIA DE LA CRISIS PROVOCADA POR EL COVID-19."/>
    <s v="DOS MESES A PARTIR DE LA FECHA DE PRESENTACIÓN DE LA SOLICITUD."/>
    <x v="1"/>
    <x v="1"/>
    <x v="12"/>
    <s v="SLEU"/>
    <x v="148"/>
    <s v="N"/>
    <s v="N"/>
    <s v="S"/>
    <s v="N"/>
  </r>
  <r>
    <x v="1"/>
    <s v="030896"/>
    <s v="PROGRAMA DE FOMENTO DEL TRABAJO A DISTANCIA COMO MODALIDAD DE ORGANIZACION LABORAL CON MOTIVO DE LA CRISIS SANITARIA DEL COVID-19."/>
    <s v="1 MES"/>
    <x v="1"/>
    <x v="1"/>
    <x v="9"/>
    <s v="SLFM"/>
    <x v="149"/>
    <s v="N"/>
    <s v="N"/>
    <s v="S"/>
    <s v="N"/>
  </r>
  <r>
    <x v="1"/>
    <s v="030926"/>
    <s v="AYUDAS PARA LA CONTRATACION DE PERSONAS DESEMPLEADAS Y EN SITUACION DE EXCLUSION SOCIAL, CON MOTIVO DE LA CRISIS DEL COVID-19"/>
    <s v="1 MES DESDE LA FECHA DE FINALIZACIÓN DEL PLAZO DE PRESENTACIÓN DE SOLICITUDES."/>
    <x v="1"/>
    <x v="1"/>
    <x v="12"/>
    <s v="SLHG"/>
    <x v="150"/>
    <s v="N"/>
    <s v="N"/>
    <s v="S"/>
    <s v="N"/>
  </r>
  <r>
    <x v="1"/>
    <s v="030927"/>
    <s v="CONCESION DIRECTA DE SUBVENCIONES PARA EL ACCESO A UN PRIMER EMPLEO,DE JOVENES INSCRITOS EN EL SISTEMA NACIONAL DE GARANTIA JUVENIL, EN  SECTORES DE ACTIVIDAD RELACIONADOS ECONOMIAS VERDES, ECONOMIA CIRCULAR, SOSTENIBILIDAD, TRANSICION ECOLOGICA Y/O DESAR"/>
    <s v="2 MESES"/>
    <x v="1"/>
    <x v="1"/>
    <x v="12"/>
    <s v="SLHK"/>
    <x v="151"/>
    <s v="N"/>
    <s v="N"/>
    <s v="S"/>
    <s v="N"/>
  </r>
  <r>
    <x v="1"/>
    <s v="030930"/>
    <s v="AYUDAS PARA EL INICIO Y MANTENIMIENTO DE LA ACTIVIDAD DE LA ACTIVIDAD DE LAS PERSONAS AUTONOMAS Y DEL FAMILIAR COLABORADOR AFECTADAS POR EL COVID-19."/>
    <s v="1 MES CONTADOS DESDE EL DÍA DE LA PRESENTACIÓN DE LA SOLICITUD."/>
    <x v="1"/>
    <x v="1"/>
    <x v="9"/>
    <s v="SLHS"/>
    <x v="152"/>
    <s v="N"/>
    <s v="N"/>
    <s v="S"/>
    <s v="N"/>
  </r>
  <r>
    <x v="1"/>
    <s v="030941"/>
    <s v="DECRETO DE CONCESION DIRECTA DE SUBVENCIONES DIRIGIDAS AL MANTENIMIENTO DE LA ACTIVIDAD DE DE PERSONAS TRABAJADORAS AUTONOMAS Y PYMES DE LOS SECTORES MAS AFECTADOS POR LA CRISIS DERIVADA DEL COVID-19"/>
    <s v="2 MESES"/>
    <x v="1"/>
    <x v="1"/>
    <x v="13"/>
    <s v="SLIE"/>
    <x v="153"/>
    <s v="N"/>
    <s v="N"/>
    <s v="S"/>
    <s v="N"/>
  </r>
  <r>
    <x v="1"/>
    <s v="030946"/>
    <s v="AYUDA ADICIONAL DEL 5% DEL SMI, PARA LAS PERSONAS TRABAJADORAS CON DISCAPACIDAD SEVERA DE LOS CENTROS ESPECIALES DE EMPLEO."/>
    <s v="3 MESES"/>
    <x v="1"/>
    <x v="1"/>
    <x v="12"/>
    <s v="SLIK"/>
    <x v="154"/>
    <s v="N"/>
    <s v="N"/>
    <s v="S"/>
    <s v="N"/>
  </r>
  <r>
    <x v="1"/>
    <s v="030968"/>
    <s v="PROGRAMA DE APOYO A LA INNOVACION:INNOVA-ADELANTE"/>
    <s v="5 MESES"/>
    <x v="1"/>
    <x v="1"/>
    <x v="13"/>
    <s v="SLJK"/>
    <x v="155"/>
    <s v="N"/>
    <s v="N"/>
    <s v="S"/>
    <s v="N"/>
  </r>
  <r>
    <x v="1"/>
    <s v="030981"/>
    <s v="PROGRAMA DE FOMENTO DEL TRABAJO A DISTANCIA COMO MODALIDAD DE ORGANIZACION LABORAL CON MOTIVO DE LA CRISIS SANITARIA DEL COVID-19. 2021"/>
    <s v="1 MES"/>
    <x v="1"/>
    <x v="1"/>
    <x v="9"/>
    <s v="SLKS"/>
    <x v="156"/>
    <s v="N"/>
    <s v="N"/>
    <s v="S"/>
    <s v="N"/>
  </r>
  <r>
    <x v="1"/>
    <s v="030989"/>
    <s v="AYUDAS DESTINADAS A PERSONAS AFECTADAS POR UN ERTE CON MOTIVO DEL COVID-19 Y QUE HAN PERDIDO SU PUESTO DE TRABAJO CON POSTERIORIDAD A SU FINALIZACION"/>
    <s v="2 MESES"/>
    <x v="1"/>
    <x v="1"/>
    <x v="12"/>
    <s v="SLLT"/>
    <x v="157"/>
    <s v="S"/>
    <s v="N"/>
    <s v="S"/>
    <s v="N"/>
  </r>
  <r>
    <x v="1"/>
    <s v="030992"/>
    <s v="DECRETO DE CONCESION DIRECTA DE SUBVENCIONES PARA EL APOYO A LA SOLVENCIA EMPRESARIAL EN RESPUESTA A LA PANDEMIA DE LA COVID-19."/>
    <s v="2 MESES."/>
    <x v="1"/>
    <x v="1"/>
    <x v="13"/>
    <s v="SLM1"/>
    <x v="158"/>
    <s v="N"/>
    <s v="N"/>
    <s v="S"/>
    <s v="N"/>
  </r>
  <r>
    <x v="1"/>
    <s v="031006"/>
    <s v="JUSTIFICACION DE UNA SUBVENCION A FAVOR DE LA ASOCIACIACION RUTA DEL VINO DE LA MANCHA"/>
    <s v=""/>
    <x v="2"/>
    <x v="1"/>
    <x v="7"/>
    <s v="PLNU"/>
    <x v="159"/>
    <s v="N"/>
    <s v="N"/>
    <s v="S"/>
    <s v="N"/>
  </r>
  <r>
    <x v="1"/>
    <s v="031007"/>
    <s v="JUSTIFICACION DE UNA SUBVENCION A FAVOR DE LA ASOCIACIACION RUTA DEL VINO DE LA MANCHUELA."/>
    <s v=""/>
    <x v="2"/>
    <x v="1"/>
    <x v="7"/>
    <s v="PLNT"/>
    <x v="160"/>
    <s v="N"/>
    <s v="N"/>
    <s v="S"/>
    <s v="N"/>
  </r>
  <r>
    <x v="1"/>
    <s v="031008"/>
    <s v="JUSTIFICACION DE UNA SUBVENCION A FAVOR DE LA ASOCIACIACION RUTA DEL VINO DE VALDEPEÑAS"/>
    <s v=""/>
    <x v="2"/>
    <x v="1"/>
    <x v="7"/>
    <s v="PLNV"/>
    <x v="161"/>
    <s v="N"/>
    <s v="N"/>
    <s v="S"/>
    <s v="N"/>
  </r>
  <r>
    <x v="1"/>
    <s v="031046"/>
    <s v="DECRETO DE AYUDA DIRECTA AL AYUNTAMIENTO DE CAMPO DE CRIPTANA PARA LA EJECUCION DEL PLAN DE MEJORA DE LOS RECURSOS TURISTICOS EN DICHO MUNICIPIO."/>
    <s v="15 DÍAS DESDE EL DÍA SIGUIENTE AL DE LA PUBLICACIÓN DEL PRESENTE DECRETO EN EL DIARIO OFICIAL DE CASTILLA-LA MANCHA."/>
    <x v="2"/>
    <x v="1"/>
    <x v="7"/>
    <s v="PLQE"/>
    <x v="162"/>
    <s v="N"/>
    <s v="N"/>
    <s v="S"/>
    <s v="N"/>
  </r>
  <r>
    <x v="1"/>
    <s v="031052"/>
    <s v="DECRETO DE AYUDA DIRECTA AL AYUNTAMIENTO DE MOLINA DE ARAGON PARA LA EJECUCION DEL PLAN DE RECONVERSION DE ZONAS TURISTICAS EN DICHO MUNICIPIO."/>
    <s v="15 DÍAS DESDE EL DÍA SIGUIENTE AL DE LA PUBLICACIÓN DEL PRESENTE DECRETO EN EL DIARIO OFICIAL DE CASTILLA-LA MANCHA."/>
    <x v="2"/>
    <x v="1"/>
    <x v="7"/>
    <s v="PLQL"/>
    <x v="163"/>
    <s v="N"/>
    <s v="N"/>
    <s v="S"/>
    <s v="N"/>
  </r>
  <r>
    <x v="1"/>
    <s v="031053"/>
    <s v="DECRETO DE AYUDA DIRECTA AL AYUNTAMIENTO DE ELCHE DE LA SIERRA PARA LA EJECUCION DE DETERMINADAS ACTUACIONES EN EL PROYECTO MUSEOLOGICO Y DE CONTENIDOS DEL MUSEO DE LAS ALFOMBRAS DE SERRIN EN DICHO MUNICIPIO."/>
    <s v="15 DÍAS DESDE EL DÍA SIGUIENTE AL DE LA PUBLICACIÓN DEL PRESENTE DECRETO EN EL DIARIO OFICIAL DE CASTILLA-LA MANCHA."/>
    <x v="2"/>
    <x v="1"/>
    <x v="7"/>
    <s v="PLQM"/>
    <x v="164"/>
    <s v="N"/>
    <s v="N"/>
    <s v="S"/>
    <s v="N"/>
  </r>
  <r>
    <x v="1"/>
    <s v="031057"/>
    <s v="SUBVENCIONES DEL PROGRAMA ADELANTE DIGITALIZACION, PARA LA TRANSFORMACION DIGITAL DE LAS PYMES DE CASTILLA-LA MANCHA."/>
    <s v="6 MESES."/>
    <x v="1"/>
    <x v="1"/>
    <x v="13"/>
    <s v="SLQR"/>
    <x v="165"/>
    <s v="N"/>
    <s v="N"/>
    <s v="S"/>
    <s v="N"/>
  </r>
  <r>
    <x v="1"/>
    <s v="031062"/>
    <s v="PROGRAMA DE PRIMERA EXPERIENCIA PROFESIONAL EN LAS ADMINISTRACIONES PUBLICAS, EN EL MARCO DEL PLAN DE RECUPERACION, TRANSFORMACION Y RESILIENCIA.  FINANCIADO POR LA UNION EUROPEA-NEXT GERENATION EU"/>
    <s v="2 MESES"/>
    <x v="1"/>
    <x v="1"/>
    <x v="12"/>
    <s v="SLR1"/>
    <x v="166"/>
    <s v="N"/>
    <s v="N"/>
    <s v="S"/>
    <s v="N"/>
  </r>
  <r>
    <x v="1"/>
    <s v="031063"/>
    <s v="PROGRAMA INVESTIGO, EN EL MARCO DEL PLAN DE RECUPERACION, TRANSFORMACION Y RESILIENCIA  FINANCIADO POR LA UNION EUROPEA-NEXTGERENATION EU."/>
    <s v="2 MESES"/>
    <x v="1"/>
    <x v="1"/>
    <x v="12"/>
    <s v="SLR2"/>
    <x v="167"/>
    <s v="N"/>
    <s v="N"/>
    <s v="S"/>
    <s v="N"/>
  </r>
  <r>
    <x v="1"/>
    <s v="031110"/>
    <s v="CONCESION DIRECTA DE SUBVENCIONES A LOS AYUNTAMIENTOS DE RIOPAR, ALMADEN, QUINTANAR DEL REY, MOLINA DE ARAGON Y BELVIS DE LA JARA, PARA LA PUESTA EN MARCHA DE UN ESPACIO COWORKING"/>
    <s v=""/>
    <x v="2"/>
    <x v="1"/>
    <x v="9"/>
    <s v="PLTU"/>
    <x v="168"/>
    <s v="N"/>
    <s v="N"/>
    <s v="S"/>
    <s v="N"/>
  </r>
  <r>
    <x v="1"/>
    <s v="031122"/>
    <s v="PROGRAMA CLM MAS SEGURA. LINEA 2"/>
    <s v="4 MESES"/>
    <x v="1"/>
    <x v="1"/>
    <x v="11"/>
    <s v="SLU9"/>
    <x v="169"/>
    <s v="N"/>
    <s v="N"/>
    <s v="S"/>
    <s v="N"/>
  </r>
  <r>
    <x v="1"/>
    <s v="031123"/>
    <s v="PROGRAMA CLM MAS SEGURA.  LINEA 3"/>
    <s v="4 MESES"/>
    <x v="1"/>
    <x v="1"/>
    <x v="11"/>
    <s v="SLUA"/>
    <x v="170"/>
    <s v="N"/>
    <s v="N"/>
    <s v="S"/>
    <s v="N"/>
  </r>
  <r>
    <x v="1"/>
    <s v="031124"/>
    <s v="PROGRAMA CLM MAS SEGURA.  LINEA 4"/>
    <s v="4 MESES"/>
    <x v="1"/>
    <x v="1"/>
    <x v="8"/>
    <s v="SLUB"/>
    <x v="171"/>
    <s v="N"/>
    <s v="N"/>
    <s v="S"/>
    <s v="N"/>
  </r>
  <r>
    <x v="1"/>
    <s v="031140"/>
    <s v="SUBVENCION A FAVOR DE LA ASOCIACIACION RUTA DEL VINO DE ALMANSA"/>
    <s v=""/>
    <x v="2"/>
    <x v="1"/>
    <x v="7"/>
    <s v="PLV6"/>
    <x v="172"/>
    <s v="N"/>
    <s v="N"/>
    <s v="S"/>
    <s v="N"/>
  </r>
  <r>
    <x v="1"/>
    <s v="031160"/>
    <s v="SUBVENCIONES DEL INCREMENTO DEL SMI DE LA LINEA 2 DE COSTES SALARIALES DE PERSONAS CON DISCAPACIDAD EN CENTROS ESPECIALES DE EMPLEO"/>
    <s v="3 MESES"/>
    <x v="1"/>
    <x v="1"/>
    <x v="11"/>
    <s v="SLW7"/>
    <x v="173"/>
    <s v="N"/>
    <s v="N"/>
    <s v="S"/>
    <s v="N"/>
  </r>
  <r>
    <x v="1"/>
    <s v="031161"/>
    <s v="SUBVENCIONES DEL PROGRAMA DE INCLUSION LABORAL DE PERSONAS CON DISCAPACIDAD EN EL MERCADO PROTEGIDO DE CASTILLA-LA MANCHA-LINEA 3-ADAPTACION DE PUESTOS DE TRABAJO"/>
    <s v="3 MESES"/>
    <x v="1"/>
    <x v="1"/>
    <x v="11"/>
    <s v="SLW8"/>
    <x v="174"/>
    <s v="N"/>
    <s v="N"/>
    <s v="S"/>
    <s v="N"/>
  </r>
  <r>
    <x v="1"/>
    <s v="031166"/>
    <s v="LINEA 2. SUBVENCION PARA LA INCORPORACION, CON CARACTER INDEFINIDO, DE PERSONAS SOCIAS TRABAJADORAS O SOCIAS DE TRABAJO A COOPERATIVAS Y SOCIEDADES LABORALES"/>
    <s v="EL PLAZO MÁXIMO PARA RESOLVER Y NOTIFICAR LA RESOLUCIÓN SERÁ DE UN MES DE PRESENTACION. EL VENCIMIENTO DEL PLAZO MÁXIMO SIN HABERSE NOTIFICADO RESOLUCIÓN EXPRESA, SE ENTIENDE DESESTIMADA."/>
    <x v="1"/>
    <x v="1"/>
    <x v="11"/>
    <s v="SLWH"/>
    <x v="175"/>
    <s v="N"/>
    <s v="N"/>
    <s v="S"/>
    <s v="N"/>
  </r>
  <r>
    <x v="1"/>
    <s v="031167"/>
    <s v="LINEA 3. SUBVENCION PARA LA REALIZACION DE ACTIVIDADES DE FORMACION, DIFUSION Y FOMENTO DE LA ECONOMIA SOCIAL VINCULADAS DIRECTAMENTE AL FOMENTO DEL EMPLEO."/>
    <s v="EL PLAZO MÁXIMO PARA RESOLVER Y NOTIFICAR LA RESOLUCIÓN SERÁ DE UN MES DE PRESENTACION. EL VENCIMIENTO DEL PLAZO MÁXIMO SIN HABERSE NOTIFICADO RESOLUCIÓN EXPRESA, SE ENTIENDE DESESTIMADA."/>
    <x v="1"/>
    <x v="1"/>
    <x v="11"/>
    <s v="SLWI"/>
    <x v="176"/>
    <s v="N"/>
    <s v="N"/>
    <s v="S"/>
    <s v="N"/>
  </r>
  <r>
    <x v="1"/>
    <s v="031168"/>
    <s v="LINEA 4. SUBVENCION PARA LA PRESTACION DE ASISTENCIA TECNICA."/>
    <s v="EL PLAZO MÁXIMO PARA RESOLVER Y NOTIFICAR LA RESOLUCIÓN SERÁ DE UN MES DESDE PRESENTACION. EL VENCIMIENTO DEL PLAZO MÁXIMO SIN HABERSE NOTIFICADO RESOLUCIÓN EXPRESA, SE ENTIENDE DESESTIMADA."/>
    <x v="1"/>
    <x v="1"/>
    <x v="11"/>
    <s v="SLWJ"/>
    <x v="177"/>
    <s v="N"/>
    <s v="N"/>
    <s v="S"/>
    <s v="N"/>
  </r>
  <r>
    <x v="1"/>
    <s v="031173"/>
    <s v="SUBVENCION A FAVOR DE LA ASOCIACIACION RUTA DEL VINO DE MENTRIDA-TOLEDO"/>
    <s v=""/>
    <x v="2"/>
    <x v="1"/>
    <x v="11"/>
    <s v="PLWT"/>
    <x v="178"/>
    <s v="N"/>
    <s v="N"/>
    <s v="S"/>
    <s v="N"/>
  </r>
  <r>
    <x v="1"/>
    <s v="031185"/>
    <s v="AYUDAS PARA LA ADAPTACION DE LOS PUESTOS DE TRABAJO DE PERSONAS TRABAJADORAS CON DISCAPACIDAD"/>
    <s v="DOS MESES A PARTIR DE LA FECHA DE PRESENTACIÓN DE LA SOLICITUD DE AYUDA."/>
    <x v="1"/>
    <x v="1"/>
    <x v="12"/>
    <s v="SLXG"/>
    <x v="179"/>
    <s v="N"/>
    <s v="N"/>
    <s v="S"/>
    <s v="N"/>
  </r>
  <r>
    <x v="1"/>
    <s v="031186"/>
    <s v="AYUDAS PARA LA CONTRATACION INICIAL INDEFINIDA DE PERSONAS TRABAJADORAS CON DISCAPACIDAD, QUE PRESENTAN ESPECIALES DIFICULTADES PARA EL ACCESO AL MERCADO ORDINARIO DE TRABAJO, PROCEDENTES DE ENCLAVES LABORALES"/>
    <s v="DOS MESES A PARTIR DE LA FECHA DE PRESENTACIÓN DE LA SOLICITUD DE AYUDA."/>
    <x v="1"/>
    <x v="1"/>
    <x v="12"/>
    <s v="SLXH"/>
    <x v="180"/>
    <s v="N"/>
    <s v="N"/>
    <s v="S"/>
    <s v="N"/>
  </r>
  <r>
    <x v="1"/>
    <s v="031187"/>
    <s v="AYUDAS PARA COSTES SALARIALES Y DE SEG. SOCIAL DEL PREPARADOR LABORAL QUE REALICE LAS ACCIONES DE ORIENTACION A PERSONAS TRABAJADORAS CON DISCAPACIDAD, QUE PRESENTEN ESPECIALES DIFICULTADES PARA EL ACCESO AL MERCADO ORDINARIO DE TRABAJO."/>
    <s v="DOS MESES A PARTIR DE LA FECHA DE PRESENTACIÓN DE LA SOLICITUD DE AYUDA."/>
    <x v="1"/>
    <x v="1"/>
    <x v="12"/>
    <s v="SLXI"/>
    <x v="181"/>
    <s v="N"/>
    <s v="N"/>
    <s v="S"/>
    <s v="N"/>
  </r>
  <r>
    <x v="1"/>
    <s v="031196"/>
    <s v="LINEA 2: AYUDAS PARA INCENTIVAR LA CONTRATACION FIJA-DISCONTINUA."/>
    <s v="3 MESES"/>
    <x v="1"/>
    <x v="1"/>
    <x v="12"/>
    <s v="SLY1"/>
    <x v="182"/>
    <s v="N"/>
    <s v="N"/>
    <s v="S"/>
    <s v="N"/>
  </r>
  <r>
    <x v="1"/>
    <s v="031197"/>
    <s v="LINEA 1: AYUDAS PARA INCENTIVAR LA CONTRATACION INDEFINIDA."/>
    <s v="3 MESES"/>
    <x v="1"/>
    <x v="1"/>
    <x v="12"/>
    <s v="SLY2"/>
    <x v="183"/>
    <s v="N"/>
    <s v="N"/>
    <s v="S"/>
    <s v="N"/>
  </r>
  <r>
    <x v="1"/>
    <s v="031198"/>
    <s v="LINEA 3: AYUDA PROGRAMA &quot;CHEQUE TRANSICION&quot;."/>
    <s v="3 MESES"/>
    <x v="1"/>
    <x v="1"/>
    <x v="11"/>
    <s v="SLY3"/>
    <x v="184"/>
    <s v="N"/>
    <s v="N"/>
    <s v="S"/>
    <s v="N"/>
  </r>
  <r>
    <x v="1"/>
    <s v="031199"/>
    <s v="LINEA V:AYUDAS PARA LA CONVERSION EN CONTRATOS INDEFINIDOS DE CONTRATOS TEMPORALES CELEBRADOS ANTES DEL 31 DE DICIEMBRE DE 2021."/>
    <s v="3 MESES"/>
    <x v="1"/>
    <x v="1"/>
    <x v="12"/>
    <s v="SLY4"/>
    <x v="185"/>
    <s v="N"/>
    <s v="N"/>
    <s v="S"/>
    <s v="N"/>
  </r>
  <r>
    <x v="1"/>
    <s v="031200"/>
    <s v="LINEA IV: AYUDAS PARA LA CONVERSION DE CONTRATOS INDEFINIDOS A TIEMPO PARCIAL EN CONTRATOS INDEFINIDOS A JORNADA COMPLETA."/>
    <s v="3 MESES"/>
    <x v="1"/>
    <x v="1"/>
    <x v="12"/>
    <s v="SLY5"/>
    <x v="186"/>
    <s v="N"/>
    <s v="N"/>
    <s v="S"/>
    <s v="N"/>
  </r>
  <r>
    <x v="1"/>
    <s v="031201"/>
    <s v="BECAS PARA LAS PARTICIPANTES EN LOS PROGRAMAS PERSONALIZADOS DE INSERCION SOCIOLABORAL CON COMPROMISO DE CONTRATACION PARA MUJERES VICTIMAS DE VIOLENCIA DE GENERO O DE TRATA Y EXPLOTACION SEXUAL"/>
    <s v="3 MESES"/>
    <x v="1"/>
    <x v="1"/>
    <x v="10"/>
    <s v="SLYM"/>
    <x v="187"/>
    <s v="S"/>
    <s v="N"/>
    <s v="S"/>
    <s v="N"/>
  </r>
  <r>
    <x v="1"/>
    <s v="031206"/>
    <s v="SUBVENCIONES PARA LA REALIZACION DE ACCIONES DE  FORMACION MODULAR PARA LA CUALIFICACION Y RECUALIFICACION DE LA POBLACION ACTIVA  (PLAN DE TRANSFORMACION, RECUPERACION Y RESILIENCIA)"/>
    <s v="TRES  MESES"/>
    <x v="1"/>
    <x v="1"/>
    <x v="10"/>
    <s v="SLZ3"/>
    <x v="188"/>
    <s v="N"/>
    <s v="N"/>
    <s v="S"/>
    <s v="N"/>
  </r>
  <r>
    <x v="1"/>
    <s v="031207"/>
    <s v="INSCRIPCION PARA LA REALIZACION DE ACCIONES DE FORMACION MODULAR PARA LA CUALIFICACION Y RECUALIFICACION (PLAN DE  RECUPERACION,TRANSFORMACION Y RESILIENCIA- NEXT GENERATION-EU)"/>
    <s v=""/>
    <x v="1"/>
    <x v="1"/>
    <x v="10"/>
    <s v="SLZ4"/>
    <x v="189"/>
    <s v="S"/>
    <s v="N"/>
    <s v="S"/>
    <s v="N"/>
  </r>
  <r>
    <x v="1"/>
    <s v="035193"/>
    <s v="AYUDAS PARA LA ELABORACION Y DESARROLLO DE ACTIVIDADES DE ACCION Y/O FORMACION SINDICAL CON CARGO AL FONDO DE AYUDA SINDICAL. SOLICITUD"/>
    <s v="3 MESES"/>
    <x v="1"/>
    <x v="1"/>
    <x v="9"/>
    <s v="SIJE"/>
    <x v="190"/>
    <s v="N"/>
    <s v="N"/>
    <s v="S"/>
    <s v="N"/>
  </r>
  <r>
    <x v="1"/>
    <s v="035194"/>
    <s v="AYUDAS PARA LA ELABORACION Y DESARROLLO DE ACTIVIDADES DE ACCION Y/O FORMACION SINDICAL CON CARGO AL FONDO DE AYUDA SINDICAL. JUSTIFICACION"/>
    <s v="3 MESES"/>
    <x v="1"/>
    <x v="1"/>
    <x v="9"/>
    <s v="PKMD"/>
    <x v="191"/>
    <s v="N"/>
    <s v="N"/>
    <s v="S"/>
    <s v="N"/>
  </r>
  <r>
    <x v="1"/>
    <s v="035202"/>
    <s v="JUSTIFICACION MENSUAL Y SOLICITUD DE ABONO DE AYUDA PARA EL MANTENIMIENTO DE PUESTOS DE TRABAJO DE PERSONAS CON DISCAPACIDAD: SUBVENCION DE COSTES SALARIALES"/>
    <s v="3 MESES."/>
    <x v="1"/>
    <x v="1"/>
    <x v="12"/>
    <s v="PKMM"/>
    <x v="192"/>
    <s v="N"/>
    <s v="N"/>
    <s v="S"/>
    <s v="N"/>
  </r>
  <r>
    <x v="1"/>
    <s v="035203"/>
    <s v="SOLICITUD DE AYUDA PARA EL MANTENIMIENTO DE PUESTOS DE TRABAJO DE PERSONAS CON DISCAPACIDAD. SUBVENCION DE COSTES SALARIALES (SEGUNDO SEMESTRE)"/>
    <s v="3 MESES."/>
    <x v="1"/>
    <x v="1"/>
    <x v="12"/>
    <s v="SKML"/>
    <x v="193"/>
    <s v="N"/>
    <s v="N"/>
    <s v="S"/>
    <s v="N"/>
  </r>
  <r>
    <x v="1"/>
    <s v="035204"/>
    <s v="JUSTIFICACION DE AYUDAS A PROYECTOS GENERADORES DE EMPLEO MODALIDAD INVERSION EN ACTIVOS FIJOS"/>
    <s v="3 MESES."/>
    <x v="1"/>
    <x v="1"/>
    <x v="12"/>
    <s v="PKMK"/>
    <x v="194"/>
    <s v="N"/>
    <s v="N"/>
    <s v="S"/>
    <s v="N"/>
  </r>
  <r>
    <x v="1"/>
    <s v="035205"/>
    <s v="SOLICITUD DE AYUDA PARA EL MANTENIMIENTO DE PUESTOS DE TRABAJO DE PERSONAS CON DISCAPACIDAD. SUBVENCION DE COSTES SALARIALES"/>
    <s v="3 MESES."/>
    <x v="1"/>
    <x v="1"/>
    <x v="12"/>
    <s v="SJI6"/>
    <x v="195"/>
    <s v="N"/>
    <s v="N"/>
    <s v="S"/>
    <s v="N"/>
  </r>
  <r>
    <x v="1"/>
    <s v="035206"/>
    <s v="SUBVENCIONES DEL PROGRAMA DE INCLUSION LABORAL DE PERSONAS CON DISCAPACIDAD EN EL MERCADO PROTEGIDO DE CASTILLA-LA MANCHA-LINEA 1-INVERSION FIJA GENERADORA DE EMPLEO"/>
    <s v="3 MESES."/>
    <x v="1"/>
    <x v="1"/>
    <x v="12"/>
    <s v="SIY8"/>
    <x v="196"/>
    <s v="N"/>
    <s v="N"/>
    <s v="S"/>
    <s v="N"/>
  </r>
  <r>
    <x v="1"/>
    <s v="035208"/>
    <s v="CONVOCATORIA DE TALLERES DE EMPLEO"/>
    <s v="4 MESES"/>
    <x v="1"/>
    <x v="1"/>
    <x v="10"/>
    <s v="SJL0"/>
    <x v="197"/>
    <s v="N"/>
    <s v="N"/>
    <s v="S"/>
    <s v="N"/>
  </r>
  <r>
    <x v="1"/>
    <s v="035209"/>
    <s v="FORMACION DE OFERTA QUE SE IMPARTE EN LOS CENTROS DEPENDIENTES DE LA ADMINISTRACION AUTONOMICA (MODADALIDAD V)"/>
    <s v="6 MESES."/>
    <x v="1"/>
    <x v="1"/>
    <x v="10"/>
    <s v="SK0U"/>
    <x v="198"/>
    <s v="N"/>
    <s v="N"/>
    <s v="S"/>
    <s v="N"/>
  </r>
  <r>
    <x v="1"/>
    <s v="035212"/>
    <s v="SUBVENCIONES PARA LA REALIZACION DE ACCIONES DE FORMACION PROFESIONAL PARA EL EMPLEO, DIRIGIDAS A PERSONAS TRABAJADORAS DESEMPLEADAS (MODALIDAD II)."/>
    <s v="6 MESES."/>
    <x v="1"/>
    <x v="1"/>
    <x v="10"/>
    <s v="SJ2N"/>
    <x v="199"/>
    <s v="N"/>
    <s v="N"/>
    <s v="S"/>
    <s v="N"/>
  </r>
  <r>
    <x v="1"/>
    <s v="035213"/>
    <s v="SUBVENCIONES PARA LA REALIZACION DE ACCIONES DE FORMACION PROFESIONAL PARA EL EMPLEO, DIRIGIDAS A PERSONAS TRABAJADORAS OCUPADAS (MODALIDAD I)."/>
    <s v="6 MESES."/>
    <x v="1"/>
    <x v="1"/>
    <x v="10"/>
    <s v="SJ2G"/>
    <x v="200"/>
    <s v="N"/>
    <s v="N"/>
    <s v="S"/>
    <s v="N"/>
  </r>
  <r>
    <x v="1"/>
    <s v="035289"/>
    <s v="SUBVENCIONES TRIMESTRALES DE ABONO DE CUOTAS A LA SEGURIDAD SOCIAL DE LOS PERCEPTORES DE LA PRESTACION POR DESEMPLEO EN SU MODALIDAD DE PAGO UNICO."/>
    <s v="1 MES."/>
    <x v="1"/>
    <x v="1"/>
    <x v="12"/>
    <s v="PK9I"/>
    <x v="201"/>
    <s v="S"/>
    <s v="N"/>
    <s v="S"/>
    <s v="N"/>
  </r>
  <r>
    <x v="1"/>
    <s v="035397"/>
    <s v="SOLICITUD. PROYECTOS DE PREVENCION Y PROTECCION FRENTE AL RIESGO BIOLOGICO DE CONTAGIO POR COVID-19 (MODALIDAD 3)"/>
    <s v="3 MESES"/>
    <x v="1"/>
    <x v="1"/>
    <x v="8"/>
    <s v="SLEW"/>
    <x v="202"/>
    <s v="N"/>
    <s v="N"/>
    <s v="S"/>
    <s v="N"/>
  </r>
  <r>
    <x v="1"/>
    <s v="035398"/>
    <s v="MEMORIA JUSTIFICATIVA DE PROYECTOS DE INVERSION EN INSTALACIONES Y EQUIPOS QUE REDUNDEN EN LA MEJORA DE LAS CONDICIONES DE SEGURIDAD Y SALUD EN EMPRESAS Y CENTROS DE TRABAJO (MODALIDAD 2)."/>
    <s v="3 MESES"/>
    <x v="1"/>
    <x v="1"/>
    <x v="8"/>
    <s v="PK7W"/>
    <x v="203"/>
    <s v="N"/>
    <s v="N"/>
    <s v="S"/>
    <s v="N"/>
  </r>
  <r>
    <x v="1"/>
    <s v="035399"/>
    <s v="SOLICITUD. PROYECTOS DE INVERSION EN INSTALACIONES Y EQUIPOS QUE REDUNDEN EN LA MEJORA DE LAS CONDICIONES DE SEGURIDAD Y SALUD EN EMPRESAS Y CENTROS DE TRABAJO (MODALIDAD 2)"/>
    <s v="3 MESES"/>
    <x v="1"/>
    <x v="1"/>
    <x v="8"/>
    <s v="SK07"/>
    <x v="204"/>
    <s v="N"/>
    <s v="N"/>
    <s v="S"/>
    <s v="N"/>
  </r>
  <r>
    <x v="1"/>
    <s v="035400"/>
    <s v="MEMORIA JUSTIFICATIVA DE LOS PROYECTOS DE PREVENCION Y PROTECCION FRENTE AL RIESGO BIOLOGICO DE CONTAGIO POR COVID-19 (MODALIDAD 3)"/>
    <s v="3 MESES"/>
    <x v="1"/>
    <x v="1"/>
    <x v="8"/>
    <s v="PLEX"/>
    <x v="205"/>
    <s v="N"/>
    <s v="N"/>
    <s v="S"/>
    <s v="N"/>
  </r>
  <r>
    <x v="1"/>
    <s v="035507"/>
    <s v="AYUDAS PARA LA CONTRATACION INICIAL INDEFINIDA Y PARA LA TRANSFORMACION EN CONTRATOS POR TIEMPO INDEFINIDO DE CONTRATOS TEMPORALES DE PERSONAS TRABAJADORAS CON DISCAPACIDAD."/>
    <s v="DOS MESES A PARTIR DE LA FECHA DE PRESENTACIÓN DE LA SOLICITUD DE AYUDA."/>
    <x v="1"/>
    <x v="1"/>
    <x v="12"/>
    <s v="SK2D"/>
    <x v="206"/>
    <s v="N"/>
    <s v="N"/>
    <s v="S"/>
    <s v="N"/>
  </r>
  <r>
    <x v="1"/>
    <s v="035600"/>
    <s v="SUBVENCIONES PARA FOMENTAR EL DESARROLLO DE ACTIVIDADES DE ASESORAMIENTO, DIVULGACION Y DIFUSION EN MATERIA DE PREVENCION DE RIESGOS LABORALES."/>
    <s v="2 MESES"/>
    <x v="1"/>
    <x v="1"/>
    <x v="8"/>
    <s v="SKB7"/>
    <x v="207"/>
    <s v="N"/>
    <s v="N"/>
    <s v="S"/>
    <s v="N"/>
  </r>
  <r>
    <x v="1"/>
    <s v="035601"/>
    <s v="JUSTIFICACION DE LOS PROGRAMAS. SUBVENCIONES PARA FOMENTAR EL DESARROLLO DE ACTIVIDADES DE ASESORAMIENTO, DIVULGACION Y DIFUSION EN MATERIA DE PREVENCION DE RIESGOS LABORALES."/>
    <s v="2 MESES"/>
    <x v="1"/>
    <x v="1"/>
    <x v="8"/>
    <s v="PKL1"/>
    <x v="208"/>
    <s v="N"/>
    <s v="N"/>
    <s v="S"/>
    <s v="N"/>
  </r>
  <r>
    <x v="1"/>
    <s v="035655"/>
    <s v="JUSTIFICACION FOMENTO DEL EMPRENDIMIENTO INNOVADOR"/>
    <s v="2 MESES"/>
    <x v="1"/>
    <x v="1"/>
    <x v="13"/>
    <s v="PKHC"/>
    <x v="209"/>
    <s v="N"/>
    <s v="N"/>
    <s v="S"/>
    <s v="N"/>
  </r>
  <r>
    <x v="1"/>
    <s v="035656"/>
    <s v="FOMENTO DEL EMPRENDIMIENTO INNOVADOR"/>
    <s v="2 MESES"/>
    <x v="1"/>
    <x v="1"/>
    <x v="13"/>
    <s v="SKHB"/>
    <x v="210"/>
    <s v="N"/>
    <s v="N"/>
    <s v="S"/>
    <s v="N"/>
  </r>
  <r>
    <x v="1"/>
    <s v="035659"/>
    <s v="ABONO DE LAS SUBVENCIONES PARA EL FOMENTO DE LA INVERSION Y LA MEJORA DE LA PRODUCTIVIDAD EMPRESARIAL EN CASTILLA-LA MANCHA"/>
    <s v="4 MESES"/>
    <x v="1"/>
    <x v="1"/>
    <x v="13"/>
    <s v="PKIA"/>
    <x v="211"/>
    <s v="N"/>
    <s v="N"/>
    <s v="S"/>
    <s v="N"/>
  </r>
  <r>
    <x v="1"/>
    <s v="035660"/>
    <s v="SUBVENCIONES PARA EL FOMENTO DE LA INVERSION Y LA MEJORA DE LA PRODUCTIVIDAD EMPRESARIAL EN CASTILLA-LA MANCHA"/>
    <s v="4 MESES"/>
    <x v="1"/>
    <x v="1"/>
    <x v="13"/>
    <s v="SKI9"/>
    <x v="212"/>
    <s v="N"/>
    <s v="N"/>
    <s v="S"/>
    <s v="N"/>
  </r>
  <r>
    <x v="1"/>
    <s v="035665"/>
    <s v="JUSTIFICACION DE LAS AYUDAS DESTINADAS A LA RECUPERACION Y FORTALECIMIENTO DEL COMERCIO MINORISTA DE CASTILLA-LA MANCHA ANTE LA CRISIS SANITARIA OCASIONADA POR EL COVID-19."/>
    <s v="3 MESES"/>
    <x v="1"/>
    <x v="1"/>
    <x v="7"/>
    <s v="PKIM"/>
    <x v="213"/>
    <s v="N"/>
    <s v="N"/>
    <s v="S"/>
    <s v="N"/>
  </r>
  <r>
    <x v="1"/>
    <s v="035675"/>
    <s v="SUBVENCION POR LA FORMALIZACION DE CONTRATOS DE FORMACION EN ALTERNANCIA."/>
    <s v="DOS MESES"/>
    <x v="1"/>
    <x v="1"/>
    <x v="12"/>
    <s v="SKJ6"/>
    <x v="214"/>
    <s v="N"/>
    <s v="N"/>
    <s v="S"/>
    <s v="N"/>
  </r>
  <r>
    <x v="1"/>
    <s v="035676"/>
    <s v="SUBVENCION POR LA FORMALIZACION DE CONTRATOS DE FORMACION PARA LA OBTENCION DE LA PRACTICA PROFESIONAL."/>
    <s v="DOS MESES"/>
    <x v="1"/>
    <x v="1"/>
    <x v="12"/>
    <s v="SKJ7"/>
    <x v="215"/>
    <s v="N"/>
    <s v="N"/>
    <s v="S"/>
    <s v="N"/>
  </r>
  <r>
    <x v="1"/>
    <s v="035677"/>
    <s v="SUBVENCION POR LA FORMALIZACION DE CONTRATOS DE RELEVO."/>
    <s v="DOS MESES"/>
    <x v="1"/>
    <x v="1"/>
    <x v="12"/>
    <s v="SKOV"/>
    <x v="216"/>
    <s v="N"/>
    <s v="N"/>
    <s v="S"/>
    <s v="N"/>
  </r>
  <r>
    <x v="1"/>
    <s v="035678"/>
    <s v="SUBV TRANSFORMACION EN INDEFINIDOS DE CONTRATOS FORMATIVOS Y DE RELEVO Y CONTRATACION INDEFINIDA DE PERSONAS QUE HAYAN FINALIZADO UN CONTRATO FORMATIVO O DE RELEVO EN LOS 6 MESES ANTERIORES"/>
    <s v="DOS MESES"/>
    <x v="1"/>
    <x v="1"/>
    <x v="12"/>
    <s v="SKJ8"/>
    <x v="217"/>
    <s v="N"/>
    <s v="N"/>
    <s v="S"/>
    <s v="N"/>
  </r>
  <r>
    <x v="1"/>
    <s v="035679"/>
    <s v="AYUDAS PARA SUFRAGAR EL SOBRECOSTE DE LOS CONTRATOS DEL PLAN DE EMPLEO 2018, CON MOTIVO DEL INCREMENTO DEL SALARIO MINIMO INTERPROFESIONAL PARA 2019."/>
    <s v="3 MESES"/>
    <x v="1"/>
    <x v="1"/>
    <x v="12"/>
    <s v="SL6R"/>
    <x v="218"/>
    <s v="N"/>
    <s v="N"/>
    <s v="S"/>
    <s v="N"/>
  </r>
  <r>
    <x v="1"/>
    <s v="035680"/>
    <s v="AYUDAS A ENTIDADES LOCALES PARA  LA CONTRATACION DE PERSONAS DESEMPLEADAS Y EN SITUACION DE EXCLUSION SOCIAL, COFINANCIADA POR EL FONDO SOCIAL EUROPEO."/>
    <s v="3 MESES"/>
    <x v="1"/>
    <x v="1"/>
    <x v="12"/>
    <s v="SKJC"/>
    <x v="219"/>
    <s v="N"/>
    <s v="N"/>
    <s v="S"/>
    <s v="N"/>
  </r>
  <r>
    <x v="1"/>
    <s v="035697"/>
    <s v="PREMIOS REGIONALES DE ARTESANIA DE CASTILLA-LA MANCHA PARA 2022."/>
    <s v="6 MESES, A CONTAR DESDE EL DÍA SIGUIENTE AL DE LA PUBLICACIÓN DE LA CORRESPONDIENTE CONVOCATORIA EN EL DIARIO OFICIAL DE CASTILLA- LA MANCHA."/>
    <x v="1"/>
    <x v="1"/>
    <x v="7"/>
    <s v="SKLG"/>
    <x v="220"/>
    <s v="N"/>
    <s v="N"/>
    <s v="S"/>
    <s v="N"/>
  </r>
  <r>
    <x v="1"/>
    <s v="035698"/>
    <s v="SUBVENCIONES PARA PROMOVER INVERSIONES DESTINADAS A MEJORAR LAS CONDICIONES DE SEGURIDAD LABORAL EN EL SECTOR DE LA CONSTRUCCION."/>
    <s v="5 MESES"/>
    <x v="1"/>
    <x v="1"/>
    <x v="8"/>
    <s v="SKLQ"/>
    <x v="221"/>
    <s v="N"/>
    <s v="N"/>
    <s v="S"/>
    <s v="N"/>
  </r>
  <r>
    <x v="1"/>
    <s v="035699"/>
    <s v="MEMORIA JUSTIFICATIVA DE LAS INVERSIONES DESTINADAS A MEJORAR LAS CONDICIONES DE SEGURIDAD LABORAL EN EL SECTOR DE LA CONSTRUCCION."/>
    <s v="5 MESES"/>
    <x v="1"/>
    <x v="1"/>
    <x v="8"/>
    <s v="PKLR"/>
    <x v="222"/>
    <s v="N"/>
    <s v="N"/>
    <s v="S"/>
    <s v="N"/>
  </r>
  <r>
    <x v="1"/>
    <s v="035702"/>
    <s v="JUSTIFICACION DE LAS AYUDAS DESTINADAS A LA PROMOCION DE LA ACTIVIDAD PRODUCTIVA Y COMERCIAL Y A LA DIGITALIZACION DEL SECTOR ARTESANO ANTE LA CRISIS DE LA COVID-19."/>
    <s v="3 MESES"/>
    <x v="1"/>
    <x v="1"/>
    <x v="7"/>
    <s v="PKLT"/>
    <x v="223"/>
    <s v="N"/>
    <s v="N"/>
    <s v="S"/>
    <s v="N"/>
  </r>
  <r>
    <x v="1"/>
    <s v="035703"/>
    <s v="AYUDAS DESTINADAS A LA DIGITALIZACION Y A LA PROMOCION DE LA ACTIVIDAD COMERCIAL Y PRODUCTIVA DEL SECTOR ARTESANO DE CASTILLA-LA MANCHA, PARA EL EJERCICIO 2022."/>
    <s v="3 MESES"/>
    <x v="1"/>
    <x v="1"/>
    <x v="7"/>
    <s v="SKLS"/>
    <x v="224"/>
    <s v="N"/>
    <s v="N"/>
    <s v="S"/>
    <s v="N"/>
  </r>
  <r>
    <x v="1"/>
    <s v="035708"/>
    <s v="JUSTIFICACION PROGRAMA DE APOYO A LA INNOVACION: INNOVA-ADELANTE."/>
    <s v="5 MESES"/>
    <x v="1"/>
    <x v="1"/>
    <x v="13"/>
    <s v="PKMJ"/>
    <x v="225"/>
    <s v="N"/>
    <s v="N"/>
    <s v="S"/>
    <s v="N"/>
  </r>
  <r>
    <x v="1"/>
    <s v="035728"/>
    <s v="SOLICITUD DE ABONO DE LA SUBVENCION DEL PROGRAMA ADELANTE DIGITALIZACION, PARA LA TRANSFORMACION DIGITAL DE LAS PYMES DE CASTILLA-LA MANCHA."/>
    <s v="SEIS MESES DESDE LA FECHA DE FINALIZACIÓN DEL PLAZO PARA PRESENTAR SOLICITUDES."/>
    <x v="1"/>
    <x v="1"/>
    <x v="13"/>
    <s v="PKOD"/>
    <x v="226"/>
    <s v="N"/>
    <s v="N"/>
    <s v="S"/>
    <s v="N"/>
  </r>
  <r>
    <x v="1"/>
    <s v="035729"/>
    <s v="SOLICITUD DE SUBVENCION DEL PROGRAMA ADELANTE DIGITALIZACION, PARA LA TRANSFORMACION DIGITAL DE LAS PYMES DE CASTILLA-LA MANCHA."/>
    <s v="SEIS MESES DESDE LA FECHA DE FINALIZACIÓN DEL PLAZO PARA PRESENTAR SOLICITUDES."/>
    <x v="1"/>
    <x v="1"/>
    <x v="13"/>
    <s v="SKOC"/>
    <x v="227"/>
    <s v="N"/>
    <s v="N"/>
    <s v="S"/>
    <s v="N"/>
  </r>
  <r>
    <x v="1"/>
    <s v="035730"/>
    <s v="SOLICITUD DE ABONO DE LA SUBVENCION DEL PROGRAMA ADELANTE DIGITALIZACION, PARA LA TRANSFORMACION DIGITAL DE LAS PYMES DE CASTILLA-LA MANCHA."/>
    <s v="SEIS MESES DESDE LA FECHA DE FINALIZACIÓN DEL PLAZO PARA PRESENTAR SOLICITUDES."/>
    <x v="1"/>
    <x v="1"/>
    <x v="13"/>
    <s v="PLPE"/>
    <x v="226"/>
    <s v="N"/>
    <s v="N"/>
    <s v="S"/>
    <s v="N"/>
  </r>
  <r>
    <x v="1"/>
    <s v="035732"/>
    <s v="CONVOCATORIA 2018. SOLICITUD DE ABONO DE LA SUBVENCION PARA EL CRECIMIENTO EN MERCADOS NACIONALES Y PARA LA MEJORA DE LA POSICION COMPETITIVA DE LAS PYMES."/>
    <s v="EL PLAZO MÁXIMO PARA RESOLVER Y NOTIFICAR LA RESOLUCIÓN NO PODRÁ EXCEDER DE CUATRO MESES, A CONTAR DESDE LA FECHA DE FINALIZACIÓN DEL PLAZO PARA PRESENTAR SOLICITUDES."/>
    <x v="1"/>
    <x v="1"/>
    <x v="13"/>
    <s v="PKZK"/>
    <x v="228"/>
    <s v="N"/>
    <s v="N"/>
    <s v="S"/>
    <s v="N"/>
  </r>
  <r>
    <x v="1"/>
    <s v="035733"/>
    <s v="SOLICITUD DE SUBVENCION PARA EL CRECIMIENTO EN MERCADOS NACIONALES Y PARA LA MEJORA DE LA POSICION COMPETITIVA DE LAS PYMES (MPC 2023) (DISP 10.7 RESOL. 28/07/2022, CONV 2022)"/>
    <s v="EL PLAZO MÁXIMO PARA RESOLVER Y NOTIFICAR LA RESOLUCIÓN NO PODRÁ EXCEDER DE CUATRO MESES, A CONTAR DESDE LA FECHA DE FINALIZACIÓN DEL PLAZO PARA PRESENTAR SOLICITUDES."/>
    <x v="1"/>
    <x v="1"/>
    <x v="13"/>
    <s v="SKOE"/>
    <x v="229"/>
    <s v="N"/>
    <s v="N"/>
    <s v="S"/>
    <s v="N"/>
  </r>
  <r>
    <x v="1"/>
    <s v="035743"/>
    <s v="SUBVENCIONES DEL PROGRAMA DE INCLUSION LABORAL DE PERSONAS CON DISCAPACIDAD EN EL MERCADO PROTEGIDO DE CASTILLA-LA MANCHA-LINEA 4-AJUSTE PERSONAL Y SOCIAL A TRAVES DE UNIDADES DE APOYO."/>
    <s v="3 MESES"/>
    <x v="1"/>
    <x v="1"/>
    <x v="12"/>
    <s v="SKOO"/>
    <x v="230"/>
    <s v="N"/>
    <s v="N"/>
    <s v="S"/>
    <s v="N"/>
  </r>
  <r>
    <x v="1"/>
    <s v="035744"/>
    <s v="JUSTIFICACION AYUDAS PARA PROSPECCION Y DETECCION NECESIDADES FORMATIVAS; DISEÑO, PROGRAMACION Y DIFUSION OFERTA FORMATIVA DE TRABAJADORES OCUPADOS; Y APOYO PYMES FORMACION DE SUS TRABAJADORES."/>
    <s v="3 MESES"/>
    <x v="1"/>
    <x v="1"/>
    <x v="10"/>
    <s v="PKP6"/>
    <x v="231"/>
    <s v="N"/>
    <s v="N"/>
    <s v="S"/>
    <s v="N"/>
  </r>
  <r>
    <x v="1"/>
    <s v="035745"/>
    <s v="SOLICITUD AYUDAS PARA LA PROSPECCION Y DETECCION DE NECESIDADES FORMATIVAS; DISEÑO, PROGRAMACION Y DIFUSION OFERTA FORMATIVA DE TRABAJADORES OCUPADOS; Y APOYO PYMES FORMACION DE SUS TRABAJADORES."/>
    <s v="3 MESES"/>
    <x v="1"/>
    <x v="1"/>
    <x v="10"/>
    <s v="SKP5"/>
    <x v="232"/>
    <s v="N"/>
    <s v="N"/>
    <s v="S"/>
    <s v="N"/>
  </r>
  <r>
    <x v="1"/>
    <s v="035759"/>
    <s v="SUBVENCIONES PARA PROMOCION Y DIFUSION  DE COOPERATIVAS Y SOCIEDADES LABORALES EN CASTILLA-LA MANCHA."/>
    <s v="3 MESES"/>
    <x v="1"/>
    <x v="1"/>
    <x v="9"/>
    <s v="SKQ4"/>
    <x v="233"/>
    <s v="N"/>
    <s v="N"/>
    <s v="S"/>
    <s v="N"/>
  </r>
  <r>
    <x v="1"/>
    <s v="035760"/>
    <s v="AYUDAS PUBLICAS PARA PROYECTOS DE FORMACION Y EMPLEO EN EL SENO DE LA EMPRESA (CREA)"/>
    <s v="3 MESES"/>
    <x v="1"/>
    <x v="1"/>
    <x v="10"/>
    <s v="SKQZ"/>
    <x v="234"/>
    <s v="N"/>
    <s v="N"/>
    <s v="S"/>
    <s v="N"/>
  </r>
  <r>
    <x v="1"/>
    <s v="035761"/>
    <s v="JUSTIFICACION DE LAS AYUDAS PUBLICAS PARA PROYECTOS DE FORMACION Y EMPLEO EN EL SENO DE LA EMPRESA (CREA)"/>
    <s v="3 MESES"/>
    <x v="1"/>
    <x v="1"/>
    <x v="10"/>
    <s v="PKR0"/>
    <x v="235"/>
    <s v="N"/>
    <s v="N"/>
    <s v="S"/>
    <s v="N"/>
  </r>
  <r>
    <x v="1"/>
    <s v="035762"/>
    <s v="LIQUIDACION DE LA SUBVENCION PARA EL INICIO DE LA ACTIVIDAD EMPRENDEDORA, DENTRO DEL PROGRAMA RETORNO DEL TALENTO."/>
    <s v="3 MESES"/>
    <x v="1"/>
    <x v="1"/>
    <x v="12"/>
    <s v="PKR9"/>
    <x v="236"/>
    <s v="N"/>
    <s v="N"/>
    <s v="S"/>
    <s v="N"/>
  </r>
  <r>
    <x v="1"/>
    <s v="035763"/>
    <s v="PROGRAMA RETORNO DEL TALENTO: LINEA 3- EMISION DEL PASAPORTE DE VUELTA."/>
    <s v="3 MESES"/>
    <x v="1"/>
    <x v="1"/>
    <x v="8"/>
    <s v="SKRA"/>
    <x v="237"/>
    <s v="S"/>
    <s v="N"/>
    <s v="S"/>
    <s v="N"/>
  </r>
  <r>
    <x v="1"/>
    <s v="035764"/>
    <s v="PROGRAMA RETORNO DEL TALENTO: LINEA 3- SUBVENCIONES DE LA AYUDA ASOCIADA AL PASAPORTE DE VUELTA."/>
    <s v="3 MESES"/>
    <x v="1"/>
    <x v="1"/>
    <x v="8"/>
    <s v="SKR7"/>
    <x v="238"/>
    <s v="S"/>
    <s v="N"/>
    <s v="S"/>
    <s v="N"/>
  </r>
  <r>
    <x v="1"/>
    <s v="035765"/>
    <s v="PROGRAMA RETORNO DEL TALENTO: LINEA 2- SUBVENCIONES PARA EL INICIO DE LA ACTIVIDAD EMPRENDEDORA."/>
    <s v="3 MESES"/>
    <x v="1"/>
    <x v="1"/>
    <x v="9"/>
    <s v="SKR6"/>
    <x v="239"/>
    <s v="N"/>
    <s v="N"/>
    <s v="S"/>
    <s v="N"/>
  </r>
  <r>
    <x v="1"/>
    <s v="035766"/>
    <s v="PROGRAMA RETORNO DEL TALENTO: LINEA 1- SUBVENCIONES PARA LA CONTRATACION INDEFINIDA."/>
    <s v="3 MESES"/>
    <x v="1"/>
    <x v="1"/>
    <x v="12"/>
    <s v="SKR8"/>
    <x v="240"/>
    <s v="S"/>
    <s v="N"/>
    <s v="S"/>
    <s v="N"/>
  </r>
  <r>
    <x v="1"/>
    <s v="035773"/>
    <s v="JUSTIFICACION  DE SUBVENCIONES PARA LA REALIZACION DE PROYECTOS DE FORMACION PROFESIONAL DUAL EN EMPRESAS, PARA JOVENES INSCRITOS EN EL SISTEMA NACIONAL DE GARANTIA JUVENIL (DUAL-EMPLEO)."/>
    <s v="6 MESES"/>
    <x v="1"/>
    <x v="1"/>
    <x v="10"/>
    <s v="PKST"/>
    <x v="241"/>
    <s v="N"/>
    <s v="N"/>
    <s v="S"/>
    <s v="N"/>
  </r>
  <r>
    <x v="1"/>
    <s v="035774"/>
    <s v="SUBVENCIONES PARA LA REALIZACION DE PROYECTOS DE FORMACION PROFESIONAL Y EMPLEO EN EL SENO DE LA  EMPRESA"/>
    <s v="6 MESES"/>
    <x v="1"/>
    <x v="1"/>
    <x v="10"/>
    <s v="SKSS"/>
    <x v="242"/>
    <s v="N"/>
    <s v="N"/>
    <s v="S"/>
    <s v="N"/>
  </r>
  <r>
    <x v="1"/>
    <s v="035788"/>
    <s v="JUSTIFICACION  DE SUBVENCIONES PARA LA REALIZACION DE PROYECTOS DE FORMACION Y PRACTICAS PARA JOVENES INSCRITOS EN EL SISTEMA NACIONAL DE GARANIA JUVENIL. (JUSTIFICACION FORMACION Y ORIENTACION)"/>
    <s v="1 MES."/>
    <x v="1"/>
    <x v="1"/>
    <x v="10"/>
    <s v="PKTG"/>
    <x v="243"/>
    <s v="N"/>
    <s v="N"/>
    <s v="S"/>
    <s v="N"/>
  </r>
  <r>
    <x v="1"/>
    <s v="035789"/>
    <s v="JUSTIFICACION  DE SUBVENCIONES PARA LA REALIZACION DE PROYECTOS DE FORMACION Y PRACTICAS PARA JOVENES INSCRITOS EN EL SISTEMA NACIONAL DE GARANIA JUVENIL (JUSTIFICACION PRACTICAS NO LABORALES)."/>
    <s v="1 MES."/>
    <x v="1"/>
    <x v="1"/>
    <x v="10"/>
    <s v="PKTH"/>
    <x v="244"/>
    <s v="N"/>
    <s v="N"/>
    <s v="S"/>
    <s v="N"/>
  </r>
  <r>
    <x v="1"/>
    <s v="035790"/>
    <s v="SUBVENCIONES PARA LA REALIZACION DE PROYECTOS DE FORMACION Y PRACTICAS NO LABORALES PARA JOVENES INSCRITOS EN EL SISTEMA NACIONAL DE GARANTIA JUVENIL (FORMACION PLUS) (SOLICITUD FORMACION)"/>
    <s v="1 MES."/>
    <x v="1"/>
    <x v="1"/>
    <x v="10"/>
    <s v="SKTC"/>
    <x v="245"/>
    <s v="N"/>
    <s v="N"/>
    <s v="S"/>
    <s v="N"/>
  </r>
  <r>
    <x v="1"/>
    <s v="035791"/>
    <s v="SUBVENCIONES PARA LA REALIZACION DE PROYECTOS DE FORMACION Y PRACTICAS NO LABORALES PARA JOVENES INSCRITOS EN EL SISTEMA NACIONAL DE GARANTIA JUVENIL.  (SOLICITUD PRACTICAS NO LABORALES)"/>
    <s v="1 MES."/>
    <x v="1"/>
    <x v="1"/>
    <x v="10"/>
    <s v="SKTD"/>
    <x v="246"/>
    <s v="N"/>
    <s v="N"/>
    <s v="S"/>
    <s v="N"/>
  </r>
  <r>
    <x v="1"/>
    <s v="035792"/>
    <s v="SOLICITUD BECA SUBVENCIONES PARA LA REALIZACION DE PROYECTOS DE FORMACION PROFESIONAL Y EMPLEO EN EL SENO DE LA  EMPRESA."/>
    <s v="1 MES."/>
    <x v="1"/>
    <x v="1"/>
    <x v="10"/>
    <s v="SKTE"/>
    <x v="247"/>
    <s v="S"/>
    <s v="N"/>
    <s v="S"/>
    <s v="N"/>
  </r>
  <r>
    <x v="1"/>
    <s v="035793"/>
    <s v="JUSTIFICACION DE SUBVENCIONES -ADELANTE INVERSION- PARA EL FOMENTO DE LA INVERSION Y LA MEJORA DE LA PRODUCTIVIDAD EMPRESARIAL EN CASTILLA-LA MANCHA (FIE-2017)"/>
    <s v="6 MESES"/>
    <x v="1"/>
    <x v="1"/>
    <x v="13"/>
    <s v="PKTK"/>
    <x v="248"/>
    <s v="N"/>
    <s v="N"/>
    <s v="S"/>
    <s v="N"/>
  </r>
  <r>
    <x v="1"/>
    <s v="035794"/>
    <s v="JUSTIFICACION DE SUBVENCIONES -ADELANTE INVERSION- PARA EL FOMENTO DE LA INVERSION Y LA MEJORA DE LA PRODUCTIVIDAD EMPRESARIAL EN CASTILLA-LA MANCHA (FIE 2019)"/>
    <s v="6 MESES"/>
    <x v="1"/>
    <x v="1"/>
    <x v="13"/>
    <s v="PL8N"/>
    <x v="249"/>
    <s v="N"/>
    <s v="N"/>
    <s v="S"/>
    <s v="N"/>
  </r>
  <r>
    <x v="1"/>
    <s v="035795"/>
    <s v="SUBVENCIONES -ADELANTE INVERSION- PARA EL FOMENTO DE LA INVERSION Y LA MEJORA DE LA PRODUCTIVIDAD EMPRESARIAL EN CASTILLA-LA MANCHA (FIE)."/>
    <s v="6 MESES"/>
    <x v="1"/>
    <x v="1"/>
    <x v="13"/>
    <s v="SLKE"/>
    <x v="250"/>
    <s v="N"/>
    <s v="N"/>
    <s v="S"/>
    <s v="N"/>
  </r>
  <r>
    <x v="1"/>
    <s v="035796"/>
    <s v="SUBVENCIONES -ADELANTE INVERSION- PARA EL FOMENTO DE LA INVERSION Y LA MEJORA DE LA PRODUCTIVIDAD EMPRESARIAL EN CASTILLA-LA MANCHA (FIE-2017)"/>
    <s v="6 MESES"/>
    <x v="1"/>
    <x v="1"/>
    <x v="13"/>
    <s v="SKTJ"/>
    <x v="251"/>
    <s v="N"/>
    <s v="N"/>
    <s v="S"/>
    <s v="N"/>
  </r>
  <r>
    <x v="1"/>
    <s v="035797"/>
    <s v="SOLICITUD DE SUBVENCIONES -ADELANTE INVERSION- PARA EL FOMENTO DE LA INVERSION Y LA MEJORA DE LA PRODUCTIVIDAD EMPRESARIAL EN CASTILLA-LA MANCHA (FIE 2020)"/>
    <s v="6 MESES"/>
    <x v="1"/>
    <x v="1"/>
    <x v="13"/>
    <s v="SKWC"/>
    <x v="252"/>
    <s v="N"/>
    <s v="N"/>
    <s v="S"/>
    <s v="N"/>
  </r>
  <r>
    <x v="1"/>
    <s v="035798"/>
    <s v="JUSTIFICACION DE SUBVENCIONES -ADELANTE INVERSION- PARA EL FOMENTO DE LA INVERSION Y LA MEJORA DE LA PRODUCTIVIDAD EMPRESARIAL EN CASTILLA-LA MANCHA (FIE 2020)"/>
    <s v="6 MESES"/>
    <x v="1"/>
    <x v="1"/>
    <x v="13"/>
    <s v="PLIX"/>
    <x v="253"/>
    <s v="N"/>
    <s v="N"/>
    <s v="S"/>
    <s v="N"/>
  </r>
  <r>
    <x v="1"/>
    <s v="035817"/>
    <s v="SOLICITUD DE SUBVENCIONES PARA LA REALIZACION DE ACTUACIONES PARA LA MEJORA DE LA EMPLEABILIDAD Y LA INSERCION."/>
    <s v="3 MESES"/>
    <x v="1"/>
    <x v="1"/>
    <x v="8"/>
    <s v="SKUS"/>
    <x v="254"/>
    <s v="N"/>
    <s v="N"/>
    <s v="S"/>
    <s v="N"/>
  </r>
  <r>
    <x v="1"/>
    <s v="035818"/>
    <s v="JUSTIFICACION DE SUBVENCIONES PARA LA REALIZACION DE ACTUACIONES PARA LA MEJORA DE LA EMPLEABILIDAD Y LA INSERCION."/>
    <s v="3 MESES"/>
    <x v="1"/>
    <x v="1"/>
    <x v="8"/>
    <s v="PKUT"/>
    <x v="255"/>
    <s v="N"/>
    <s v="N"/>
    <s v="S"/>
    <s v="N"/>
  </r>
  <r>
    <x v="1"/>
    <s v="035824"/>
    <s v="AYUDAS PARA EL ESTABLECIMIENTO DE PERSONAS DESEMPLEADAS COMO TRABAJADORAS AUTONOMAS"/>
    <s v="TRES MESES"/>
    <x v="1"/>
    <x v="1"/>
    <x v="12"/>
    <s v="SKV6"/>
    <x v="256"/>
    <s v="N"/>
    <s v="N"/>
    <s v="S"/>
    <s v="N"/>
  </r>
  <r>
    <x v="1"/>
    <s v="035825"/>
    <s v="AYUDAS DEL FAMILIAR COLABORADOR QUE CAUSA ALTA EN EL RETA O EN LA MUTUALIDAD DEL COLEGIO PROFESIONAL CORRESPONDIENTE"/>
    <s v="TRES MESES"/>
    <x v="1"/>
    <x v="1"/>
    <x v="12"/>
    <s v="SKVB"/>
    <x v="257"/>
    <s v="N"/>
    <s v="N"/>
    <s v="S"/>
    <s v="N"/>
  </r>
  <r>
    <x v="1"/>
    <s v="035826"/>
    <s v="AYUDAS PARA LA CONSOLIDACION DE PROYECTOS"/>
    <s v="TRES MESES"/>
    <x v="1"/>
    <x v="1"/>
    <x v="12"/>
    <s v="SKV7"/>
    <x v="258"/>
    <s v="N"/>
    <s v="N"/>
    <s v="S"/>
    <s v="N"/>
  </r>
  <r>
    <x v="1"/>
    <s v="035827"/>
    <s v="AYUDAS PARA FAVORECER LA CONCILIACION DE LA VIDA LABORAL, FAMILIAR Y PERSONAL DEL TITULAR DE LA ACTIVIDAD EMPRENDEDORA"/>
    <s v="TRES MESES"/>
    <x v="1"/>
    <x v="1"/>
    <x v="12"/>
    <s v="SKV8"/>
    <x v="259"/>
    <s v="N"/>
    <s v="N"/>
    <s v="S"/>
    <s v="N"/>
  </r>
  <r>
    <x v="1"/>
    <s v="035828"/>
    <s v="AYUDAS DE FOMENTO AL RELEVO GENERACIONAL: SUBVENCION POR TRANSMISION DE LA ACTIVIDAD EMPRESARIAL"/>
    <s v="TRES MESES"/>
    <x v="1"/>
    <x v="1"/>
    <x v="12"/>
    <s v="SKV9"/>
    <x v="260"/>
    <s v="N"/>
    <s v="N"/>
    <s v="S"/>
    <s v="N"/>
  </r>
  <r>
    <x v="1"/>
    <s v="035829"/>
    <s v="AYUDAS DE FOMENTO AL RELEVO GENERACIONAL: SUBVENCION POR CONTRATACION DE DURACION DETERMINADA DEL RELEVISTA POR EL TITULAR DE LA ACTIVIDAD EMPRESARIAL."/>
    <s v="TRES MESES"/>
    <x v="1"/>
    <x v="1"/>
    <x v="12"/>
    <s v="SKVA"/>
    <x v="261"/>
    <s v="N"/>
    <s v="N"/>
    <s v="S"/>
    <s v="N"/>
  </r>
  <r>
    <x v="1"/>
    <s v="035830"/>
    <s v="AYUDAS POR LA PRIMERA CONTRATACION INDEFINIDA DE PERSONAS POR CUENTA AJENA"/>
    <s v="TRES MESES"/>
    <x v="1"/>
    <x v="1"/>
    <x v="12"/>
    <s v="SKVC"/>
    <x v="262"/>
    <s v="N"/>
    <s v="N"/>
    <s v="S"/>
    <s v="N"/>
  </r>
  <r>
    <x v="1"/>
    <s v="035842"/>
    <s v="JUSTIFICACION DE LA ACTUACION PROGRAMA CONOCE CASTILLA-LA MANCHA"/>
    <s v="CUATRO MESES"/>
    <x v="1"/>
    <x v="1"/>
    <x v="7"/>
    <s v="PKW9"/>
    <x v="263"/>
    <s v="N"/>
    <s v="N"/>
    <s v="S"/>
    <s v="N"/>
  </r>
  <r>
    <x v="1"/>
    <s v="035843"/>
    <s v="AYUDAS DEL PROGRAMA CONOCE CASTILLA-LA MANCHA"/>
    <s v="4 MESES"/>
    <x v="1"/>
    <x v="1"/>
    <x v="7"/>
    <s v="SKW8"/>
    <x v="264"/>
    <s v="N"/>
    <s v="N"/>
    <s v="S"/>
    <s v="N"/>
  </r>
  <r>
    <x v="1"/>
    <s v="035850"/>
    <s v="JUSTIFICACION DE LAS AYUDAS DESTINADAS A PROMOVER LA CELEBRACION DE FERIAS COMERCIALES EN CASTILLA-LA MANCHA."/>
    <s v="3 MESES"/>
    <x v="1"/>
    <x v="1"/>
    <x v="7"/>
    <s v="PKWX"/>
    <x v="265"/>
    <s v="N"/>
    <s v="N"/>
    <s v="S"/>
    <s v="N"/>
  </r>
  <r>
    <x v="1"/>
    <s v="035875"/>
    <s v="JUSTIFICACION DE LAS SUBVENCIONES DE CARACTER INCENTIVADOR PARA PROYECTOS DINAMIZADORES DEL EMPLEO LOCAL"/>
    <s v="DOS MESES"/>
    <x v="1"/>
    <x v="1"/>
    <x v="12"/>
    <s v="PKZ9"/>
    <x v="266"/>
    <s v="N"/>
    <s v="N"/>
    <s v="S"/>
    <s v="N"/>
  </r>
  <r>
    <x v="1"/>
    <s v="035876"/>
    <s v="SUBVENCIONES DE CARACTER INCENTIVADOR PARA PROYECTOS DINAMIZADORES DEL EMPLEO LOCAL"/>
    <s v="DOS MESES"/>
    <x v="1"/>
    <x v="1"/>
    <x v="12"/>
    <s v="SKZA"/>
    <x v="267"/>
    <s v="N"/>
    <s v="N"/>
    <s v="S"/>
    <s v="N"/>
  </r>
  <r>
    <x v="1"/>
    <s v="035909"/>
    <s v="SUBVENCIONES DESTINADAS A MUNICIPIOS DE CASTILLA- LA MANCHA PARA EL DESARROLLO PROYECTOS EN MATERIA DE SEGURIDAD Y SALUD LABORAL. PROGRAMA I: ACTIVIDADES DE SENSIBILIZACION, DIFUSION Y DIVULGAC."/>
    <s v="4 MESES"/>
    <x v="1"/>
    <x v="1"/>
    <x v="8"/>
    <s v="SL1W"/>
    <x v="268"/>
    <s v="N"/>
    <s v="N"/>
    <s v="S"/>
    <s v="N"/>
  </r>
  <r>
    <x v="1"/>
    <s v="035910"/>
    <s v="MEMORIA JUSTIFICATIVA DE LAS INVERSIONES DESTINADAS A DESARROLLAR PROYECTOS EN MATERIA DE SEGURIDAD Y SALUD LABORAL EN MUNICIPIOS DE CASTILLA-LA MANCHA. PROGRAMA I."/>
    <s v="4 MESES"/>
    <x v="1"/>
    <x v="1"/>
    <x v="8"/>
    <s v="PL1X"/>
    <x v="269"/>
    <s v="N"/>
    <s v="N"/>
    <s v="S"/>
    <s v="N"/>
  </r>
  <r>
    <x v="1"/>
    <s v="035911"/>
    <s v="MEMORIA JUSTIFICATIVA DE LAS INVERSIONES DESTINADAS A DESARROLLAR PROYECTOS EN MATERIA DE SEGURIDAD Y SALUD LABORAL EN MUNICIPIOS DE CASTILLA-LA MANCHA.   PROGRAMA II"/>
    <s v="4 MESES"/>
    <x v="1"/>
    <x v="1"/>
    <x v="8"/>
    <s v="PL23"/>
    <x v="270"/>
    <s v="N"/>
    <s v="N"/>
    <s v="S"/>
    <s v="N"/>
  </r>
  <r>
    <x v="1"/>
    <s v="035912"/>
    <s v="SUBVENCIONES DESTINADAS A MUNICIPIOS DE CASTILLA- LA MANCHA PARA EL DESARROLLO PROYECTOS EN MATERIA DE SEGURIDAD Y SALUD LABORAL. PROGRAMA II:INVERSIONES MEJORA CONDICIONES SEGURIDAD"/>
    <s v="4 MESES"/>
    <x v="1"/>
    <x v="1"/>
    <x v="8"/>
    <s v="SL22"/>
    <x v="271"/>
    <s v="N"/>
    <s v="N"/>
    <s v="S"/>
    <s v="N"/>
  </r>
  <r>
    <x v="1"/>
    <s v="035929"/>
    <s v="AYUDA NO DINERARIA DEL PROGRAMA DE ASESORAMIENTO A PYMES PARA LA TRANSFORMACION DIGITAL"/>
    <s v="3 MESES"/>
    <x v="1"/>
    <x v="1"/>
    <x v="13"/>
    <s v="SL2U"/>
    <x v="272"/>
    <s v="N"/>
    <s v="N"/>
    <s v="S"/>
    <s v="N"/>
  </r>
  <r>
    <x v="1"/>
    <s v="035930"/>
    <s v="JUSTIFICACION AYUDA NO DINERARIA DEL PROGRAMA DE ASESORAMIENTO A PYMES PARA LA TRANSFORMACION DIGITAL"/>
    <s v="3 MESES"/>
    <x v="1"/>
    <x v="1"/>
    <x v="13"/>
    <s v="PL2V"/>
    <x v="273"/>
    <s v="N"/>
    <s v="N"/>
    <s v="S"/>
    <s v="N"/>
  </r>
  <r>
    <x v="1"/>
    <s v="035948"/>
    <s v="JUSTIFICACION  DE SUBVENCIONES DE PROGRAMAS PARA LA RECUALIFICACION Y EL RECICLAJE PROFESIONAL"/>
    <s v="4 MESES."/>
    <x v="1"/>
    <x v="1"/>
    <x v="10"/>
    <s v="PL51"/>
    <x v="274"/>
    <s v="N"/>
    <s v="N"/>
    <s v="S"/>
    <s v="N"/>
  </r>
  <r>
    <x v="1"/>
    <s v="035949"/>
    <s v="CONVOCATORIA DE PROGRAMAS PARA LA RECUALIFICACION Y EL RECICLAJE PROFESIONAL."/>
    <s v="4 MESES."/>
    <x v="1"/>
    <x v="1"/>
    <x v="10"/>
    <s v="SL50"/>
    <x v="275"/>
    <s v="N"/>
    <s v="N"/>
    <s v="S"/>
    <s v="N"/>
  </r>
  <r>
    <x v="1"/>
    <s v="035965"/>
    <s v="SOLICITUD DE SUBVENCIONES PARA EL PROGRAMA INICIATIVA CRECE EMPRESAS PARA LA ELABORACION DE PLANES ESTRATEGICOS DE CRECIMIENTO EMPRESARIAL Y PROTOCOLOS FAMILIARES"/>
    <s v="EL PLAZO MÁXIMO PARA RESOLVER Y NOTIFICAR LA RESOLUCIÓN NO PODRÁ EXCEDER DE TRES MESES, A CONTAR DESDE EL DÍA SIGUIENTE AL QUE LA SOLICITUD TENGA ENTRADA EN EL REGISTRO TELEMÁTICO."/>
    <x v="1"/>
    <x v="1"/>
    <x v="13"/>
    <s v="SL7P"/>
    <x v="276"/>
    <s v="N"/>
    <s v="N"/>
    <s v="S"/>
    <s v="N"/>
  </r>
  <r>
    <x v="1"/>
    <s v="035966"/>
    <s v="SOLICITUD DE ABONO DE LA SUBVENCION DEL PROGRAMA INICIATIVA CRECE EMPRESAS PARA LA ELABORACION DE PLANES ESTRATEGICOS DE CRECIMIENTO EMPRESARIAL Y PROTOCOLOS FAMILIARES."/>
    <s v="EL PLAZO MÁXIMO PARA RESOLVER Y NOTIFICAR LA RESOLUCIÓN NO PODRÁ EXCEDER DE TRES MESES, A CONTAR DESDE EL DÍA SIGUIENTE AL QUE LA SOLICITUD TENGA ENTRADA EN EL REGISTRO TELEMÁTICO."/>
    <x v="1"/>
    <x v="1"/>
    <x v="13"/>
    <s v="PL7Q"/>
    <x v="277"/>
    <s v="N"/>
    <s v="N"/>
    <s v="S"/>
    <s v="N"/>
  </r>
  <r>
    <x v="1"/>
    <s v="035977"/>
    <s v="JUSTIFICACION (CUENTA JUSTIFICATIVA ),DE SUBVENCIONES  PARA LA REALIZACION DE ACCIONES DE FORMACION PROFESIONAL PARA EL EMPLEO (MODALIDAD II, CON COMPROMISO DE CONTRATACION)"/>
    <s v="6 MESES."/>
    <x v="1"/>
    <x v="1"/>
    <x v="10"/>
    <s v="PLJ8"/>
    <x v="278"/>
    <s v="N"/>
    <s v="N"/>
    <s v="S"/>
    <s v="N"/>
  </r>
  <r>
    <x v="1"/>
    <s v="035978"/>
    <s v="FORMACION PROFESIONAL PARA EL EMPLEO EN MATERIA DE FORMACION DE OFERTA."/>
    <s v="3 MESES."/>
    <x v="1"/>
    <x v="1"/>
    <x v="10"/>
    <s v="SL8A"/>
    <x v="279"/>
    <s v="N"/>
    <s v="N"/>
    <s v="S"/>
    <s v="N"/>
  </r>
  <r>
    <x v="1"/>
    <s v="035981"/>
    <s v="JUSTIFICACION AYUDA DE EMPLEO CON APOYO."/>
    <s v="3 MESES."/>
    <x v="1"/>
    <x v="1"/>
    <x v="12"/>
    <s v="PL8M"/>
    <x v="280"/>
    <s v="N"/>
    <s v="N"/>
    <s v="S"/>
    <s v="N"/>
  </r>
  <r>
    <x v="1"/>
    <s v="035982"/>
    <s v="SOLICITUD DE AYUDA EMPLEO CON APOYO."/>
    <s v="3 MESES."/>
    <x v="1"/>
    <x v="1"/>
    <x v="12"/>
    <s v="SL8L"/>
    <x v="281"/>
    <s v="N"/>
    <s v="N"/>
    <s v="S"/>
    <s v="N"/>
  </r>
  <r>
    <x v="1"/>
    <s v="036000"/>
    <s v="JUSTIFICACION DE SUBVENCIONES PARA LA MEJORA DEL DIALOGO SOCIAL Y LA NEGOCIACION COLECTIVA EN CASTILLA-LA MANCHA"/>
    <s v="6 MESES"/>
    <x v="1"/>
    <x v="1"/>
    <x v="9"/>
    <s v="PLBF"/>
    <x v="282"/>
    <s v="N"/>
    <s v="N"/>
    <s v="S"/>
    <s v="N"/>
  </r>
  <r>
    <x v="1"/>
    <s v="036001"/>
    <s v="SOLICITUD DE SUBVENCIONES PARA LA MEJORA DEL DIALOGO SOCIAL Y LA NEGOCIACION COLECTIVA EN CASTILLA-LA MANCHA."/>
    <s v="6 MESES"/>
    <x v="1"/>
    <x v="1"/>
    <x v="9"/>
    <s v="SLBE"/>
    <x v="283"/>
    <s v="N"/>
    <s v="N"/>
    <s v="S"/>
    <s v="N"/>
  </r>
  <r>
    <x v="1"/>
    <s v="036030"/>
    <s v="SOLICITUD AYUDAS DE APOYO A LA MODERNIZACION, INNOVACION E INCREMENTO DE LA COMPETITIVIDAD DEL SECTOR TURISTICO DE CASTILLA-LA MANCHA POR COVID 19"/>
    <s v="3 MESES"/>
    <x v="1"/>
    <x v="1"/>
    <x v="7"/>
    <s v="SLFT"/>
    <x v="284"/>
    <s v="N"/>
    <s v="N"/>
    <s v="S"/>
    <s v="N"/>
  </r>
  <r>
    <x v="1"/>
    <s v="036031"/>
    <s v="JUSTIFICACION AYUDAS DE APOYO A LA MODERNIZACION, INNOVACION E INCREMENTO DE LA COMPETITIVIDAD DEL SECTOR TURISTICO DE CASTILLA-LA MANCHA POR COVID 19"/>
    <s v="3 MESES"/>
    <x v="1"/>
    <x v="1"/>
    <x v="7"/>
    <s v="PLFU"/>
    <x v="285"/>
    <s v="N"/>
    <s v="N"/>
    <s v="S"/>
    <s v="N"/>
  </r>
  <r>
    <x v="1"/>
    <s v="036046"/>
    <s v="SOLICITUD DE SUBVENCIONES PARA EL ESTIMULO AL CONSUMO DE SERVICIOS TURISTICOS CON MOTIVO DEL LA CRISIS SANITARIA DEL COVID-19"/>
    <s v="1 MES"/>
    <x v="1"/>
    <x v="1"/>
    <x v="7"/>
    <s v="SLGR"/>
    <x v="286"/>
    <s v="N"/>
    <s v="N"/>
    <s v="S"/>
    <s v="N"/>
  </r>
  <r>
    <x v="1"/>
    <s v="036047"/>
    <s v="JUSTIFICACION DE SUBVENCIONES PARA EL ESTIMULO AL CONSUMO DE SERVICIOS TURISTICOS CON MOTIVO DEL LA CRISIS SANITARIA DEL COVID-19"/>
    <s v="1 MES"/>
    <x v="1"/>
    <x v="1"/>
    <x v="7"/>
    <s v="PLGS"/>
    <x v="287"/>
    <s v="N"/>
    <s v="N"/>
    <s v="S"/>
    <s v="N"/>
  </r>
  <r>
    <x v="1"/>
    <s v="036053"/>
    <s v="SOLICITUD DE AYUDA. DECRETO PARA PROMOVER EL EJERCICIO SEGURO DE LA ACTIVIDAD ECONOMICA DE LAS PERSONAS TRABAJADORAS AUTONOMAS."/>
    <s v="3 MESES"/>
    <x v="1"/>
    <x v="1"/>
    <x v="8"/>
    <s v="SLI1"/>
    <x v="288"/>
    <s v="N"/>
    <s v="N"/>
    <s v="S"/>
    <s v="N"/>
  </r>
  <r>
    <x v="1"/>
    <s v="036054"/>
    <s v="JUSTIFICACION DE SUBVENCIONES PARA EL ESTIMULO AL CONSUMO DE SERVICIOS TURISTICOS Y ALOJAMIENTOS EXTRAHOTELEROS CON MOTIVO DEL LA CRISIS SANITARIA DEL COVID-19."/>
    <s v="1 MES."/>
    <x v="1"/>
    <x v="1"/>
    <x v="7"/>
    <s v="PLIC"/>
    <x v="289"/>
    <s v="N"/>
    <s v="N"/>
    <s v="S"/>
    <s v="N"/>
  </r>
  <r>
    <x v="1"/>
    <s v="036055"/>
    <s v="SOLICITUD DE SUBVENCIONES PARA EL ESTIMULO AL CONSUMO DE SERVICIOS TURISTICOS Y ALOJAMIENTOS EXTRAHOTELEROS CON MOTIVO DEL LA CRISIS SANITARIA DEL COVID-19."/>
    <s v="1 MES."/>
    <x v="1"/>
    <x v="1"/>
    <x v="7"/>
    <s v="SLIB"/>
    <x v="290"/>
    <s v="N"/>
    <s v="N"/>
    <s v="S"/>
    <s v="N"/>
  </r>
  <r>
    <x v="1"/>
    <s v="036123"/>
    <s v="JUSTIFICACION DE LAS INVERSIONES Y SOLICITUD DE ABONO. LINEA 1 INVERSION PRL"/>
    <s v="4 MESES."/>
    <x v="1"/>
    <x v="1"/>
    <x v="8"/>
    <s v="PLO1"/>
    <x v="291"/>
    <s v="N"/>
    <s v="N"/>
    <s v="S"/>
    <s v="N"/>
  </r>
  <r>
    <x v="1"/>
    <s v="036124"/>
    <s v="SOLICITUD LINEA 1. PROGRAMA CLM MAS SEGURA."/>
    <s v="4 MESES."/>
    <x v="1"/>
    <x v="1"/>
    <x v="8"/>
    <s v="SLO0"/>
    <x v="292"/>
    <s v="N"/>
    <s v="N"/>
    <s v="S"/>
    <s v="N"/>
  </r>
  <r>
    <x v="1"/>
    <s v="036147"/>
    <s v="JUSTIFICACION DE SUBVENCIONES PARA LA REALIZACION DE ACTUACIONES PARA LA MEJORA DE LA EMPLEABILIDAD Y LA INSERCION COLECTIVOS VULNERABLES (NEXTGENERATIONEU)"/>
    <s v="TRES MESES DESDE LA FECHA DE PUBLICACIÓN DE LA PRESENTE ORDEN Y SU EXTRACTO EN EL D.O.C.M."/>
    <x v="2"/>
    <x v="1"/>
    <x v="8"/>
    <s v="PLQW"/>
    <x v="293"/>
    <s v="N"/>
    <s v="N"/>
    <s v="S"/>
    <s v="N"/>
  </r>
  <r>
    <x v="1"/>
    <s v="036148"/>
    <s v="SOLICITUD DE SUBVENCION PARA LA REALIZACION DE ACTUACIONES PARA LA MEJORA DE LA EMPLEABILIDAD Y LA INSERCION DE COLECTIVOS VULNERABLES (NEXTGENERATIONEU)"/>
    <s v="TRES MESES DESDE LA FECHA DE PUBLICACIÓN DE LA PRESENTE ORDEN Y SU EXTRACTO EN EL D.O.C.M."/>
    <x v="2"/>
    <x v="1"/>
    <x v="8"/>
    <s v="SLQV"/>
    <x v="294"/>
    <s v="N"/>
    <s v="N"/>
    <s v="S"/>
    <s v="N"/>
  </r>
  <r>
    <x v="1"/>
    <s v="036150"/>
    <s v="SOLICITUD DE SUBVENCION PARA EL PROGRAMA DE APOYO A MUJERES EN LOS AMBITOS RURAL Y URBANO (NEXT GENERATION EU)"/>
    <s v="2 MESES."/>
    <x v="1"/>
    <x v="1"/>
    <x v="8"/>
    <s v="SLR3"/>
    <x v="295"/>
    <s v="N"/>
    <s v="N"/>
    <s v="S"/>
    <s v="N"/>
  </r>
  <r>
    <x v="1"/>
    <s v="036152"/>
    <s v="SOLICITUD DE SUBVENCION PARA EL INICIO, MANTENIMIENTO Y CONSOLIDACION DE LA ACTIVIDAD DE LAS PERSONAS TRABAJADORAS AUTOMOMAS"/>
    <s v="DOS MESES DESDE LA FECHA DE PRESENTACIÓN DE LA SOLICITUD"/>
    <x v="1"/>
    <x v="1"/>
    <x v="9"/>
    <s v="SLRB"/>
    <x v="296"/>
    <s v="N"/>
    <s v="N"/>
    <s v="S"/>
    <s v="N"/>
  </r>
  <r>
    <x v="1"/>
    <s v="036155"/>
    <s v="AYUDAS DEL PROGRAMA MICE"/>
    <s v="1 MES."/>
    <x v="1"/>
    <x v="1"/>
    <x v="7"/>
    <s v="SLRZ"/>
    <x v="297"/>
    <s v="N"/>
    <s v="N"/>
    <s v="S"/>
    <s v="N"/>
  </r>
  <r>
    <x v="1"/>
    <s v="036156"/>
    <s v="JUSTIFICACION AYUDAS PROGRAMA MICE 2022"/>
    <s v="1 MES."/>
    <x v="1"/>
    <x v="1"/>
    <x v="7"/>
    <s v="PLS0"/>
    <x v="298"/>
    <s v="N"/>
    <s v="N"/>
    <s v="S"/>
    <s v="N"/>
  </r>
  <r>
    <x v="1"/>
    <s v="036183"/>
    <s v="LINEA 1. SUBVENCION PARA LA PROMOCION DE LAS COOPERATIVAS Y SOCIEDADES LABORALES"/>
    <s v="EL PLAZO MÁXIMO PARA RESOLVER Y NOTIFICAR LA RESOLUCIÓN SERÁ DE UN MES DE PRESENTACION. EL VENCIMIENTO DEL PLAZO MÁXIMO SIN HABERSE NOTIFICADO RESOLUCIÓN EXPRESA, SE ENTIENDE DESESTIMADA."/>
    <x v="1"/>
    <x v="1"/>
    <x v="11"/>
    <s v="SLWG"/>
    <x v="299"/>
    <s v="N"/>
    <s v="N"/>
    <s v="S"/>
    <s v="N"/>
  </r>
  <r>
    <x v="1"/>
    <s v="040001"/>
    <s v="DECLARACION DE GRAN AFLUENCIA TURISTICA A EFECTO DE HORARIOS COMERCIALES"/>
    <s v="2 MESES"/>
    <x v="0"/>
    <x v="1"/>
    <x v="7"/>
    <s v="S432"/>
    <x v="300"/>
    <s v="S"/>
    <s v="N"/>
    <s v="S"/>
    <s v="N"/>
  </r>
  <r>
    <x v="1"/>
    <s v="040004"/>
    <s v="DECLARACION DE FIESTA DE INTERES TURISTICO REGIONAL"/>
    <s v="6 MESES"/>
    <x v="0"/>
    <x v="1"/>
    <x v="7"/>
    <s v="S429"/>
    <x v="301"/>
    <s v="S"/>
    <s v="N"/>
    <s v="S"/>
    <s v="N"/>
  </r>
  <r>
    <x v="1"/>
    <s v="040088"/>
    <s v="ACREDITACION DE ENTIDADES ESPELIZADAS COMO SERVICIOS DE PREVENCION DE ACCIDENTES AJENOS A LAS EMPRESAS"/>
    <s v="3 MESES, AMPLIABLE  A 6 MESES SI LA ENTIDAD DECLARA QUE VA A DISPONER DE INSTALACIONES EN OTRAS COMUNIDADES AUTÓNOMAS PARA EL EJERCICIO DE SU ACTIVIDAD."/>
    <x v="1"/>
    <x v="1"/>
    <x v="8"/>
    <s v="SIJK"/>
    <x v="302"/>
    <s v="N"/>
    <s v="N"/>
    <s v="S"/>
    <s v="S"/>
  </r>
  <r>
    <x v="1"/>
    <s v="040172"/>
    <s v="RECONOCIMIENTO DE LAS COMPETENCIAS PROFESIONALES ADQUIRIDAS POR EXPERIENCIA LABORAL"/>
    <s v=""/>
    <x v="2"/>
    <x v="1"/>
    <x v="10"/>
    <s v="SJLK"/>
    <x v="303"/>
    <s v="S"/>
    <s v="N"/>
    <s v="S"/>
    <s v="N"/>
  </r>
  <r>
    <x v="1"/>
    <s v="040185"/>
    <s v="RENOVACION DEL TITULO DE EMPRESA ARTESANA"/>
    <s v="2 MESES"/>
    <x v="0"/>
    <x v="1"/>
    <x v="7"/>
    <s v="SJB1"/>
    <x v="304"/>
    <s v="S"/>
    <s v="N"/>
    <s v="S"/>
    <s v="N"/>
  </r>
  <r>
    <x v="1"/>
    <s v="040210"/>
    <s v="SOLICITUD DE CERTIFICADO DE TIENDA DE CONVENIENCIA"/>
    <s v="3 MESES"/>
    <x v="0"/>
    <x v="1"/>
    <x v="7"/>
    <s v="SJSB"/>
    <x v="305"/>
    <s v="S"/>
    <s v="N"/>
    <s v="S"/>
    <s v="N"/>
  </r>
  <r>
    <x v="1"/>
    <s v="040227"/>
    <s v="RECONOCIMIENTO COMO EVENTO DE INTERES ARTESANO DE CASTILLA-LA MANCHA."/>
    <s v="4 MESES"/>
    <x v="0"/>
    <x v="1"/>
    <x v="7"/>
    <s v="SJV2"/>
    <x v="306"/>
    <s v="S"/>
    <s v="N"/>
    <s v="S"/>
    <s v="N"/>
  </r>
  <r>
    <x v="1"/>
    <s v="040271"/>
    <s v="CONCESION DEL CARNE ARTESANO"/>
    <s v="4 MESES"/>
    <x v="0"/>
    <x v="1"/>
    <x v="7"/>
    <s v="S324"/>
    <x v="307"/>
    <s v="S"/>
    <s v="N"/>
    <s v="S"/>
    <s v="S"/>
  </r>
  <r>
    <x v="1"/>
    <s v="040272"/>
    <s v="CONCESION DEL TITULO DE EMPRESA ARTESANA"/>
    <s v="4 MESES"/>
    <x v="0"/>
    <x v="1"/>
    <x v="7"/>
    <s v="S310"/>
    <x v="308"/>
    <s v="S"/>
    <s v="N"/>
    <s v="S"/>
    <s v="S"/>
  </r>
  <r>
    <x v="1"/>
    <s v="040273"/>
    <s v="RENOVACION CARNE ARTESANO"/>
    <s v="2 MESES"/>
    <x v="0"/>
    <x v="1"/>
    <x v="7"/>
    <s v="SJB0"/>
    <x v="309"/>
    <s v="S"/>
    <s v="N"/>
    <s v="S"/>
    <s v="N"/>
  </r>
  <r>
    <x v="1"/>
    <s v="040274"/>
    <s v="MODIFICACION EN LA ACTIVIDAD PRODUCTIVA DE LA EMPRESA ARTESANA"/>
    <s v="3 MESES"/>
    <x v="0"/>
    <x v="1"/>
    <x v="7"/>
    <s v="SKAB"/>
    <x v="310"/>
    <s v="S"/>
    <s v="N"/>
    <s v="S"/>
    <s v="N"/>
  </r>
  <r>
    <x v="1"/>
    <s v="040275"/>
    <s v="CAMBIO DE NOMBRE COMERCIAL O DE TITULARIDAD DE LA EMPRESA ARTESANA"/>
    <s v="3 MESES"/>
    <x v="0"/>
    <x v="1"/>
    <x v="7"/>
    <s v="MJB2"/>
    <x v="311"/>
    <s v="N"/>
    <s v="N"/>
    <s v="S"/>
    <s v="S"/>
  </r>
  <r>
    <x v="1"/>
    <s v="040276"/>
    <s v="RECONOCIMIENTO DE TIENDA ARTESANA E INTEGRACION EN LA RED DE TIENDAS ARTESANAS DE CASTILLA-LA MANCHA"/>
    <s v="4 MESES"/>
    <x v="0"/>
    <x v="1"/>
    <x v="7"/>
    <s v="SJHZ"/>
    <x v="312"/>
    <s v="S"/>
    <s v="N"/>
    <s v="S"/>
    <s v="N"/>
  </r>
  <r>
    <x v="1"/>
    <s v="040277"/>
    <s v="RECONOCIMIENTO/MODIFICACION DE  AREA DE ESPECIAL INTERES ARTESANAL DE CASTILLA-LA MANCHA // TALLER DE ESPECIAL INTERES ARTESANAL DE CASTILLA- LA MANCHA"/>
    <s v="6 MESES"/>
    <x v="0"/>
    <x v="1"/>
    <x v="7"/>
    <s v="SJGW"/>
    <x v="313"/>
    <s v="S"/>
    <s v="N"/>
    <s v="S"/>
    <s v="N"/>
  </r>
  <r>
    <x v="1"/>
    <s v="040278"/>
    <s v="RENOVACION DEL RECONOCIMIENTO DE AREA DE ESPECIAL INTERES ARTESANAL DE CASTILLA-LA MANCHA // TALLER DE ESPECIAL INTERES ARTESANAL DE CASTILLA- LA MANCHA"/>
    <s v="3 MESES"/>
    <x v="0"/>
    <x v="1"/>
    <x v="7"/>
    <s v="SKAC"/>
    <x v="314"/>
    <s v="S"/>
    <s v="N"/>
    <s v="S"/>
    <s v="N"/>
  </r>
  <r>
    <x v="1"/>
    <s v="040293"/>
    <s v="GESTION DE ACCESO A LA OFICINA VIRTUAL DE LA CONSEJERIA DE EMPLEO Y ECONOMIA DE CASTILLA LA MANCHA"/>
    <s v=""/>
    <x v="1"/>
    <x v="1"/>
    <x v="8"/>
    <s v="SKG6"/>
    <x v="315"/>
    <s v="S"/>
    <s v="N"/>
    <s v="N"/>
    <s v="N"/>
  </r>
  <r>
    <x v="1"/>
    <s v="040301"/>
    <s v="CERTIFICADO DE INSCRIPCION EN REGISTRO DE EMPRESAS ACREDITADAS EN EL SECTOR DE LA CONSTRUCCION (REA)"/>
    <s v="10 DÍAS NATURALES"/>
    <x v="0"/>
    <x v="1"/>
    <x v="8"/>
    <s v="SKJR"/>
    <x v="316"/>
    <s v="N"/>
    <s v="N"/>
    <s v="S"/>
    <s v="N"/>
  </r>
  <r>
    <x v="1"/>
    <s v="040343"/>
    <s v="CONCESION DIRECTA DE SUBVENCION A FUNDACION ESCUELA DE ORGANIZACION INDUSTRIAL (EOI), PARA EL DESARROLLO DE LOS PROYECTOS MILLENIALS Y BIG DREAMS DENTRO DEL PROGRAMA OPERATIVO DE LA FUNDACION EOI PARA EL FOMENTO DEL EMPLEO JOVEN DE INTERVENCION COMUNITARI"/>
    <s v="NO PROCEDE"/>
    <x v="2"/>
    <x v="1"/>
    <x v="10"/>
    <s v="SL8J"/>
    <x v="317"/>
    <s v="N"/>
    <s v="N"/>
    <s v="S"/>
    <s v="N"/>
  </r>
  <r>
    <x v="1"/>
    <s v="040354"/>
    <s v="DECLARACION DE PROYECTOS PRIORITARIOS EN CASTILLA-LA MANCHA"/>
    <s v="3 MESES"/>
    <x v="1"/>
    <x v="1"/>
    <x v="11"/>
    <s v="SLFY"/>
    <x v="318"/>
    <s v="N"/>
    <s v="N"/>
    <s v="S"/>
    <s v="N"/>
  </r>
  <r>
    <x v="1"/>
    <s v="045653"/>
    <s v="ACREDITACION DE LA BUSQUEDA ACTIVA DE EMPLEO DE TRABAJADORES Y DE LOS SOLICITANTES Y BENEFICIARIOS DE PRESTACIONES POR DESEMPLEO"/>
    <s v=""/>
    <x v="2"/>
    <x v="1"/>
    <x v="8"/>
    <s v="MKGM"/>
    <x v="319"/>
    <s v="S"/>
    <s v="N"/>
    <s v="S"/>
    <s v="N"/>
  </r>
  <r>
    <x v="1"/>
    <s v="045654"/>
    <s v="COMUNICACION DE COLOCACIONES DE LOS DEMANDANTES BENEFICIARIOS DEL PROGRAMA DE ACTIVACION PARA EL EMPLEO"/>
    <s v=""/>
    <x v="2"/>
    <x v="1"/>
    <x v="8"/>
    <s v="MKGR"/>
    <x v="320"/>
    <s v="S"/>
    <s v="N"/>
    <s v="S"/>
    <s v="N"/>
  </r>
  <r>
    <x v="1"/>
    <s v="045746"/>
    <s v="INICIO DE ACTIVIDAD COMO EMPRESA DE RESTAURACION"/>
    <s v=""/>
    <x v="2"/>
    <x v="1"/>
    <x v="7"/>
    <s v="DIJM"/>
    <x v="321"/>
    <s v="S"/>
    <s v="N"/>
    <s v="S"/>
    <s v="S"/>
  </r>
  <r>
    <x v="1"/>
    <s v="045747"/>
    <s v="MODIFICACION DE LA CAPACIDAD/CAMBIO EN LA CLASIFICACION DE LA EMPRESA DE RESTAURACION"/>
    <s v=""/>
    <x v="2"/>
    <x v="1"/>
    <x v="7"/>
    <s v="DKPM"/>
    <x v="322"/>
    <s v="S"/>
    <s v="N"/>
    <s v="S"/>
    <s v="N"/>
  </r>
  <r>
    <x v="1"/>
    <s v="045748"/>
    <s v="CAMBIO DE TITULARIDAD, CAMBIO DE DENOMINACION O CESE DE ACTIVIDAD COMO EMPRESA DE RESTAURACION"/>
    <s v=""/>
    <x v="2"/>
    <x v="1"/>
    <x v="7"/>
    <s v="MKPN"/>
    <x v="323"/>
    <s v="S"/>
    <s v="N"/>
    <s v="S"/>
    <s v="N"/>
  </r>
  <r>
    <x v="1"/>
    <s v="080003"/>
    <s v="PAPELETA DE CONCILIACION INDIVIDUAL PREVIA A LA VIA JUDICIAL LABORAL"/>
    <s v=""/>
    <x v="2"/>
    <x v="1"/>
    <x v="9"/>
    <s v="SKA4"/>
    <x v="324"/>
    <s v="S"/>
    <s v="N"/>
    <s v="S"/>
    <s v="N"/>
  </r>
  <r>
    <x v="1"/>
    <s v="080004"/>
    <s v="PROCEDIMIENTO PARA LA SOLUCION DE DISCREPANCIAS SURGIDAS POR FALTA DE ACUERDO EN LOS PROCEDIMIENTOS DE INAPLICACION DE LAS CONDICIONES DE TRABAJO PREVISTAS EN EL CONVENIO COLECTIVO DE APLICACION"/>
    <s v="25 DÍAS HÁBILES"/>
    <x v="2"/>
    <x v="1"/>
    <x v="9"/>
    <s v="SKER"/>
    <x v="325"/>
    <s v="N"/>
    <s v="N"/>
    <s v="S"/>
    <s v="N"/>
  </r>
  <r>
    <x v="1"/>
    <s v="080005"/>
    <s v="ATENCION A EMPRESAS EN MATERIA DE INTERMEDIACION LABORAL Y CONTRATACION DE PERSONAS TRABAJADORAS"/>
    <s v="NO PROCEDE"/>
    <x v="1"/>
    <x v="1"/>
    <x v="8"/>
    <s v="SKGS"/>
    <x v="326"/>
    <s v="S"/>
    <s v="N"/>
    <s v="S"/>
    <s v="N"/>
  </r>
  <r>
    <x v="1"/>
    <s v="080007"/>
    <s v="COOPERATIVAS Y SOCIEDADES LABORALES: ARBITRAJE, CONCILIACION Y MEDIACION."/>
    <s v="EN ARBITRAJE, 3 MESES DESDE LA ACEPTACIÓN DEL NOMBRAMIENTO, EN LOS OTROS PROCEDIMIENTOS NO HAY PLAZO."/>
    <x v="2"/>
    <x v="1"/>
    <x v="9"/>
    <s v="SL7W"/>
    <x v="327"/>
    <s v="S"/>
    <s v="N"/>
    <s v="S"/>
    <s v="N"/>
  </r>
  <r>
    <x v="1"/>
    <s v="150019"/>
    <s v="SUSCRIPCION DE CONVENIOS DE PRACTICAS NO LABORALES EN EMPRESAS"/>
    <s v=""/>
    <x v="2"/>
    <x v="1"/>
    <x v="9"/>
    <s v="SK0M"/>
    <x v="328"/>
    <s v="S"/>
    <s v="N"/>
    <s v="S"/>
    <s v="N"/>
  </r>
  <r>
    <x v="1"/>
    <s v="155433"/>
    <s v="ENVIO DEL DOCUMENTO DE SOLICITUDES DE RENOVACION DE DEMANDA DE EMPLEO DE LAS UNIDADES LOCALES DE GESTION DE EMPLEO A LAS OFICINAS DE EMPLEO"/>
    <s v=""/>
    <x v="2"/>
    <x v="1"/>
    <x v="8"/>
    <s v="SJVI"/>
    <x v="329"/>
    <s v="S"/>
    <s v="N"/>
    <s v="S"/>
    <s v="N"/>
  </r>
  <r>
    <x v="1"/>
    <s v="155434"/>
    <s v="SOLICITUD DE SUSCRIPCION DE CONVENIOS DE COLABORACION PARA LA CREACION DE UNIDADES LOCALES DE GESTION DE EMPLEO ENTRE AYUNTAMIENTOS Y LA CONSEJERIA DE ECONOMIA, EMPRESAS Y EMPLEO"/>
    <s v=""/>
    <x v="2"/>
    <x v="1"/>
    <x v="8"/>
    <s v="SJVF"/>
    <x v="330"/>
    <s v="N"/>
    <s v="N"/>
    <s v="S"/>
    <s v="N"/>
  </r>
  <r>
    <x v="1"/>
    <s v="155872"/>
    <s v="SOLICITUD DE CONVENIO PARA LA REALIZACION DE ACTIVIDADES DE ASESORAMIENTO PARA EL AUTOEMPLEO Y EL EMPRENDIMIENTO, MEDIANTE LA CREACION DE LOS &quot;ESPACIOS ADELANTE AUTOEMPLEO&quot;"/>
    <s v=""/>
    <x v="2"/>
    <x v="1"/>
    <x v="12"/>
    <s v="SKY8"/>
    <x v="331"/>
    <s v="N"/>
    <s v="N"/>
    <s v="S"/>
    <s v="N"/>
  </r>
  <r>
    <x v="1"/>
    <s v="180100"/>
    <s v="CONVOCATORIA DE PROVISION DE PUESTOS DE TRABAJO POR EL PROCEDIMIENTO DE LIBRE DESIGNACION ( CONSEJERIA ECONOMIA, EMPRESAS Y EMPLEO)"/>
    <s v="2 MESES"/>
    <x v="1"/>
    <x v="1"/>
    <x v="14"/>
    <s v="SJZS"/>
    <x v="332"/>
    <s v="N"/>
    <s v="N"/>
    <s v="S"/>
    <s v="N"/>
  </r>
  <r>
    <x v="1"/>
    <s v="190030"/>
    <s v="CESION GRATUITA DE VEHICULOS."/>
    <s v="3 MESES"/>
    <x v="1"/>
    <x v="1"/>
    <x v="14"/>
    <s v="SLT8"/>
    <x v="333"/>
    <s v="S"/>
    <s v="N"/>
    <s v="S"/>
    <s v="N"/>
  </r>
  <r>
    <x v="2"/>
    <s v="010142"/>
    <s v="AUTORIZACION PREVIA DEL PROTECTORADO PARA ENAJENAR Y GRAVAR BIENES O DERECHOS PERTENENCIENTES A LA DOTACION, PARA QUE LOS PATRONOS PUEDAN CONTRATAR CON LA FUNDACION"/>
    <s v="3 MESES"/>
    <x v="0"/>
    <x v="2"/>
    <x v="15"/>
    <s v="SJO0"/>
    <x v="334"/>
    <s v="S"/>
    <s v="N"/>
    <s v="S"/>
    <s v="N"/>
  </r>
  <r>
    <x v="2"/>
    <s v="010144"/>
    <s v="AUTORIZACION DE LA ADJUDICACION EN PUBLICA SUBASTA, MEDIANTE PRECIO, DEL APROVECHAMIENTO DE BINES COMUNALES DE LAS CORPORACIONES LOCALES"/>
    <s v="6 MESES"/>
    <x v="0"/>
    <x v="2"/>
    <x v="15"/>
    <s v="SJ8D"/>
    <x v="335"/>
    <s v="S"/>
    <s v="N"/>
    <s v="S"/>
    <s v="N"/>
  </r>
  <r>
    <x v="2"/>
    <s v="010145"/>
    <s v="AUTORIZACION DE ACTIVIDADES RECREATIVAS O PRUEBAS DEPORTIVAS A REALIZAR POR EL TERRITORIO DE DOS O MAS PROVINCIAS"/>
    <s v="10 DÍAS HABILES"/>
    <x v="0"/>
    <x v="2"/>
    <x v="16"/>
    <s v="SJ70"/>
    <x v="336"/>
    <s v="S"/>
    <s v="N"/>
    <s v="S"/>
    <s v="N"/>
  </r>
  <r>
    <x v="2"/>
    <s v="010146"/>
    <s v="AUTORIZACION DE ACTIVIDADES RECREATIVAS O PRUEBAS DEPORTIVAS A REALIZAR POR EL TERRITORIO DE UNA SOLA PROVINCIA"/>
    <s v="10 DÍAS HÁBILES"/>
    <x v="0"/>
    <x v="2"/>
    <x v="16"/>
    <s v="SF79"/>
    <x v="337"/>
    <s v="S"/>
    <s v="N"/>
    <s v="S"/>
    <s v="N"/>
  </r>
  <r>
    <x v="2"/>
    <s v="010147"/>
    <s v="AUTORIZACION  DE HORARIOS PERMANENTES Y ESPECIALES"/>
    <s v="3 MESES"/>
    <x v="0"/>
    <x v="2"/>
    <x v="16"/>
    <s v="SJ6Z"/>
    <x v="338"/>
    <s v="S"/>
    <s v="N"/>
    <s v="S"/>
    <s v="N"/>
  </r>
  <r>
    <x v="2"/>
    <s v="010149"/>
    <s v="COMUNICACION DE ESPECTACULOS TAURINOS EN PLAZA DE TOROS PERMANENTE"/>
    <s v="EN LOS 2 DÍAS HÁBILES SIGUIENTES A LA FECHA EN LA QUE LA DOCUMENTACIÓN HAYA QUEDADO SUBSANADA"/>
    <x v="0"/>
    <x v="2"/>
    <x v="16"/>
    <s v="SF78"/>
    <x v="339"/>
    <s v="N"/>
    <s v="N"/>
    <s v="S"/>
    <s v="N"/>
  </r>
  <r>
    <x v="2"/>
    <s v="010150"/>
    <s v="AUTORIZACION DE ESPECTACULOS TAURINOS EN PLAZA DE TOROS NO PERMANENTE O PORTATIL"/>
    <s v="EN LOS 2 DÍAS HÁBILES SIGUIENTES A LA FECHA EN LA QUE LA DOCUMENTACIÓN HAYA QUEDADO SUBSANADA"/>
    <x v="0"/>
    <x v="2"/>
    <x v="16"/>
    <s v="NF77, SF77"/>
    <x v="340"/>
    <s v="N"/>
    <s v="N"/>
    <s v="S"/>
    <s v="N"/>
  </r>
  <r>
    <x v="2"/>
    <s v="010151"/>
    <s v="AUTORIZACION DE FESTEJOS TAURINOS POPULARES"/>
    <s v="3 DÍAS HÁBILES DE ANTELACIÓN A LA FECHA DE CELEBRACIÓN"/>
    <x v="0"/>
    <x v="2"/>
    <x v="16"/>
    <s v="SE59"/>
    <x v="341"/>
    <s v="N"/>
    <s v="N"/>
    <s v="S"/>
    <s v="N"/>
  </r>
  <r>
    <x v="2"/>
    <s v="010350"/>
    <s v="CREACION/RENOVACION DE ESCUELA TAURINA"/>
    <s v="5 DÍAS HABILES POST. RECEP. INFORME"/>
    <x v="0"/>
    <x v="2"/>
    <x v="16"/>
    <s v="SJGF"/>
    <x v="342"/>
    <s v="N"/>
    <s v="N"/>
    <s v="S"/>
    <s v="S"/>
  </r>
  <r>
    <x v="2"/>
    <s v="010351"/>
    <s v="SOLICITUD DE AUTORIZACION DE CONSULTA DE DOCUMENTOS DEL ARCHIVO DE CASTILLA-LA MANCHA"/>
    <s v=""/>
    <x v="2"/>
    <x v="2"/>
    <x v="15"/>
    <s v="SJL4"/>
    <x v="343"/>
    <s v="S"/>
    <s v="N"/>
    <s v="S"/>
    <s v="N"/>
  </r>
  <r>
    <x v="2"/>
    <s v="010398"/>
    <s v="AUTORIZACIÓN DE LA COMUNIDAD AUTÓNOMA PARA CAMBIAR EL USO DE LOS BIENES COMUNALES"/>
    <s v="3 MESES"/>
    <x v="0"/>
    <x v="2"/>
    <x v="15"/>
    <s v="SJVB"/>
    <x v="344"/>
    <s v="S"/>
    <s v="N"/>
    <s v="S"/>
    <s v="N"/>
  </r>
  <r>
    <x v="2"/>
    <s v="010415"/>
    <s v="PROCEDIMIENTO COMUN PARA LAS ALTERACIONES DE TERMINOS MUNICIPALES"/>
    <s v="6 MESES"/>
    <x v="1"/>
    <x v="2"/>
    <x v="15"/>
    <s v="SJX2"/>
    <x v="345"/>
    <s v="S"/>
    <s v="N"/>
    <s v="S"/>
    <s v="N"/>
  </r>
  <r>
    <x v="2"/>
    <s v="010416"/>
    <s v="PROCEDIMIENTO PARA LA CONSTITUCION DEL REGIMEN ESPECIAL DE CONCEJO ABIERTO"/>
    <s v="6 MESES"/>
    <x v="0"/>
    <x v="2"/>
    <x v="15"/>
    <s v="SJX3"/>
    <x v="346"/>
    <s v="S"/>
    <s v="N"/>
    <s v="S"/>
    <s v="N"/>
  </r>
  <r>
    <x v="2"/>
    <s v="010417"/>
    <s v="PROCEDIMIENTO PARA LA ALTERACION DEL NOMBRE Y CAPITALIDAD DEL MUNICIPIO."/>
    <s v="6 MESES"/>
    <x v="0"/>
    <x v="2"/>
    <x v="15"/>
    <s v="SJX4"/>
    <x v="347"/>
    <s v="S"/>
    <s v="N"/>
    <s v="S"/>
    <s v="N"/>
  </r>
  <r>
    <x v="2"/>
    <s v="010459"/>
    <s v="RATIFICACION EXTINCION FUNDACION"/>
    <s v="3 MESES"/>
    <x v="0"/>
    <x v="2"/>
    <x v="15"/>
    <s v="SK0X"/>
    <x v="348"/>
    <s v="S"/>
    <s v="N"/>
    <s v="S"/>
    <s v="N"/>
  </r>
  <r>
    <x v="2"/>
    <s v="010477"/>
    <s v="AUTORIZACION DE ACTIVIDADES DE PUBLICIDAD, PATROCINIO Y  PROMOCION DE LOS JUEGOS."/>
    <s v="1 MES"/>
    <x v="0"/>
    <x v="2"/>
    <x v="17"/>
    <s v="SK3U"/>
    <x v="349"/>
    <s v="S"/>
    <s v="N"/>
    <s v="S"/>
    <s v="N"/>
  </r>
  <r>
    <x v="2"/>
    <s v="010478"/>
    <s v="AUTORIZACION DE RIFAS Y TOMBOLAS"/>
    <s v="3  MESES"/>
    <x v="1"/>
    <x v="2"/>
    <x v="17"/>
    <s v="SK3W"/>
    <x v="350"/>
    <s v="S"/>
    <s v="N"/>
    <s v="S"/>
    <s v="N"/>
  </r>
  <r>
    <x v="2"/>
    <s v="010481"/>
    <s v="AUTORIZACION DE ACTIVIDADES DE JUEGOS ESPORADICOS POR CANALES ELECTRONICOS, INFORMATICOS, TELEMATICOS O INTERACTIVOS."/>
    <s v="3 MESES"/>
    <x v="1"/>
    <x v="2"/>
    <x v="17"/>
    <s v="SK44"/>
    <x v="351"/>
    <s v="S"/>
    <s v="N"/>
    <s v="S"/>
    <s v="N"/>
  </r>
  <r>
    <x v="2"/>
    <s v="010482"/>
    <s v="TRANSMISION DE LA AUTORIZACION DE JUEGOS PERMANENTES POR CANALES ELECTRONICOS, INFORMATICOS, TELEMATICOS O INTERACTIVOS."/>
    <s v="3 MESES"/>
    <x v="1"/>
    <x v="2"/>
    <x v="17"/>
    <s v="SK45"/>
    <x v="352"/>
    <s v="S"/>
    <s v="N"/>
    <s v="S"/>
    <s v="N"/>
  </r>
  <r>
    <x v="2"/>
    <s v="010483"/>
    <s v="HOMOLOGACION, CONVALIDACION, MODIFICACION SUSTANCIAL DE LOS SISTEMAS TECNICOS DE JUEGO."/>
    <s v="6 MESES"/>
    <x v="1"/>
    <x v="2"/>
    <x v="17"/>
    <s v="SK46"/>
    <x v="353"/>
    <s v="S"/>
    <s v="N"/>
    <s v="S"/>
    <s v="N"/>
  </r>
  <r>
    <x v="2"/>
    <s v="010485"/>
    <s v="AUTORIZACION DE INSTALACION DE ZONAS DE APUESTAS"/>
    <s v="6 MESES"/>
    <x v="1"/>
    <x v="2"/>
    <x v="17"/>
    <s v="SK4I"/>
    <x v="354"/>
    <s v="S"/>
    <s v="N"/>
    <s v="S"/>
    <s v="N"/>
  </r>
  <r>
    <x v="2"/>
    <s v="010490"/>
    <s v="AUTORIZACION DE SISTEMAS DE INTERCONEXIONADO"/>
    <s v="3 MESES"/>
    <x v="1"/>
    <x v="2"/>
    <x v="17"/>
    <s v="SK4S"/>
    <x v="355"/>
    <s v="S"/>
    <s v="N"/>
    <s v="S"/>
    <s v="N"/>
  </r>
  <r>
    <x v="2"/>
    <s v="010492"/>
    <s v="TRANSMISION DE LA AUTORIZACION DE INSTALACION DE CASINOS DE JUEGO Y ESTABLECIMIENTOS DE JUEGOS"/>
    <s v="3 MESES"/>
    <x v="1"/>
    <x v="2"/>
    <x v="17"/>
    <s v="SK59"/>
    <x v="356"/>
    <s v="S"/>
    <s v="N"/>
    <s v="S"/>
    <s v="N"/>
  </r>
  <r>
    <x v="2"/>
    <s v="010493"/>
    <s v="SOLICITUD DE CLAVES DE ACCESO A LA TRAMITACION TELEMATICA JUEGO Y  A LA APLICACION DEL CONTROL ACCESO DE LOS ESTABLECIMIENTOS DE JUEGO."/>
    <s v="3 MESES"/>
    <x v="0"/>
    <x v="2"/>
    <x v="17"/>
    <s v="SK5G"/>
    <x v="357"/>
    <s v="S"/>
    <s v="N"/>
    <s v="S"/>
    <s v="N"/>
  </r>
  <r>
    <x v="2"/>
    <s v="010501"/>
    <s v="CREACION DE UN COLEGIO PROFESIONAL/ CONSEJO DE COLEGIOS PROFESIONALES"/>
    <s v="6 MESES"/>
    <x v="0"/>
    <x v="2"/>
    <x v="15"/>
    <s v="SK9K"/>
    <x v="358"/>
    <s v="S"/>
    <s v="N"/>
    <s v="S"/>
    <s v="N"/>
  </r>
  <r>
    <x v="2"/>
    <s v="010540"/>
    <s v="AUTORIZACION DE COMPATIBILIDAD PARA EL EJERCICIO DE ACTIVIDADES PUBLICAS"/>
    <s v="4 MESES"/>
    <x v="1"/>
    <x v="2"/>
    <x v="18"/>
    <s v="SF69"/>
    <x v="359"/>
    <s v="N"/>
    <s v="N"/>
    <s v="S"/>
    <s v="N"/>
  </r>
  <r>
    <x v="2"/>
    <s v="010563"/>
    <s v="OBTENCION DE PUBLICIDAD REGISTRAL SOBRE COLEGIOS PROFESIONALES"/>
    <s v=""/>
    <x v="0"/>
    <x v="2"/>
    <x v="15"/>
    <s v="SKTT"/>
    <x v="360"/>
    <s v="S"/>
    <s v="N"/>
    <s v="S"/>
    <s v="N"/>
  </r>
  <r>
    <x v="2"/>
    <s v="010565"/>
    <s v="SOLICITUD GENERAL EN MATERIA DE JUEGOS Y APUESTAS."/>
    <s v="3 MESES"/>
    <x v="0"/>
    <x v="2"/>
    <x v="17"/>
    <s v="SKUZ"/>
    <x v="361"/>
    <s v="S"/>
    <s v="N"/>
    <s v="S"/>
    <s v="N"/>
  </r>
  <r>
    <x v="2"/>
    <s v="010616"/>
    <s v="AUTORIZACION O COMUNICACION DE MODIFICACION DE HORARIOS GENERALES"/>
    <s v="3 MESES"/>
    <x v="0"/>
    <x v="2"/>
    <x v="16"/>
    <s v="SL9R"/>
    <x v="362"/>
    <s v="N"/>
    <s v="N"/>
    <s v="S"/>
    <s v="N"/>
  </r>
  <r>
    <x v="2"/>
    <s v="010663"/>
    <s v="RENOVACION DE LA AUTORIZACION  DE INSTALACION  DE CASINOS DE JUEGO Y ESTABLECIMIENTOS DE JUEGO."/>
    <s v="6 MESES"/>
    <x v="1"/>
    <x v="2"/>
    <x v="17"/>
    <s v="SLQ1"/>
    <x v="363"/>
    <s v="S"/>
    <s v="N"/>
    <s v="S"/>
    <s v="N"/>
  </r>
  <r>
    <x v="2"/>
    <s v="010664"/>
    <s v="RENOVACION DE LA AUTORIZACION DE  ESTABLECIMIENTOS DE HOSTELERIA O SIMILAR."/>
    <s v="SIN PLAZO"/>
    <x v="1"/>
    <x v="2"/>
    <x v="17"/>
    <s v="DLQ2"/>
    <x v="364"/>
    <s v="S"/>
    <s v="N"/>
    <s v="S"/>
    <s v="N"/>
  </r>
  <r>
    <x v="2"/>
    <s v="015105"/>
    <s v="AUTORIZACION DE PERMUTA DE BIENES INMUEBLES PATRIMONIALES CUANDO SUPEREN EL 25 POR 100 DE LOS RECURSOS ORDINARIOS DEL PRESUPUESTO DE LA CORPORACION LOCAL"/>
    <s v="6 MESES"/>
    <x v="0"/>
    <x v="2"/>
    <x v="15"/>
    <s v="SJ8E"/>
    <x v="365"/>
    <s v="S"/>
    <s v="N"/>
    <s v="S"/>
    <s v="N"/>
  </r>
  <r>
    <x v="2"/>
    <s v="015106"/>
    <s v="AUTORIZACION DE ENAJENACION DE BIENES Y DERECHOS CUYA CUANTIA SUPERE EL 25 POR 100 DE LOS RECURSOS ORDINARIOS DEL PRESUPUESTO DE LA CORPORACION LOCAL."/>
    <s v="6 MESES"/>
    <x v="0"/>
    <x v="2"/>
    <x v="15"/>
    <s v="SJ8C"/>
    <x v="366"/>
    <s v="S"/>
    <s v="N"/>
    <s v="S"/>
    <s v="N"/>
  </r>
  <r>
    <x v="2"/>
    <s v="015124"/>
    <s v="CLASE PRACTICA DE ESCUELA TAURINA DENTRO DE SU SEDE"/>
    <s v="5 DÍAS PREVIOS CELEBRACIÓN"/>
    <x v="0"/>
    <x v="2"/>
    <x v="16"/>
    <s v="ML0D"/>
    <x v="367"/>
    <s v="N"/>
    <s v="N"/>
    <s v="S"/>
    <s v="N"/>
  </r>
  <r>
    <x v="2"/>
    <s v="015125"/>
    <s v="CLASE PRACTICA DE ESCUELA TAURINA FUERA DE SU SEDE."/>
    <s v="5 DÍAS PREVIOS CELEBRACIÓN"/>
    <x v="0"/>
    <x v="2"/>
    <x v="16"/>
    <s v="SJGE"/>
    <x v="368"/>
    <s v="N"/>
    <s v="N"/>
    <s v="S"/>
    <s v="N"/>
  </r>
  <r>
    <x v="2"/>
    <s v="015528"/>
    <s v="COMUNICACION PREVIA MODIFICACIONES NO ESENCIALES QUE SE PRETENDAN REALIZAR DURANTE EL EJERCICIO DE SU ACTIVIDAD DE JUEGO REALIZADOS POR CANALES ELECTRONICOS, INFORMATICOS, TELEMATICOS O INTERACTIVOS."/>
    <s v="SIN PLAZO."/>
    <x v="1"/>
    <x v="2"/>
    <x v="17"/>
    <s v="MK40"/>
    <x v="369"/>
    <s v="S"/>
    <s v="N"/>
    <s v="S"/>
    <s v="N"/>
  </r>
  <r>
    <x v="2"/>
    <s v="015530"/>
    <s v="AUTORIZACION DE ACTIVIDADES DE JUEGOS PERMANENTES POR CANALES ELECTRONICOS, INFORMATICOS, TELEMATICOS O INTERACTIVOS."/>
    <s v="6 MESES"/>
    <x v="1"/>
    <x v="2"/>
    <x v="17"/>
    <s v="SK42"/>
    <x v="370"/>
    <s v="S"/>
    <s v="N"/>
    <s v="S"/>
    <s v="N"/>
  </r>
  <r>
    <x v="2"/>
    <s v="015531"/>
    <s v="AUTORIZACION DE MODIFICACIONES ESENCIALES DE LA AUTORIZACION DE JUEGOS PERMANENTES POR CANALES ELECTRONICOS, INFORMATICOS, TELEMATICOS O INTERACTIVOS."/>
    <s v="6 MESES"/>
    <x v="1"/>
    <x v="2"/>
    <x v="17"/>
    <s v="SK43"/>
    <x v="371"/>
    <s v="S"/>
    <s v="N"/>
    <s v="S"/>
    <s v="N"/>
  </r>
  <r>
    <x v="2"/>
    <s v="015532"/>
    <s v="AUTORIZACION  DE INSTALACION  DE CASINOS DE JUEGO Y  ESTABLECIMIENTOS DE JUEGO."/>
    <s v="6 MESES"/>
    <x v="1"/>
    <x v="2"/>
    <x v="17"/>
    <s v="SK4G"/>
    <x v="372"/>
    <s v="S"/>
    <s v="N"/>
    <s v="S"/>
    <s v="N"/>
  </r>
  <r>
    <x v="2"/>
    <s v="015533"/>
    <s v="MODIFICACION SUSTANCIAL AUTORIZACION  DE INSTALACION  DE CASINOS DE JUEGO Y  ESTABLECIMIENTOS DE JUEGO."/>
    <s v="6 MESES"/>
    <x v="1"/>
    <x v="2"/>
    <x v="17"/>
    <s v="SK4H"/>
    <x v="373"/>
    <s v="S"/>
    <s v="N"/>
    <s v="S"/>
    <s v="N"/>
  </r>
  <r>
    <x v="2"/>
    <s v="015534"/>
    <s v="RENUNCIA DE MUTUO ACUERDO A LA AUTORIZACION DE INSTALACION DE ESTABLECIMIENTOS DE HOSTELERIA O SIMILAR."/>
    <s v="3 MESES"/>
    <x v="1"/>
    <x v="2"/>
    <x v="17"/>
    <s v="SK4K"/>
    <x v="374"/>
    <s v="S"/>
    <s v="N"/>
    <s v="S"/>
    <s v="N"/>
  </r>
  <r>
    <x v="2"/>
    <s v="015535"/>
    <s v="AUTORIZACION DE INSTALACION DE ESTABLECIMIENTOS DE HOSTELERIA O SIMILAR"/>
    <s v="3 MESES"/>
    <x v="1"/>
    <x v="2"/>
    <x v="17"/>
    <s v="SK4J"/>
    <x v="375"/>
    <s v="S"/>
    <s v="N"/>
    <s v="S"/>
    <s v="N"/>
  </r>
  <r>
    <x v="2"/>
    <s v="015536"/>
    <s v="AUTORIZACION DE INICIO DE ACTIVIDAD DE EMPRESAS DE JUEGO Y APUESTAS."/>
    <s v="3 MESES"/>
    <x v="1"/>
    <x v="2"/>
    <x v="17"/>
    <s v="SK4L"/>
    <x v="376"/>
    <s v="S"/>
    <s v="N"/>
    <s v="S"/>
    <s v="N"/>
  </r>
  <r>
    <x v="2"/>
    <s v="015537"/>
    <s v="MODIFICACION SUSTANCIAL INICIO DE ACTIVIDAD EMPRESAS DE JUEGO"/>
    <s v="3 MESES"/>
    <x v="1"/>
    <x v="2"/>
    <x v="17"/>
    <s v="SK4M"/>
    <x v="377"/>
    <s v="S"/>
    <s v="N"/>
    <s v="S"/>
    <s v="N"/>
  </r>
  <r>
    <x v="2"/>
    <s v="015538"/>
    <s v="AUTORIZACION LABORATORIO DE ENSAYO."/>
    <s v="3 MESES"/>
    <x v="1"/>
    <x v="2"/>
    <x v="17"/>
    <s v="SK4N"/>
    <x v="378"/>
    <s v="S"/>
    <s v="N"/>
    <s v="S"/>
    <s v="N"/>
  </r>
  <r>
    <x v="2"/>
    <s v="015539"/>
    <s v="HOMOLOGACION, CONVALIDACION Y MODIFICACION SUSTANCIAL DEL MATERIAL DE JUEGO Y APUESTAS."/>
    <s v="3 MESES"/>
    <x v="1"/>
    <x v="2"/>
    <x v="17"/>
    <s v="SK4O"/>
    <x v="379"/>
    <s v="S"/>
    <s v="N"/>
    <s v="S"/>
    <s v="N"/>
  </r>
  <r>
    <x v="2"/>
    <s v="015540"/>
    <s v="BAJA TEMPORAL O REACTIVACION DE LA AUTORIZACION DE EXPLOTACION DE MAQUINAS DE JUEGO."/>
    <s v="3 MESES."/>
    <x v="1"/>
    <x v="2"/>
    <x v="17"/>
    <s v="SK4R"/>
    <x v="380"/>
    <s v="S"/>
    <s v="N"/>
    <s v="S"/>
    <s v="N"/>
  </r>
  <r>
    <x v="2"/>
    <s v="015541"/>
    <s v="AUTORIZACION DE EXPLOTACION  DE MAQUINAS DE JUEGO."/>
    <s v="3 MESES."/>
    <x v="1"/>
    <x v="2"/>
    <x v="17"/>
    <s v="SK4P"/>
    <x v="381"/>
    <s v="S"/>
    <s v="N"/>
    <s v="S"/>
    <s v="N"/>
  </r>
  <r>
    <x v="2"/>
    <s v="015542"/>
    <s v="TRANSMISION DE LA AUTORIZACION DE EXPLOTACION DE  MAQUINAS DE JUEGO."/>
    <s v="3 MESES."/>
    <x v="1"/>
    <x v="2"/>
    <x v="17"/>
    <s v="SK4Q"/>
    <x v="382"/>
    <s v="S"/>
    <s v="N"/>
    <s v="S"/>
    <s v="N"/>
  </r>
  <r>
    <x v="2"/>
    <s v="015556"/>
    <s v="COMUNICACION PREVIA DE MODIFICACIONES NO SUSTANCIALES."/>
    <s v="SIN PLAZO."/>
    <x v="1"/>
    <x v="2"/>
    <x v="17"/>
    <s v="MK55"/>
    <x v="383"/>
    <s v="S"/>
    <s v="N"/>
    <s v="S"/>
    <s v="N"/>
  </r>
  <r>
    <x v="2"/>
    <s v="015557"/>
    <s v="COMUNICACION PREVIA DE TRANSMISION, AMPLIACION, DISMINUCION DE ACCIONES O PARTICIPACIONES DE LA SOCIEDAD MERCANTILES DEDICADAS AL JUEGO Y CUALESQUIERA OTRAS MODIFICACIONES SOCIETARIAS."/>
    <s v="SIN PLAZO."/>
    <x v="1"/>
    <x v="2"/>
    <x v="17"/>
    <s v="MK56"/>
    <x v="384"/>
    <s v="S"/>
    <s v="N"/>
    <s v="S"/>
    <s v="N"/>
  </r>
  <r>
    <x v="2"/>
    <s v="015558"/>
    <s v="COMUNICACION PREVIA DE TRANSMISION DE LA AUTORIZACION DE HOMOLOGACION DE MAQUINAS DE JUEGO, SISTEMAS DE INTERCONEXION Y MATERIAL PARA LA PRACTICA DEL JUEGO."/>
    <s v="SIN PLAZO."/>
    <x v="1"/>
    <x v="2"/>
    <x v="17"/>
    <s v="MK57"/>
    <x v="385"/>
    <s v="S"/>
    <s v="N"/>
    <s v="S"/>
    <s v="N"/>
  </r>
  <r>
    <x v="2"/>
    <s v="020004"/>
    <s v="INSCRIPCION EN EL REGISTRO OFICIAL DE LICITADORES Y EMPRESAS CLASIFICADAS DEL SECTOR PUBLICO A TRAVES DEL REGISTRO OFICIAL DE LICITADORES DE CASTILLA-LA MANCHA"/>
    <s v="3 MESES"/>
    <x v="1"/>
    <x v="2"/>
    <x v="19"/>
    <s v="SIK1"/>
    <x v="386"/>
    <s v="N"/>
    <s v="N"/>
    <s v="S"/>
    <s v="N"/>
  </r>
  <r>
    <x v="2"/>
    <s v="020006"/>
    <s v="SISE-DEBER DE INFORMACION ESTADISTICO-CONTABLE DE MEDIADORES DE SEGUROS (DEC)"/>
    <s v=""/>
    <x v="2"/>
    <x v="2"/>
    <x v="20"/>
    <s v="SISE"/>
    <x v="387"/>
    <s v="N"/>
    <s v="N"/>
    <s v="S"/>
    <s v="N"/>
  </r>
  <r>
    <x v="2"/>
    <s v="020092"/>
    <s v="INSCRIPCION EN REGISTRO DE FUNDACIONES (PRIMERA INSCRIPCION ESTATUTOS FUSION Y EXTINCION)"/>
    <s v="INSCRIPCIÓN DE LA CONSTITUCIÓN DE UNA FUNDACIÓN: 6 MESES. _x000d__x000a_RESTO DE PROCEDIMIENTOS: 3 MESES."/>
    <x v="0"/>
    <x v="2"/>
    <x v="15"/>
    <s v="N706, S706"/>
    <x v="388"/>
    <s v="S"/>
    <s v="N"/>
    <s v="N"/>
    <s v="N"/>
  </r>
  <r>
    <x v="2"/>
    <s v="020094"/>
    <s v="INSCRIPCION EN EL REGISTRO DE COLEGIOS PROFESIONALES Y CONSEJOS DE COLEGIOS PROFESIONALES"/>
    <s v="3 MESES"/>
    <x v="0"/>
    <x v="2"/>
    <x v="15"/>
    <s v="S056"/>
    <x v="389"/>
    <s v="S"/>
    <s v="N"/>
    <s v="S"/>
    <s v="N"/>
  </r>
  <r>
    <x v="2"/>
    <s v="020095"/>
    <s v="INSCRIPCION EN EL REGISTRO DE ASOCIACIONES DE CASTILLA-LA MANCHA"/>
    <s v="3 MESES"/>
    <x v="0"/>
    <x v="2"/>
    <x v="15"/>
    <s v="N673, S673"/>
    <x v="390"/>
    <s v="S"/>
    <s v="N"/>
    <s v="S"/>
    <s v="N"/>
  </r>
  <r>
    <x v="2"/>
    <s v="020096"/>
    <s v="REGISTRO DE PAREJAS DE HECHO"/>
    <s v="3 MESES"/>
    <x v="0"/>
    <x v="2"/>
    <x v="15"/>
    <s v="SI4H"/>
    <x v="391"/>
    <s v="S"/>
    <s v="N"/>
    <s v="S"/>
    <s v="N"/>
  </r>
  <r>
    <x v="2"/>
    <s v="020098"/>
    <s v="SOLICITUD DE INSCRIPCION EN EL REGISTRO DE AGRUPACIONES Y VOLUNTARIOS DE PROTECCION CIVIL DE CASTILLA-LA MANCHA"/>
    <s v="2 MESES"/>
    <x v="0"/>
    <x v="2"/>
    <x v="16"/>
    <s v="SILT"/>
    <x v="392"/>
    <s v="S"/>
    <s v="N"/>
    <s v="S"/>
    <s v="N"/>
  </r>
  <r>
    <x v="2"/>
    <s v="020099"/>
    <s v="SOLICITUD DE INCORPORACION A LA RED DE TRANSMISIONES DE PROTECCION CIVIL DE CASTILLA-LA MANCHA"/>
    <s v="1 MES"/>
    <x v="0"/>
    <x v="2"/>
    <x v="16"/>
    <s v="SJ33"/>
    <x v="393"/>
    <s v="N"/>
    <s v="N"/>
    <s v="S"/>
    <s v="N"/>
  </r>
  <r>
    <x v="2"/>
    <s v="020172"/>
    <s v="EJERCICIO DE LOS DERECHOS DE ACCESO, RECTIFICACION, SUPRESION, OPOSICION, LIMITACION, PORTABILIDAD Y DECISIONES AUTOMATIZADAS A LOS TRATAMIENTOS DE LA JUNTA DE COMUNIDADES DE CASTILLA-LA MANCHA Y SECTOR PUBLICO DEPENDIENTE DE LA MISMA."/>
    <s v="1 MES"/>
    <x v="1"/>
    <x v="2"/>
    <x v="21"/>
    <s v="SJ5X"/>
    <x v="394"/>
    <s v="S"/>
    <s v="N"/>
    <s v="S"/>
    <s v="N"/>
  </r>
  <r>
    <x v="2"/>
    <s v="020179"/>
    <s v="INSCRIPCION EN EL REGISTRO DE POLICIAS LOCALES DE CASTILLA-LA MANCHA"/>
    <s v="2 MESES"/>
    <x v="0"/>
    <x v="2"/>
    <x v="16"/>
    <s v="SIZ9"/>
    <x v="395"/>
    <s v="S"/>
    <s v="N"/>
    <s v="S"/>
    <s v="N"/>
  </r>
  <r>
    <x v="2"/>
    <s v="020180"/>
    <s v="REGISTRO DE PROFESORES COLABORADORES DE LA ESCUELA DE PROTECCION CIUDADANA DE CASTILLA LA MANCHA."/>
    <s v="2 MESES"/>
    <x v="0"/>
    <x v="2"/>
    <x v="16"/>
    <s v="SJMA"/>
    <x v="396"/>
    <s v="S"/>
    <s v="N"/>
    <s v="S"/>
    <s v="N"/>
  </r>
  <r>
    <x v="2"/>
    <s v="020193"/>
    <s v="ACCESO AL SERVICIO PARA PERSONAS CON DISCAPACIDAD AUDITIVA Y/O DEL LENGUAJE EN EL DISPOSITIVO DE ATENCIÓN ESPECÍFICO DEL 112 DE CASTILLA-LA MANCHA"/>
    <s v="15 DÍAS HÁBILES"/>
    <x v="0"/>
    <x v="2"/>
    <x v="16"/>
    <s v="SJRU"/>
    <x v="397"/>
    <s v="S"/>
    <s v="N"/>
    <s v="S"/>
    <s v="N"/>
  </r>
  <r>
    <x v="2"/>
    <s v="020201"/>
    <s v="REGISTRO  DE PROFESORADO COLABORADOR DE LA ESCUELA DE LA ADMINISTRACIÓN REGIONAL DE CASTILLA-LA MANCHA"/>
    <s v="3 MESES"/>
    <x v="0"/>
    <x v="2"/>
    <x v="18"/>
    <s v="SJPT"/>
    <x v="398"/>
    <s v="S"/>
    <s v="N"/>
    <s v="S"/>
    <s v="N"/>
  </r>
  <r>
    <x v="2"/>
    <s v="020202"/>
    <s v="ANOTACION EN EL REGISTRO DE POLICIAS LOCALES DE LA COMUNIDAD AUTONOMA DE CASTILLA-LA MANCHA DE TITULACIONES ACADEMICAS O FORMACION PROFESIONAL A PETICION DE INTERESADO"/>
    <s v="2 MESES"/>
    <x v="0"/>
    <x v="2"/>
    <x v="16"/>
    <s v="SJRT"/>
    <x v="399"/>
    <s v="N"/>
    <s v="N"/>
    <s v="S"/>
    <s v="N"/>
  </r>
  <r>
    <x v="2"/>
    <s v="020215"/>
    <s v="ACCESO AL SERVICIO 012 PARA PERSONAS CON DISCAPACIDAD AUDITIVA Y/O DEL LENGUAJE"/>
    <s v="15 DÍAS HÁBILES"/>
    <x v="0"/>
    <x v="2"/>
    <x v="15"/>
    <s v="SK1P"/>
    <x v="400"/>
    <s v="S"/>
    <s v="N"/>
    <s v="S"/>
    <s v="N"/>
  </r>
  <r>
    <x v="2"/>
    <s v="020217"/>
    <s v="INSCRIPCION O CANCELACION EN EL REGISTRO DE INTERDICCION DE ACCESO AL JUEGO"/>
    <s v="SIN PLAZO."/>
    <x v="1"/>
    <x v="2"/>
    <x v="17"/>
    <s v="SK3T"/>
    <x v="401"/>
    <s v="S"/>
    <s v="N"/>
    <s v="S"/>
    <s v="N"/>
  </r>
  <r>
    <x v="2"/>
    <s v="020218"/>
    <s v="REGISTRO FESTEJOS TAURINOS TRADICIONALES"/>
    <s v="3 MESES"/>
    <x v="0"/>
    <x v="2"/>
    <x v="16"/>
    <s v="SK5U"/>
    <x v="402"/>
    <s v="N"/>
    <s v="N"/>
    <s v="S"/>
    <s v="N"/>
  </r>
  <r>
    <x v="2"/>
    <s v="020221"/>
    <s v="DEPOSITO DEL  PLAN DE ACTUACION Y CUENTAS ANUALES DE LA FUNDACION  Y LEGALIZACION DE LIBROS."/>
    <s v="LEGALIZACIÓN DE LIBROS: QUINCE DÍAS SIGUIENTES A LA PRESENTACIÓN DE LA SOLICITUD."/>
    <x v="2"/>
    <x v="2"/>
    <x v="15"/>
    <s v="SJO1"/>
    <x v="403"/>
    <s v="S"/>
    <s v="N"/>
    <s v="S"/>
    <s v="N"/>
  </r>
  <r>
    <x v="2"/>
    <s v="020228"/>
    <s v="RENDICION DE CUENTAS POR ASOCIACIONES DECLARADAS DE UTILIDAD PUBLICA"/>
    <s v=""/>
    <x v="2"/>
    <x v="2"/>
    <x v="15"/>
    <s v="SKDF"/>
    <x v="404"/>
    <s v="S"/>
    <s v="N"/>
    <s v="S"/>
    <s v="N"/>
  </r>
  <r>
    <x v="2"/>
    <s v="025130"/>
    <s v="SOLICITUDES DE INSCRIPCION EN EL REGISTRO DE MEDIADORES DE SEGUROS DE CASTILLA-LA MANCHA"/>
    <s v="3 MESES"/>
    <x v="0"/>
    <x v="2"/>
    <x v="20"/>
    <s v="SJ65"/>
    <x v="405"/>
    <s v="S"/>
    <s v="N"/>
    <s v="S"/>
    <s v="N"/>
  </r>
  <r>
    <x v="2"/>
    <s v="025131"/>
    <s v="PROCEDIMIENTOS DE MODIFICACION Y CERTIFICACION DE DATOS REGISTRALES"/>
    <s v="3 MESES"/>
    <x v="0"/>
    <x v="2"/>
    <x v="20"/>
    <s v="SJ64"/>
    <x v="406"/>
    <s v="S"/>
    <s v="N"/>
    <s v="S"/>
    <s v="N"/>
  </r>
  <r>
    <x v="2"/>
    <s v="025152"/>
    <s v="ALTA DE FACTURA ELECTRONICA DE LA JUNTA DE CASTILLA-LA MANCHA"/>
    <s v="6 MESES"/>
    <x v="0"/>
    <x v="2"/>
    <x v="22"/>
    <s v="SJJ7"/>
    <x v="407"/>
    <s v="N"/>
    <s v="N"/>
    <s v="S"/>
    <s v="N"/>
  </r>
  <r>
    <x v="2"/>
    <s v="025569"/>
    <s v="CANCELACION DE LOS DATOS INSCRITOS EN EL REGISTRO DE PLANES DE AUTOPROTECCION DE CASTILLA-LA MANCHA"/>
    <s v="3 MESES"/>
    <x v="0"/>
    <x v="2"/>
    <x v="16"/>
    <s v="SK73"/>
    <x v="408"/>
    <s v="N"/>
    <s v="N"/>
    <s v="S"/>
    <s v="N"/>
  </r>
  <r>
    <x v="2"/>
    <s v="025570"/>
    <s v="MODIFICACION DE LOS DATOS INSCRITOS EN EL REGISTRO DE PLANES DE AUTOPROTECCION DE CASTILLA-LA MANCHA"/>
    <s v="3 MESES"/>
    <x v="0"/>
    <x v="2"/>
    <x v="16"/>
    <s v="SK72"/>
    <x v="409"/>
    <s v="N"/>
    <s v="N"/>
    <s v="S"/>
    <s v="N"/>
  </r>
  <r>
    <x v="2"/>
    <s v="025571"/>
    <s v="INSCRIPCION EN EL REGISTRO DE PLANES DE AUTOPROTECCION DE CASTILLA-LA MANCHA"/>
    <s v="3 MESES"/>
    <x v="0"/>
    <x v="2"/>
    <x v="16"/>
    <s v="SK6W"/>
    <x v="410"/>
    <s v="N"/>
    <s v="N"/>
    <s v="S"/>
    <s v="N"/>
  </r>
  <r>
    <x v="2"/>
    <s v="030089"/>
    <s v="PREMIOS A LA EXCELENCIA Y CALIDAD DE LOS SERVICIOS PUBLICOS"/>
    <s v="6 MESES"/>
    <x v="3"/>
    <x v="2"/>
    <x v="15"/>
    <s v="SIM8"/>
    <x v="411"/>
    <s v="N"/>
    <s v="N"/>
    <s v="S"/>
    <s v="N"/>
  </r>
  <r>
    <x v="2"/>
    <s v="030095"/>
    <s v="AYUDAS PARA ACTUACIONES URGENTES E INCIDENCIAS IMPREVISIBLES CON CARGO AL FONDO REGIONAL DE COOPERACION LOCAL"/>
    <s v="3 MESES"/>
    <x v="1"/>
    <x v="2"/>
    <x v="15"/>
    <s v="SJ0W"/>
    <x v="412"/>
    <s v="N"/>
    <s v="N"/>
    <s v="S"/>
    <s v="N"/>
  </r>
  <r>
    <x v="2"/>
    <s v="030099"/>
    <s v="SUBVENCION DOTACION MEDIOS MATERIALES AGRUPACIONES DE VOLUNTARIOS/AS DE PROTECCION CIVIL"/>
    <s v="4 MESES"/>
    <x v="1"/>
    <x v="2"/>
    <x v="16"/>
    <s v="SILR"/>
    <x v="413"/>
    <s v="N"/>
    <s v="N"/>
    <s v="S"/>
    <s v="N"/>
  </r>
  <r>
    <x v="2"/>
    <s v="030100"/>
    <s v="ACTIVIDADES DE FORMACION INICIAL Y CONTINUA PARA PERSONAL DE POLICIA LOCAL, DE VIGILANCIA MUNICIPAL, BOMBERO/A, TECNICO Y  VOLUNTARIADO DE PROTECCION CIVIL."/>
    <s v=""/>
    <x v="1"/>
    <x v="2"/>
    <x v="16"/>
    <s v="SILP"/>
    <x v="414"/>
    <s v="S"/>
    <s v="N"/>
    <s v="S"/>
    <s v="N"/>
  </r>
  <r>
    <x v="2"/>
    <s v="030545"/>
    <s v="CONDECORACIONES DE AGENTES DE LOS CUERPOS DE POLICIA LOCAL DE CASTILLA-LA MANCHA"/>
    <s v="SIN PLAZO"/>
    <x v="1"/>
    <x v="2"/>
    <x v="16"/>
    <s v="SK5V"/>
    <x v="415"/>
    <s v="S"/>
    <s v="N"/>
    <s v="N"/>
    <s v="N"/>
  </r>
  <r>
    <x v="2"/>
    <s v="030590"/>
    <s v="SUBVENCIONES DIRIGIDAS A LAS ENTIDADES LOCALES DE CASTILLA-LA MANCHA PARA LA ELABORACION DE PLANES DE PROTECCION CIVIL DE AMBITO MUNICIPAL."/>
    <s v="4 MESES"/>
    <x v="1"/>
    <x v="2"/>
    <x v="16"/>
    <s v="SKEF"/>
    <x v="416"/>
    <s v="N"/>
    <s v="N"/>
    <s v="S"/>
    <s v="N"/>
  </r>
  <r>
    <x v="2"/>
    <s v="030685"/>
    <s v="CONVOCATORIA DE SUBVENCIONES DESTINADAS A LA FINANCIACION DE PLANES DE FORMACION PARA LOS EMPLEADOS PUBLICOS DE LAS ENTIDADES LOCALES EN EL MARCO DEL ACUERDO DE FORMACION PARA EL EMPLEO DE LAS ADMINISTRACIONES PUBLICAS (AFEDAP)."/>
    <s v="6 MESES."/>
    <x v="1"/>
    <x v="2"/>
    <x v="23"/>
    <s v="SKQX"/>
    <x v="417"/>
    <s v="N"/>
    <s v="N"/>
    <s v="S"/>
    <s v="N"/>
  </r>
  <r>
    <x v="2"/>
    <s v="030748"/>
    <s v="SOLICITUD CONVOCATORIA EXPRESIONES DE INTERES PARA LA SELECCION Y EJECUCION DE PROYECTOS, EN EL MARCO DEL PROGRAMA OPERATIVO FEDER CASTILLA-LA MANCHA 2014-2020, RELATIVAS A LA ADHESION DE PUNTOS DE INCLUSION DIGITAL DE AMBITO PROVINCIAL."/>
    <s v="4 M."/>
    <x v="1"/>
    <x v="2"/>
    <x v="21"/>
    <s v="SKZ1"/>
    <x v="418"/>
    <s v="N"/>
    <s v="N"/>
    <s v="S"/>
    <s v="N"/>
  </r>
  <r>
    <x v="2"/>
    <s v="030814"/>
    <s v="SOLICITUD CONVOCATORIA EXPRESIONES DE INTERES PARA LA SELECCION Y EJECUCION DE PROYECTOS, EN EL MARCO DEL PROGRAMA OPERATIVO FEDER CASTILLA-LA MANCHA 2014-2020, RELATIVAS A LA ADHESION DE PUNTOS DE INCLUSION DIGITAL DE AMBITO MUNICIPAL."/>
    <s v="4 M."/>
    <x v="1"/>
    <x v="2"/>
    <x v="21"/>
    <s v="SL5S"/>
    <x v="419"/>
    <s v="N"/>
    <s v="N"/>
    <s v="S"/>
    <s v="N"/>
  </r>
  <r>
    <x v="2"/>
    <s v="030937"/>
    <s v="USO DE LA GALERIA DE LA ESCUELA DE PROTECCION CIUDADANA DE CASTILLA-LA MANCHA, PARA REALIZAR PRACTICAS DE TIRO POLICIAL."/>
    <s v=""/>
    <x v="1"/>
    <x v="2"/>
    <x v="16"/>
    <s v="SK77"/>
    <x v="420"/>
    <s v="S"/>
    <s v="N"/>
    <s v="S"/>
    <s v="N"/>
  </r>
  <r>
    <x v="2"/>
    <s v="040073"/>
    <s v="APROBACION DE ESCUDOS HERALDICOS DE MUNICIPIOS"/>
    <s v="9 MESES"/>
    <x v="1"/>
    <x v="2"/>
    <x v="15"/>
    <s v="SJ8P"/>
    <x v="421"/>
    <s v="S"/>
    <s v="N"/>
    <s v="S"/>
    <s v="N"/>
  </r>
  <r>
    <x v="2"/>
    <s v="040074"/>
    <s v="APROBACION DE EXENCIÓN DE OBLIGACION DE MANTENIMIENTO DEL PUESTO DE SECRETARIA DE CORPORACIONES LOCALES"/>
    <s v="3 MESES"/>
    <x v="0"/>
    <x v="2"/>
    <x v="15"/>
    <s v="SJ8L"/>
    <x v="422"/>
    <s v="S"/>
    <s v="N"/>
    <s v="S"/>
    <s v="N"/>
  </r>
  <r>
    <x v="2"/>
    <s v="040075"/>
    <s v="CONSTITUCION Y DISOLUCION DE ENTIDADES DE AMBITO TERRITORIAL INFERIOR AL MUNICIPIO (ENTIDADES LOCALES MENORES)"/>
    <s v="6 MESES"/>
    <x v="1"/>
    <x v="2"/>
    <x v="15"/>
    <s v="N069, S069"/>
    <x v="423"/>
    <s v="S"/>
    <s v="N"/>
    <s v="S"/>
    <s v="N"/>
  </r>
  <r>
    <x v="2"/>
    <s v="040076"/>
    <s v="CREACION Y CLASIFICACION DE PUESTOS DE TRABAJO RESERVADOS A FUNCIONARIOS DE ADMINISTRACION LOCAL CON HABILITACION DE CARÁCTER ESTATAL"/>
    <s v="3 MESES"/>
    <x v="0"/>
    <x v="2"/>
    <x v="15"/>
    <s v="SJ8J"/>
    <x v="424"/>
    <s v="S"/>
    <s v="N"/>
    <s v="S"/>
    <s v="N"/>
  </r>
  <r>
    <x v="2"/>
    <s v="040077"/>
    <s v="DECLARACION DE URGENTE OCUPACION DE BIENES Y DERECHOS AFECTADOS POR EXPROPIACION FORZOSA EN EXPEDIENTES INSTRUIDOS POR CORPORACIONES LOCALES"/>
    <s v="9 MESES"/>
    <x v="1"/>
    <x v="2"/>
    <x v="15"/>
    <s v="SE98"/>
    <x v="425"/>
    <s v="S"/>
    <s v="N"/>
    <s v="S"/>
    <s v="N"/>
  </r>
  <r>
    <x v="2"/>
    <s v="040084"/>
    <s v="APROBACION DE LA DESAFECTACION DE BIENES COMUNALES DE LAS CORPORACIONES LOCALES"/>
    <s v="6 MESES"/>
    <x v="0"/>
    <x v="2"/>
    <x v="15"/>
    <s v="SJ8B"/>
    <x v="426"/>
    <s v="S"/>
    <s v="N"/>
    <s v="S"/>
    <s v="N"/>
  </r>
  <r>
    <x v="2"/>
    <s v="040085"/>
    <s v="CONDECORACIONES EN MATERIA DE PROTECCION CIVIL DE LA COMUNIDAD AUTONOMA DE CASTILLA-LA MANCHA"/>
    <s v="3 MESES"/>
    <x v="1"/>
    <x v="2"/>
    <x v="16"/>
    <s v="SILS"/>
    <x v="427"/>
    <s v="S"/>
    <s v="N"/>
    <s v="S"/>
    <s v="N"/>
  </r>
  <r>
    <x v="2"/>
    <s v="040169"/>
    <s v="EMISION DE CERTIFICADO DE ESTAR AL CORRIENTE DE LAS OBLIGACIONES TRIBUTARIAS"/>
    <s v="- CERTIFICADO PARA CONTRATOS, SUBVENCIONES O DEUDAS EN EJECUTIVA, 20 DÍAS, SALVO QUE LA NORMATIVA ESTABLEZCA OTRO INFERIOR. _x000d__x000a_- CERTIFICADOS DE ADQUISICIÓN DE EXPLOTACIONES, 3 MESES."/>
    <x v="1"/>
    <x v="2"/>
    <x v="17"/>
    <s v="NIM1, SIM1"/>
    <x v="428"/>
    <s v="S"/>
    <s v="N"/>
    <s v="S"/>
    <s v="N"/>
  </r>
  <r>
    <x v="2"/>
    <s v="040183"/>
    <s v="SOLICITUDES DE INFORMACION RELATIVAS A INCIDENTES GESTIONADOS EN EL SERVICIO DE EMERGENCIAS 112 DE CASTILLA-LA MANCHA"/>
    <s v="QUINCE DÍAS HÁBILES, SEGÚN LO DISPUESTO EN LA CARTA DE SERVICIOS."/>
    <x v="2"/>
    <x v="2"/>
    <x v="16"/>
    <s v="SJR8"/>
    <x v="429"/>
    <s v="S"/>
    <s v="N"/>
    <s v="S"/>
    <s v="N"/>
  </r>
  <r>
    <x v="2"/>
    <s v="040219"/>
    <s v="DECLARACIÓN DE UTILIDAD PÚBLICA (ASOCIACIONES)"/>
    <s v=""/>
    <x v="2"/>
    <x v="2"/>
    <x v="15"/>
    <s v="SJ7T"/>
    <x v="430"/>
    <s v="S"/>
    <s v="N"/>
    <s v="S"/>
    <s v="N"/>
  </r>
  <r>
    <x v="2"/>
    <s v="040220"/>
    <s v="LEGALIZACION DE FIRMAS"/>
    <s v="1 MES"/>
    <x v="1"/>
    <x v="2"/>
    <x v="18"/>
    <s v="SJNS"/>
    <x v="431"/>
    <s v="S"/>
    <s v="N"/>
    <s v="S"/>
    <s v="N"/>
  </r>
  <r>
    <x v="2"/>
    <s v="040222"/>
    <s v="REMISIÓN ELECTRÓNICA DE ACTOS Y ACUERDOS DE LAS ENTIDADES LOCALES A LA ADMINISTRACIÓN DE LA JUNTA DE COMUNIDADES DE CASTILLA-LA MANCHA"/>
    <s v=""/>
    <x v="2"/>
    <x v="2"/>
    <x v="15"/>
    <s v="SJUX"/>
    <x v="432"/>
    <s v="N"/>
    <s v="N"/>
    <s v="S"/>
    <s v="N"/>
  </r>
  <r>
    <x v="2"/>
    <s v="040241"/>
    <s v="OBTENCION PUBLICIDAD REGISTRAL FUNDACIONES"/>
    <s v="5 DIAS"/>
    <x v="2"/>
    <x v="2"/>
    <x v="15"/>
    <s v="SK0Y"/>
    <x v="433"/>
    <s v="S"/>
    <s v="N"/>
    <s v="S"/>
    <s v="N"/>
  </r>
  <r>
    <x v="2"/>
    <s v="040248"/>
    <s v="APROBACION DE CONSTITUCION DE AGRUPACIONES DE MUNICIPIOS PARA EL MANTENIMIENTO DE PUESTO DE SECRETARIO"/>
    <s v="6 MESES"/>
    <x v="0"/>
    <x v="2"/>
    <x v="15"/>
    <s v="NC04, SC04"/>
    <x v="434"/>
    <s v="N"/>
    <s v="N"/>
    <s v="N"/>
    <s v="N"/>
  </r>
  <r>
    <x v="2"/>
    <s v="040254"/>
    <s v="DECLARACION RESPONSABLE DE COMBINACION ALEATORIA"/>
    <s v="SIN PLAZO."/>
    <x v="1"/>
    <x v="2"/>
    <x v="17"/>
    <s v="DK3V"/>
    <x v="435"/>
    <s v="S"/>
    <s v="N"/>
    <s v="S"/>
    <s v="N"/>
  </r>
  <r>
    <x v="2"/>
    <s v="040262"/>
    <s v="SOLICITUD DE INFORMACION SOBRE EL VALOR A EFECTOS FISCALES DE BIENES RUSTICOS"/>
    <s v="3 MESES"/>
    <x v="2"/>
    <x v="2"/>
    <x v="17"/>
    <s v="SK8K"/>
    <x v="436"/>
    <s v="S"/>
    <s v="N"/>
    <s v="S"/>
    <s v="N"/>
  </r>
  <r>
    <x v="2"/>
    <s v="040265"/>
    <s v="CERTIFICADO  DE DENOMINACION NEGATIVA DE LA FUNDACION"/>
    <s v="3 MESES"/>
    <x v="2"/>
    <x v="2"/>
    <x v="15"/>
    <s v="S355"/>
    <x v="437"/>
    <s v="S"/>
    <s v="N"/>
    <s v="S"/>
    <s v="N"/>
  </r>
  <r>
    <x v="2"/>
    <s v="040284"/>
    <s v="OBTENCION DE PUBLICIDAD REGISTRAL SOBRE ASOCIACIONES"/>
    <s v=""/>
    <x v="2"/>
    <x v="2"/>
    <x v="15"/>
    <s v="SKDE"/>
    <x v="438"/>
    <s v="S"/>
    <s v="N"/>
    <s v="S"/>
    <s v="N"/>
  </r>
  <r>
    <x v="2"/>
    <s v="040285"/>
    <s v="CERTIFICACIONES ACREDITATIVAS DE FORMACION DE CONSUMIDORES RECONOCIDOS COMO EXPERTOS"/>
    <s v="PLAZO PARA CERTIFICACIONES, DIEZ DÍAS."/>
    <x v="2"/>
    <x v="2"/>
    <x v="16"/>
    <s v="SKDL"/>
    <x v="439"/>
    <s v="S"/>
    <s v="N"/>
    <s v="S"/>
    <s v="N"/>
  </r>
  <r>
    <x v="2"/>
    <s v="040286"/>
    <s v="CONVALIDACION DE CERTIFICACIONES ACREDITATIVAS DE FORMACION DE CONSUMIDORES RECONOCIDOS COMO EXPERTOS DE OTRA PROVINCIA U OTRA ADMINISTRACION."/>
    <s v="PLAZO PARA CERTIFICACIONES, DIEZ DÍAS."/>
    <x v="2"/>
    <x v="2"/>
    <x v="16"/>
    <s v="SKDM"/>
    <x v="440"/>
    <s v="S"/>
    <s v="N"/>
    <s v="S"/>
    <s v="N"/>
  </r>
  <r>
    <x v="2"/>
    <s v="040287"/>
    <s v="ENTIDADES EXTERNAS DE FORMACION DE CONSUMIDORES RECONOCIDOS COMO EXPERTOS"/>
    <s v="PLAZO PARA CERTIFICACIONES, DIEZ DÍAS."/>
    <x v="0"/>
    <x v="2"/>
    <x v="16"/>
    <s v="SKDN"/>
    <x v="441"/>
    <s v="S"/>
    <s v="N"/>
    <s v="S"/>
    <s v="N"/>
  </r>
  <r>
    <x v="2"/>
    <s v="040306"/>
    <s v="ACREDITACION DEL CUMPLIMIENTO DEL REQUISITO EXIGIDO POR EL ARTICULO.13.5 DE LA LEY ORGANICA 1/1996, DE 15 DE ENERO, DE PROTECCION JURIDICA DEL MENOR, MEDIANTE CERTIFICACION DEL REGISTRO CENTRAL DE DELINCUENTES SEXUALES"/>
    <s v=""/>
    <x v="2"/>
    <x v="2"/>
    <x v="18"/>
    <s v="SKN8"/>
    <x v="442"/>
    <s v="N"/>
    <s v="N"/>
    <s v="S"/>
    <s v="N"/>
  </r>
  <r>
    <x v="2"/>
    <s v="040329"/>
    <s v="OBTENCION CERTIFICADO DE EMPLEADA Y EMPLEADO PUBLICO"/>
    <s v=""/>
    <x v="2"/>
    <x v="2"/>
    <x v="18"/>
    <s v="SK0N"/>
    <x v="443"/>
    <s v="N"/>
    <s v="N"/>
    <s v="S"/>
    <s v="N"/>
  </r>
  <r>
    <x v="2"/>
    <s v="045322"/>
    <s v="INFORME, SOBRE EXISTENCIA DE FUNCIONARIO/A CON HABILITACION DE CARACTER ESTATAL INTERESADO/A EN LA PROVISION DEL PUESTO DE TRABAJO, PARA NOMBRAMIENTO ACCIDENTAL"/>
    <s v="3 MESES"/>
    <x v="1"/>
    <x v="2"/>
    <x v="15"/>
    <s v="SJ8M"/>
    <x v="444"/>
    <s v="S"/>
    <s v="N"/>
    <s v="S"/>
    <s v="N"/>
  </r>
  <r>
    <x v="2"/>
    <s v="045323"/>
    <s v="NOMBRAMIENTO PROVISIONAL EN PUESTOS RESERVADOS A FUNCIONARIOS/AS CON HABILITACION DE CARACTER ESTATAL"/>
    <s v="3 MESES"/>
    <x v="1"/>
    <x v="2"/>
    <x v="15"/>
    <s v="SJ8O"/>
    <x v="445"/>
    <s v="S"/>
    <s v="N"/>
    <s v="S"/>
    <s v="N"/>
  </r>
  <r>
    <x v="2"/>
    <s v="045324"/>
    <s v="COMISION DE SERVICIOS EN PUESTOS RESERVADOS A FUNCIONARIOS/AS CON HABILITACION DE CARACTER ESTATAL"/>
    <s v="3 MESES"/>
    <x v="1"/>
    <x v="2"/>
    <x v="15"/>
    <s v="SJ8K"/>
    <x v="446"/>
    <s v="N"/>
    <s v="N"/>
    <s v="S"/>
    <s v="N"/>
  </r>
  <r>
    <x v="2"/>
    <s v="045523"/>
    <s v="CERTIFICADO DE LOS CURSOS IMPARTIDOS EN LA ESCUELA DE ADMINISTRACION REGIONAL DE CASTILLA-LA MANCHA."/>
    <s v="5 DÍAS HÁBILES"/>
    <x v="2"/>
    <x v="2"/>
    <x v="18"/>
    <s v="CKVK"/>
    <x v="447"/>
    <s v="N"/>
    <s v="N"/>
    <s v="S"/>
    <s v="N"/>
  </r>
  <r>
    <x v="2"/>
    <s v="045524"/>
    <s v="CERTIFICADO DE LOS CURSOS REALIZADOS O PROMOVIDOS POR LA ESCUELA DE ADMINISTRACION REGIONAL."/>
    <s v="5 DÍAS HÁBILES"/>
    <x v="2"/>
    <x v="2"/>
    <x v="18"/>
    <s v="SK3S"/>
    <x v="448"/>
    <s v="S"/>
    <s v="N"/>
    <s v="S"/>
    <s v="N"/>
  </r>
  <r>
    <x v="2"/>
    <s v="045525"/>
    <s v="DECLARACION RESPONSABLE RENOVACION AUTORIZACION DE  JUEGOS PERMANENTES POR CANALES ELECTRONICOS, INFORMATICOS,  TELEMATICOS O INTERACTIVOS."/>
    <s v="SIN PLAZO."/>
    <x v="1"/>
    <x v="2"/>
    <x v="17"/>
    <s v="DK3Y"/>
    <x v="449"/>
    <s v="S"/>
    <s v="N"/>
    <s v="S"/>
    <s v="N"/>
  </r>
  <r>
    <x v="2"/>
    <s v="045526"/>
    <s v="DECLARACION RESPONSABLE DE MODIFICACION NO SUSTANCIAL DE HOMOLOGACION DE SISTEMAS TECNICOS DE JUEGO POR CANALES ELECTRONICOS, INFORMATICOS, TELEMATICOS O INTERACTIVOS."/>
    <s v="SIN PLAZO."/>
    <x v="1"/>
    <x v="2"/>
    <x v="17"/>
    <s v="DK3Z"/>
    <x v="450"/>
    <s v="S"/>
    <s v="N"/>
    <s v="S"/>
    <s v="N"/>
  </r>
  <r>
    <x v="2"/>
    <s v="045543"/>
    <s v="DECLARACION RESPONSABLE DE MODIFICACION NO SUSTANCIAL DE HOMOLOGACION DEL MATERIAL DE JUEGO."/>
    <s v="SIN PLAZO"/>
    <x v="1"/>
    <x v="2"/>
    <x v="17"/>
    <s v="DK4Z"/>
    <x v="451"/>
    <s v="S"/>
    <s v="N"/>
    <s v="S"/>
    <s v="N"/>
  </r>
  <r>
    <x v="2"/>
    <s v="045544"/>
    <s v="DECLARACION RESPONSABLE DE CAMBIO DE TITULAR DE LA AUTORIZACION INSTALACION DE ESTABLECIMIENTOS DE HOSTELERIA O SIMILAR."/>
    <s v="SIN PLAZO"/>
    <x v="1"/>
    <x v="2"/>
    <x v="17"/>
    <s v="DK50"/>
    <x v="452"/>
    <s v="S"/>
    <s v="N"/>
    <s v="S"/>
    <s v="N"/>
  </r>
  <r>
    <x v="2"/>
    <s v="045545"/>
    <s v="DECLARACION RESPONSABLE DE MODIFICACION  DE LOS SISTEMAS DE INTERCONEXIONADO"/>
    <s v="SIN PLAZO"/>
    <x v="1"/>
    <x v="2"/>
    <x v="17"/>
    <s v="DK51"/>
    <x v="453"/>
    <s v="S"/>
    <s v="N"/>
    <s v="S"/>
    <s v="N"/>
  </r>
  <r>
    <x v="2"/>
    <s v="045546"/>
    <s v="DECLARACION RESPONSABLE DE EMPLAZAMIENTO"/>
    <s v="SIN PLAZO"/>
    <x v="1"/>
    <x v="2"/>
    <x v="17"/>
    <s v="DK58"/>
    <x v="454"/>
    <s v="S"/>
    <s v="N"/>
    <s v="S"/>
    <s v="N"/>
  </r>
  <r>
    <x v="2"/>
    <s v="045547"/>
    <s v="DECLARACION RESPONSABLE DE CELEBRACION DE TORNEOS."/>
    <s v="SIN PLAZO"/>
    <x v="1"/>
    <x v="2"/>
    <x v="17"/>
    <s v="DK52"/>
    <x v="455"/>
    <s v="S"/>
    <s v="N"/>
    <s v="S"/>
    <s v="N"/>
  </r>
  <r>
    <x v="2"/>
    <s v="045548"/>
    <s v="DECLARACION RESPONSABLE DE PUESTA EN FUNCIONAMIENTO DE ESCUELA DE CRUPIERES"/>
    <s v="SIN PLAZO"/>
    <x v="1"/>
    <x v="2"/>
    <x v="17"/>
    <s v="DK53"/>
    <x v="456"/>
    <s v="S"/>
    <s v="N"/>
    <s v="S"/>
    <s v="N"/>
  </r>
  <r>
    <x v="2"/>
    <s v="045549"/>
    <s v="DATOS ESTADISTICOS EN MATERIA DE JUEGO."/>
    <s v="SIN PLAZO"/>
    <x v="1"/>
    <x v="2"/>
    <x v="17"/>
    <s v="DK54"/>
    <x v="457"/>
    <s v="S"/>
    <s v="N"/>
    <s v="S"/>
    <s v="N"/>
  </r>
  <r>
    <x v="2"/>
    <s v="045550"/>
    <s v="DECLARACION RESPONSABLE DE BAJA DEFINITIVA DE MAQUINAS DE JUEGO"/>
    <s v="SIN PLAZO"/>
    <x v="1"/>
    <x v="2"/>
    <x v="17"/>
    <s v="DK4T"/>
    <x v="458"/>
    <s v="S"/>
    <s v="N"/>
    <s v="S"/>
    <s v="N"/>
  </r>
  <r>
    <x v="2"/>
    <s v="045551"/>
    <s v="DECLARACION RESPONSABLE DE PUESTA EN FUNCIONAMIENTO"/>
    <s v="SIN PLAZO"/>
    <x v="1"/>
    <x v="2"/>
    <x v="17"/>
    <s v="DK4U"/>
    <x v="459"/>
    <s v="S"/>
    <s v="N"/>
    <s v="S"/>
    <s v="N"/>
  </r>
  <r>
    <x v="2"/>
    <s v="045552"/>
    <s v="DECLARACION RESPONSABLE DE RENOVACION DE LA AUTORIZACION DE  ZONAS DE APUESTAS."/>
    <s v="SIN PLAZO"/>
    <x v="1"/>
    <x v="2"/>
    <x v="17"/>
    <s v="DK4V"/>
    <x v="460"/>
    <s v="S"/>
    <s v="N"/>
    <s v="S"/>
    <s v="N"/>
  </r>
  <r>
    <x v="2"/>
    <s v="045553"/>
    <s v="DECLARACION RESPONSABLE DE RENOVACION DE LA AUTORIZACION DE EXPLOTACION DE MAQUINAS DE JUEGO"/>
    <s v="SIN PLAZO"/>
    <x v="1"/>
    <x v="2"/>
    <x v="17"/>
    <s v="DK4W"/>
    <x v="461"/>
    <s v="S"/>
    <s v="N"/>
    <s v="S"/>
    <s v="N"/>
  </r>
  <r>
    <x v="2"/>
    <s v="045554"/>
    <s v="DECLARACION RESPONSABLE DE RENOVACION ACTIVIDAD DE EMPRESAS DE JUEGO."/>
    <s v="SIN PLAZO"/>
    <x v="1"/>
    <x v="2"/>
    <x v="17"/>
    <s v="DK4X"/>
    <x v="462"/>
    <s v="S"/>
    <s v="N"/>
    <s v="S"/>
    <s v="N"/>
  </r>
  <r>
    <x v="2"/>
    <s v="045555"/>
    <s v="DECLARACION RESPONSABLE DE RENOVACION AUTORIZACION LABORATORIO DE ENSAYO"/>
    <s v="SIN PLAZO"/>
    <x v="1"/>
    <x v="2"/>
    <x v="17"/>
    <s v="DK4Y"/>
    <x v="463"/>
    <s v="S"/>
    <s v="N"/>
    <s v="S"/>
    <s v="N"/>
  </r>
  <r>
    <x v="2"/>
    <s v="045844"/>
    <s v="CONTROL FINANCIERO DE OPERACIONES COFINANCIADAS CON FONDOS ESTRUCTURALES Y FEMP."/>
    <s v="12 MESES"/>
    <x v="3"/>
    <x v="2"/>
    <x v="22"/>
    <s v="MKWG"/>
    <x v="464"/>
    <s v="S"/>
    <s v="N"/>
    <s v="S"/>
    <s v="N"/>
  </r>
  <r>
    <x v="2"/>
    <s v="045845"/>
    <s v="CERTIFICACION DE LAS CUENTAS DEL ORGANISMO PAGADOR (FEAGA/FEADER)"/>
    <s v="12 MESES"/>
    <x v="3"/>
    <x v="2"/>
    <x v="22"/>
    <s v="CKZU"/>
    <x v="465"/>
    <s v="S"/>
    <s v="N"/>
    <s v="S"/>
    <s v="N"/>
  </r>
  <r>
    <x v="2"/>
    <s v="045846"/>
    <s v="CONTROL FINANCIERO DE OPERACIONES COFINANCIADAS CON EL FONDO FEAGA."/>
    <s v="12 MESES"/>
    <x v="3"/>
    <x v="2"/>
    <x v="22"/>
    <s v="MKX4"/>
    <x v="466"/>
    <s v="N"/>
    <s v="N"/>
    <s v="S"/>
    <s v="N"/>
  </r>
  <r>
    <x v="2"/>
    <s v="050001"/>
    <s v="FIJACION DEL JUSTIPRECIO EN EXPROPIACION FORZOSA CUANDO LA ADMINISTRACION EXPROPIANTE SEA JCCM O CUALQUIERA DE LAS DIPUTACIONES O MUNICIPIOS"/>
    <s v="3 MESES"/>
    <x v="1"/>
    <x v="2"/>
    <x v="19"/>
    <s v="SJPX"/>
    <x v="467"/>
    <s v="S"/>
    <s v="N"/>
    <s v="S"/>
    <s v="N"/>
  </r>
  <r>
    <x v="2"/>
    <s v="060004"/>
    <s v="GESTION ELECTRONICA DE LA CONTRATACION"/>
    <s v=""/>
    <x v="2"/>
    <x v="2"/>
    <x v="19"/>
    <s v="SKL7"/>
    <x v="468"/>
    <s v="N"/>
    <s v="N"/>
    <s v="S"/>
    <s v="N"/>
  </r>
  <r>
    <x v="2"/>
    <s v="090002"/>
    <s v="TRAMITACION DE INICIATIVAS, QUEJAS Y SUGERENCIAS"/>
    <s v="15 DÍAS"/>
    <x v="3"/>
    <x v="2"/>
    <x v="15"/>
    <s v="SIZY"/>
    <x v="469"/>
    <s v="N"/>
    <s v="S"/>
    <s v="S"/>
    <s v="N"/>
  </r>
  <r>
    <x v="2"/>
    <s v="090004"/>
    <s v="CONSULTAS GENERICAS A LA JUNTA DE COMUNIDADES DE CASTILLA-LA MANCHA"/>
    <s v="15 DÍAS"/>
    <x v="3"/>
    <x v="2"/>
    <x v="15"/>
    <s v="SJH7"/>
    <x v="470"/>
    <s v="N"/>
    <s v="N"/>
    <s v="S"/>
    <s v="N"/>
  </r>
  <r>
    <x v="2"/>
    <s v="110006"/>
    <s v="CONCURSO GENERAL DE MERITOS DE PERSONAL FUNCIONARIO."/>
    <s v="8 MESES DESDE LA PUBLICACIÓN."/>
    <x v="1"/>
    <x v="2"/>
    <x v="18"/>
    <s v="RIW5, SIW5"/>
    <x v="471"/>
    <s v="S"/>
    <s v="N"/>
    <s v="S"/>
    <s v="N"/>
  </r>
  <r>
    <x v="2"/>
    <s v="110007"/>
    <s v="NOMBRAMIENTO DE FUNCIONARIOS DE NUEVO INGRESO DE LA JUNTA DE COMUNIDADES Y PETICION DE DESTINO"/>
    <s v="3 MESES"/>
    <x v="1"/>
    <x v="2"/>
    <x v="18"/>
    <s v="SIHJ"/>
    <x v="472"/>
    <s v="S"/>
    <s v="N"/>
    <s v="S"/>
    <s v="N"/>
  </r>
  <r>
    <x v="2"/>
    <s v="110009"/>
    <s v="OFERTA A PERSONAL DE BOLSA DE TRABAJO DE FUNCIONARIOS INTERINOS"/>
    <s v="1 DÍA"/>
    <x v="1"/>
    <x v="2"/>
    <x v="18"/>
    <s v="SJOX"/>
    <x v="473"/>
    <s v="S"/>
    <s v="N"/>
    <s v="S"/>
    <s v="N"/>
  </r>
  <r>
    <x v="2"/>
    <s v="110011"/>
    <s v="SELECCIÓN PARA LISTA DE ESPERA DE FUNCIONARIOS DE ADMINISTRACION LOCAL CON HABILITACION DE CARÁCTER ESTATAL: SUBESCALA DE SECRETARIA-INTERVENCION"/>
    <s v="3 MESES"/>
    <x v="1"/>
    <x v="2"/>
    <x v="15"/>
    <s v="SJ8U"/>
    <x v="474"/>
    <s v="N"/>
    <s v="N"/>
    <s v="S"/>
    <s v="N"/>
  </r>
  <r>
    <x v="2"/>
    <s v="110027"/>
    <s v="CONVOCATORIA  PROCESO SELECTIVO PARA EL INGRESO POR EL SISTEMA GENERAL DE ACCESO LIBRE, EN LA ESCALA SUPERIOR DE LETRADOS DE LA ADMINISTRACION DE LA JUNTA DE COMUNIDADES DE CASTILLA-LA MANCHA."/>
    <s v="SEGÚN CONVOCATORIA"/>
    <x v="1"/>
    <x v="2"/>
    <x v="18"/>
    <s v="SIXF"/>
    <x v="475"/>
    <s v="S"/>
    <s v="N"/>
    <s v="S"/>
    <s v="N"/>
  </r>
  <r>
    <x v="2"/>
    <s v="110035"/>
    <s v="CONVOCATORIA   PROCESO SELECTIVO PARA EL INGRESO POR EL SISTEMA GENERAL DE ACCESO LIBRE Y DE PERSONAS CON DISCAPACIDAD, CUERPO SUPERIOR DE LA ADMINISTRACION DE LA JUNTA DE COMUNIDADES DE CASTILLA-LA MANCHA, ESCALA SUPERIOR DE SANITARIOS LOCALES: VETERINAR"/>
    <s v="SEGÚN CONVOCATORIA"/>
    <x v="1"/>
    <x v="2"/>
    <x v="23"/>
    <s v="SE05"/>
    <x v="476"/>
    <s v="S"/>
    <s v="N"/>
    <s v="S"/>
    <s v="N"/>
  </r>
  <r>
    <x v="2"/>
    <s v="110042"/>
    <s v="PROCESO SELECTIVO PARA EL INGRESO POR EL SISTEMA DE ACCESO LIBRE EN LA ESCALA BASICA, CATEGORIA DE POLICIA, DE LOS CUERPOS DE POLICIA LOCAL DE CASTILLA-LA MANCHA"/>
    <s v="3 MESES"/>
    <x v="1"/>
    <x v="2"/>
    <x v="16"/>
    <s v="SLFA"/>
    <x v="477"/>
    <s v="S"/>
    <s v="N"/>
    <s v="S"/>
    <s v="N"/>
  </r>
  <r>
    <x v="2"/>
    <s v="110050"/>
    <s v="PROCESOS SELECTIVOS PARA EL ACCESO DE PERSONAS CON DISCAPACIDAD INTELECTUAL EN EL CUERPO AUXILIAR ADMINISTRATIVO Y EN LA ESCALA AUXILIAR DE ARCHIVOS Y BIBLIOTECAS DE PERSONAL FUNCIONARIO."/>
    <s v="9 MESES"/>
    <x v="1"/>
    <x v="2"/>
    <x v="24"/>
    <s v="SLIL"/>
    <x v="478"/>
    <s v="S"/>
    <s v="N"/>
    <s v="S"/>
    <s v="N"/>
  </r>
  <r>
    <x v="2"/>
    <s v="110051"/>
    <s v="PROCESOS SELECTIVOS PARA EL ACCESO DE PERSONAS CON DISCAPACIDAD INTELECTUAL EN LAS CATEGORIAS PROFESIONALES DE PERSONAL DE LIMPIEZA Y SERVICIOS DOMESTICOS Y PEON ESPECIALISTA DE PERSONAL LABORAL."/>
    <s v="9 MESES"/>
    <x v="1"/>
    <x v="2"/>
    <x v="23"/>
    <s v="SLIN"/>
    <x v="479"/>
    <s v="S"/>
    <s v="N"/>
    <s v="S"/>
    <s v="N"/>
  </r>
  <r>
    <x v="2"/>
    <s v="110055"/>
    <s v="PROCESO SELECTIVO PARA LA AMPLIACION DE LA BOLSA DE TRABAJO DE PERSONAL FUNCIONARIO DEL CUERPO SUPERIOR ESPECIALIDAD JURIDICA"/>
    <s v="6 MESES"/>
    <x v="1"/>
    <x v="2"/>
    <x v="18"/>
    <s v="SLKW"/>
    <x v="480"/>
    <s v="S"/>
    <s v="N"/>
    <s v="S"/>
    <s v="N"/>
  </r>
  <r>
    <x v="2"/>
    <s v="110056"/>
    <s v="PROCESO SELECTIVO PARA LA AMPLIACION DE LA BOLSA DE TRABAJO DE PERSONAL FUNCIONARIO DEL CUERPO TECNICO ESPECIALIDAD GESTION ADMINISTRATIVA."/>
    <s v="6 MESES."/>
    <x v="1"/>
    <x v="2"/>
    <x v="18"/>
    <s v="SLKY"/>
    <x v="481"/>
    <s v="S"/>
    <s v="N"/>
    <s v="S"/>
    <s v="N"/>
  </r>
  <r>
    <x v="2"/>
    <s v="110094"/>
    <s v="PROCESO SELECTIVO PARA LA AMPLIACION DE LA LISTA DE ESPERA REGIONAL PARA NOMBRAMIENTOS DE INTERVENCION-TESORERIA, CATEGORIA DE ENTRADA,  EN REGIMEN DE INTERINIDAD."/>
    <s v=""/>
    <x v="2"/>
    <x v="2"/>
    <x v="24"/>
    <s v="SLWD"/>
    <x v="482"/>
    <s v="S"/>
    <s v="N"/>
    <s v="S"/>
    <s v="N"/>
  </r>
  <r>
    <x v="2"/>
    <s v="110095"/>
    <s v="PROCESO SELECTIVO PARA LA AMPLIACION DE LA LISTA DE ESPERA REGIONAL PARA NOMBRAMIENTOS DE SECRETARIA, CATEGORIA DE ENTRADA EN REGIMEN DE INTERINIDAD."/>
    <s v=""/>
    <x v="2"/>
    <x v="2"/>
    <x v="24"/>
    <s v="SLWE"/>
    <x v="483"/>
    <s v="S"/>
    <s v="N"/>
    <s v="S"/>
    <s v="N"/>
  </r>
  <r>
    <x v="2"/>
    <s v="115365"/>
    <s v="PROCESOS SELECTIVOS PERSONAL FUNCIONARIO O LABORAL"/>
    <s v="SEGÚN CONVOCATORIA"/>
    <x v="1"/>
    <x v="2"/>
    <x v="18"/>
    <s v="SIAE"/>
    <x v="484"/>
    <s v="S"/>
    <s v="N"/>
    <s v="S"/>
    <s v="N"/>
  </r>
  <r>
    <x v="2"/>
    <s v="115366"/>
    <s v="VERIFICAR LA IDENTIDAD DE LAS PERSONAS QUE INGRESAN EN LA ADMINISTRACION MEDIANTE PROCESO SELECTIVO"/>
    <s v="SEGÚN CONVOCATORIA"/>
    <x v="1"/>
    <x v="2"/>
    <x v="18"/>
    <s v="SJNR"/>
    <x v="485"/>
    <s v="N"/>
    <s v="N"/>
    <s v="S"/>
    <s v="N"/>
  </r>
  <r>
    <x v="2"/>
    <s v="115367"/>
    <s v="CONVOCATORIA PROCESOS SELECTIVOS PARA LA COBERTURA, CON CARACTER FIJO Y POR EL SISTEMA GENERAL ACCESO DE PERSONAS CON DISCAPACIDAD, DE VACANTES  CORRESPONDIENTES A LA PLANTILLA DE PERSONAL LABORAL."/>
    <s v="SEGÚN CONVOCATORIA"/>
    <x v="1"/>
    <x v="2"/>
    <x v="23"/>
    <s v="SJOY"/>
    <x v="486"/>
    <s v="S"/>
    <s v="N"/>
    <s v="S"/>
    <s v="N"/>
  </r>
  <r>
    <x v="2"/>
    <s v="115368"/>
    <s v="CONVOCATORIA PROCESOS SELECTIVOS PARA LA COBERTURA, CON CARACTER FIJO Y POR EL SISTEMA DE PROMOCION INTERNA DE PUESTOS VACANTES CORRESPONDIENTES A LA PLANTILLA DE PERSONAL LABORAL."/>
    <s v="SEGÚN CONVOCATORIA"/>
    <x v="1"/>
    <x v="2"/>
    <x v="23"/>
    <s v="SIGO"/>
    <x v="487"/>
    <s v="S"/>
    <s v="N"/>
    <s v="S"/>
    <s v="N"/>
  </r>
  <r>
    <x v="2"/>
    <s v="115369"/>
    <s v="CONVOCATORIA PROCESOS SELECTIVOS PARA LA COBERTURA, CON CARACTER FIJO Y POR EL SISTEMA GENERAL DE ACCESO LIBRE, DE PUESTOS VACANTES CORRESPONDIENTES A LA PLANTILLA DE PERSONAL LABORAL."/>
    <s v="SEGÚN CONVOCATORIA"/>
    <x v="1"/>
    <x v="2"/>
    <x v="23"/>
    <s v="SF11"/>
    <x v="488"/>
    <s v="S"/>
    <s v="N"/>
    <s v="S"/>
    <s v="N"/>
  </r>
  <r>
    <x v="2"/>
    <s v="115370"/>
    <s v="CONVOCATORIAS  PROCESOS  SELECTIVOS PARA EL INGRESO POR EL SISTEMA GENERAL DE ACCESO LIBRE EN LOS CUERPOS Y ESCALAS DEL PERSONAL FUNCIONARIO."/>
    <s v="SEGÚN CONVOCATORIA"/>
    <x v="1"/>
    <x v="2"/>
    <x v="23"/>
    <s v="S598"/>
    <x v="489"/>
    <s v="S"/>
    <s v="N"/>
    <s v="S"/>
    <s v="N"/>
  </r>
  <r>
    <x v="2"/>
    <s v="115371"/>
    <s v="CONVOCATORIAS  PROCESOS  SELECTIVOS PARA EL INGRESO POR EL SISTEMA GENERAL DE ACCESO DE PERSONAS CON DISCAPACIDAD  EN LOS CUERPOS Y ESCALAS DEL PERSONAL FUNCIONARIO."/>
    <s v="SEGÚN CONVOCATORIA"/>
    <x v="1"/>
    <x v="2"/>
    <x v="23"/>
    <s v="SJJ4"/>
    <x v="490"/>
    <s v="S"/>
    <s v="N"/>
    <s v="S"/>
    <s v="N"/>
  </r>
  <r>
    <x v="2"/>
    <s v="115372"/>
    <s v="CONVOCATORIAS  PROCESOS  SELECTIVOS PARA EL INGRESO POR EL SISTEMA  DE PROMOCION INTERNA DIRECTA EN EL PUESTO  EN LOS CUERPOS Y ESCALAS DEL PERSONAL FUNCIONARIO."/>
    <s v="SEGÚN CONVOCATORIA"/>
    <x v="1"/>
    <x v="2"/>
    <x v="23"/>
    <s v="SI12"/>
    <x v="491"/>
    <s v="S"/>
    <s v="N"/>
    <s v="S"/>
    <s v="N"/>
  </r>
  <r>
    <x v="2"/>
    <s v="115373"/>
    <s v="SOLICITUD DE DESTINOS PROCESOS SELECTIVOS LABORALES."/>
    <s v="SEGÚN CONVOCATORIA"/>
    <x v="1"/>
    <x v="2"/>
    <x v="18"/>
    <s v="SH71"/>
    <x v="492"/>
    <s v="S"/>
    <s v="N"/>
    <s v="S"/>
    <s v="N"/>
  </r>
  <r>
    <x v="2"/>
    <s v="115683"/>
    <s v="PROCESO SELECTIVO PARA LA AMPLIACION DE LA LISTA DE ESPERA REGIONAL PARA NOMBRAMIENTOS DE SECRETARIA-INTERVENCION EN REGIMEN DE INTERINIDAD."/>
    <s v=""/>
    <x v="1"/>
    <x v="2"/>
    <x v="15"/>
    <s v="SKK4"/>
    <x v="493"/>
    <s v="N"/>
    <s v="N"/>
    <s v="S"/>
    <s v="N"/>
  </r>
  <r>
    <x v="2"/>
    <s v="120053"/>
    <s v="PROTOCOLO DE ACTUACION PARA LA PROTECCION FRENTE A RIESGOS LABORALES DE LAS TRABAJADORAS EN ESTADO DE GESTACION, MATERNIDAD RECIENTE Y/O PERIODO DE LACTANCIA NATURAL"/>
    <s v=""/>
    <x v="1"/>
    <x v="2"/>
    <x v="18"/>
    <s v="SL5V"/>
    <x v="494"/>
    <s v="N"/>
    <s v="N"/>
    <s v="S"/>
    <s v="N"/>
  </r>
  <r>
    <x v="2"/>
    <s v="130008"/>
    <s v="RECLAMACION DE RESPONSABILIDAD PATRIMONIAL DE LA CONSEJERIA DE HACIENDA Y ADMINISTRACIONES PUBLICAS"/>
    <s v="SEIS MESES. EN CASO DE TRAMITACIÓN SIMPLIFICADA, 30 DÍAS."/>
    <x v="1"/>
    <x v="2"/>
    <x v="19"/>
    <s v="RLY7"/>
    <x v="495"/>
    <s v="N"/>
    <s v="N"/>
    <s v="S"/>
    <s v="N"/>
  </r>
  <r>
    <x v="2"/>
    <s v="140012"/>
    <s v="RECURSO DE ALZADA ANTE ORGANOS DE LA ADMINISTRACION DE LA JCCM"/>
    <s v="3 MESES"/>
    <x v="1"/>
    <x v="2"/>
    <x v="24"/>
    <s v="RKGU"/>
    <x v="496"/>
    <s v="S"/>
    <s v="N"/>
    <s v="S"/>
    <s v="N"/>
  </r>
  <r>
    <x v="2"/>
    <s v="140013"/>
    <s v="RECURSO DE REPOSICION ANTE ORGANOS DE LA ADMINISTRACION DE LA JUNTA Y SUS ORGANISMOS AUTONOMOS. (EXCEPTO EN MATERIA TRIBUTARIA)"/>
    <s v="1 MES"/>
    <x v="1"/>
    <x v="2"/>
    <x v="24"/>
    <s v="RKGW"/>
    <x v="497"/>
    <s v="S"/>
    <s v="N"/>
    <s v="S"/>
    <s v="N"/>
  </r>
  <r>
    <x v="2"/>
    <s v="140024"/>
    <s v="RECURSO EXTRAORDINARIO DE REVISION ANTE ORGANOS DE LA ADMINISTRACION DE LA JUNTA Y SUS ORGANISMOS AUTONOMOS."/>
    <s v="3 MESES"/>
    <x v="1"/>
    <x v="2"/>
    <x v="19"/>
    <s v="RKQT"/>
    <x v="498"/>
    <s v="S"/>
    <s v="N"/>
    <s v="S"/>
    <s v="N"/>
  </r>
  <r>
    <x v="2"/>
    <s v="145459"/>
    <s v="RECLAMACION CONTRA LA ADJUDICACION PROVISIONAL DE DESTINOS DEL CONCURSO SINGULARIZADO DE MERITOS ESCALAS SUPERIOR Y TECNICA DE ARCHIVOS, BIBLIOTECAS Y MUSEOS"/>
    <s v="8 MESES"/>
    <x v="1"/>
    <x v="2"/>
    <x v="18"/>
    <s v="SK94"/>
    <x v="499"/>
    <s v="S"/>
    <s v="N"/>
    <s v="S"/>
    <s v="N"/>
  </r>
  <r>
    <x v="2"/>
    <s v="150022"/>
    <s v="ADHESION AL CONVENIO DE COLABORACION AGE-JCCM PARA LA PRESTACION MUTUA DE SOLUCIONES BASICAS DE ADMINISTRACION ELECTRONICA"/>
    <s v="1 MES"/>
    <x v="0"/>
    <x v="2"/>
    <x v="21"/>
    <s v="SKJO"/>
    <x v="500"/>
    <s v="N"/>
    <s v="N"/>
    <s v="S"/>
    <s v="N"/>
  </r>
  <r>
    <x v="2"/>
    <s v="150025"/>
    <s v="PROCEDIMIENTO DE ADHESION DE LAS ENTIDADES LOCALES DE CASTILLA-LA MANCHA A LA PLATAFORMA GEISER / ORVE, COMO MECANISMO DE ACCESO AL REGISTRO ELECTRONICO Y AL SIR"/>
    <s v="3 MESES"/>
    <x v="3"/>
    <x v="2"/>
    <x v="15"/>
    <s v="SKTQ"/>
    <x v="501"/>
    <s v="N"/>
    <s v="N"/>
    <s v="S"/>
    <s v="N"/>
  </r>
  <r>
    <x v="2"/>
    <s v="170001"/>
    <s v="IMPUESTO SOBRE DETERMINADAS ACTIVIDADES QUE INCIDEN EN EL MEDIO AMBIENTE"/>
    <s v="0"/>
    <x v="2"/>
    <x v="2"/>
    <x v="17"/>
    <s v="SIII"/>
    <x v="502"/>
    <s v="N"/>
    <s v="N"/>
    <s v="S"/>
    <s v="N"/>
  </r>
  <r>
    <x v="2"/>
    <s v="170002"/>
    <s v="TASA FISCAL SOBRE EL JUEGO"/>
    <s v="0"/>
    <x v="2"/>
    <x v="2"/>
    <x v="17"/>
    <s v="SILU"/>
    <x v="503"/>
    <s v="N"/>
    <s v="N"/>
    <s v="S"/>
    <s v="N"/>
  </r>
  <r>
    <x v="2"/>
    <s v="170003"/>
    <s v="IMPUESTO SOBRE TRANSMISIONES PATRIMONIALES Y ACTOS JURIDICOS DOCUMENTADOS: OPERACIONES SOCIETARIAS"/>
    <s v="0"/>
    <x v="2"/>
    <x v="2"/>
    <x v="17"/>
    <s v="SILW"/>
    <x v="504"/>
    <s v="N"/>
    <s v="N"/>
    <s v="S"/>
    <s v="S"/>
  </r>
  <r>
    <x v="2"/>
    <s v="170004"/>
    <s v="TASA FISCAL SOBRE RIFAS, TÓMBOLAS, APUESTAS Y COMBINACIONES ALEATORIAS"/>
    <s v="0"/>
    <x v="2"/>
    <x v="2"/>
    <x v="17"/>
    <s v="SILX"/>
    <x v="505"/>
    <s v="N"/>
    <s v="N"/>
    <s v="S"/>
    <s v="N"/>
  </r>
  <r>
    <x v="2"/>
    <s v="170007"/>
    <s v="IMPUESTO SOBRE TRANSMISIONES PATRIMONIALES Y ACTOS JURIDICOS DOCUMENTADOS: ACTOS JURIDICOS DOCUMENTADOS"/>
    <s v="0"/>
    <x v="2"/>
    <x v="2"/>
    <x v="17"/>
    <s v="SIM0"/>
    <x v="506"/>
    <s v="N"/>
    <s v="N"/>
    <s v="S"/>
    <s v="S"/>
  </r>
  <r>
    <x v="2"/>
    <s v="170008"/>
    <s v="TRANSMISIONES PATRIMONIALES ONEROSAS"/>
    <s v="0"/>
    <x v="2"/>
    <x v="2"/>
    <x v="17"/>
    <s v="SIM3"/>
    <x v="507"/>
    <s v="N"/>
    <s v="N"/>
    <s v="S"/>
    <s v="S"/>
  </r>
  <r>
    <x v="2"/>
    <s v="170013"/>
    <s v="IMPUESTO SOBRE SUCESIONES Y DONACIONES: SUCESIONES-AUTOLIQUIDACIONES DE SUCESIONES"/>
    <s v=""/>
    <x v="2"/>
    <x v="2"/>
    <x v="17"/>
    <s v="SJP5"/>
    <x v="508"/>
    <s v="N"/>
    <s v="N"/>
    <s v="S"/>
    <s v="N"/>
  </r>
  <r>
    <x v="2"/>
    <s v="170014"/>
    <s v="IMPUESTO SOBRE SUCESIONES Y DONACIONES: DONACIONES- AUTOLIQUIDACIÓN DE DONACIONES"/>
    <s v=""/>
    <x v="2"/>
    <x v="2"/>
    <x v="17"/>
    <s v="SJP6"/>
    <x v="509"/>
    <s v="N"/>
    <s v="N"/>
    <s v="S"/>
    <s v="N"/>
  </r>
  <r>
    <x v="2"/>
    <s v="170020"/>
    <s v="DEVOLUCION DE INGRESOS INDEBIDOS"/>
    <s v="6 MESES"/>
    <x v="1"/>
    <x v="2"/>
    <x v="17"/>
    <s v="SKCJ"/>
    <x v="510"/>
    <s v="S"/>
    <s v="N"/>
    <s v="S"/>
    <s v="N"/>
  </r>
  <r>
    <x v="2"/>
    <s v="170024"/>
    <s v="RECURSO DE REPOSICION CONTRA ACTOS TRIBUTARIOS Y RECAUDATORIOS"/>
    <s v="UN MES AMPLIABLE A TRES MESES"/>
    <x v="1"/>
    <x v="2"/>
    <x v="17"/>
    <s v="NKN4, SKN4"/>
    <x v="511"/>
    <s v="S"/>
    <s v="N"/>
    <s v="S"/>
    <s v="N"/>
  </r>
  <r>
    <x v="2"/>
    <s v="170025"/>
    <s v="COMPENSACION DE DEUDAS"/>
    <s v="6 MESES"/>
    <x v="1"/>
    <x v="2"/>
    <x v="17"/>
    <s v="NKN5, SKN5"/>
    <x v="512"/>
    <s v="S"/>
    <s v="N"/>
    <s v="S"/>
    <s v="N"/>
  </r>
  <r>
    <x v="2"/>
    <s v="170026"/>
    <s v="TASACION PERICIAL CONTRADICTORIA"/>
    <s v="6 MESES"/>
    <x v="3"/>
    <x v="2"/>
    <x v="17"/>
    <s v="NKN6, SKN6"/>
    <x v="513"/>
    <s v="S"/>
    <s v="N"/>
    <s v="S"/>
    <s v="N"/>
  </r>
  <r>
    <x v="2"/>
    <s v="170027"/>
    <s v="RECURSO DE EJECUCION ECONOMICO-ADMINISTRATIVO EN MATERIA DE TRIBUTOS CEDIDOS."/>
    <s v="LA DURACIÓN DEL PROCEDIMIENTO SERÁ DE UN AÑO"/>
    <x v="1"/>
    <x v="2"/>
    <x v="17"/>
    <s v="SKNY"/>
    <x v="514"/>
    <s v="S"/>
    <s v="N"/>
    <s v="S"/>
    <s v="N"/>
  </r>
  <r>
    <x v="2"/>
    <s v="170028"/>
    <s v="RECLAMACION ECONOMICO ADMINISTRATIVA EN MATERIA DE TRIBUTOS CEDIDOS."/>
    <s v="LA DURACIÓN DEL PROCEDIMIENTO EN CUALQUIERA DE SUS INSTANCIAS SERÁ DE UN AÑO CONTADO DESDE LA INTERPOSICIÓN DE LA RECLAMACIÓN."/>
    <x v="1"/>
    <x v="2"/>
    <x v="17"/>
    <s v="SKNZ"/>
    <x v="515"/>
    <s v="S"/>
    <s v="N"/>
    <s v="S"/>
    <s v="N"/>
  </r>
  <r>
    <x v="2"/>
    <s v="170031"/>
    <s v="RECLAMACION ECONOMICO ADMINISTRATIVA CONTRA ACTOS TRIBUTARIOS O RECAUDATORIOS EN MATERIA DE RECURSOS PROPIOS (EXCEPTO TRIBUTOS CEDIDOS)"/>
    <s v="LA DURACIÓN DEL PROCEDIMIENTO EN CUALQUIERA DE SUS INSTANCIAS SERÁ DE UN AÑO CONTADO DESDE LA INTERPOSICIÓN DE LA RECLAMACIÓN."/>
    <x v="1"/>
    <x v="2"/>
    <x v="17"/>
    <s v="SKOU"/>
    <x v="516"/>
    <s v="S"/>
    <s v="N"/>
    <s v="S"/>
    <s v="N"/>
  </r>
  <r>
    <x v="2"/>
    <s v="170037"/>
    <s v="ADHESION INDIVIDUALIZADA A UN ACUERDO O CONVENIO DE COLABORACION SOCIAL EN LA APLICACION DE LOS TRIBUTOS"/>
    <s v="3 MESES"/>
    <x v="0"/>
    <x v="2"/>
    <x v="17"/>
    <s v="SL9U"/>
    <x v="517"/>
    <s v="N"/>
    <s v="N"/>
    <s v="S"/>
    <s v="N"/>
  </r>
  <r>
    <x v="2"/>
    <s v="175578"/>
    <s v="INFORMACION SOBRE EL VALOR A EFECTOS FISCALES DE EDIFICACIONES"/>
    <s v="3 MESES"/>
    <x v="1"/>
    <x v="2"/>
    <x v="17"/>
    <s v="SK87"/>
    <x v="518"/>
    <s v="S"/>
    <s v="N"/>
    <s v="S"/>
    <s v="N"/>
  </r>
  <r>
    <x v="2"/>
    <s v="175579"/>
    <s v="INFORMACION SOBRE EL VALOR A EFECTOS FISCALES DE SUELOS SIN EDIFICAR"/>
    <s v="3 MESES"/>
    <x v="1"/>
    <x v="2"/>
    <x v="17"/>
    <s v="SK88"/>
    <x v="519"/>
    <s v="S"/>
    <s v="N"/>
    <s v="S"/>
    <s v="N"/>
  </r>
  <r>
    <x v="2"/>
    <s v="175619"/>
    <s v="APLAZAMIENTO O FRACCIONAMIENTO DEL PAGO DE DEUDAS DERIVADAS DE TRIBUTOS CEDIDOS"/>
    <s v="6 MESES"/>
    <x v="1"/>
    <x v="2"/>
    <x v="17"/>
    <s v="SKEB"/>
    <x v="520"/>
    <s v="S"/>
    <s v="N"/>
    <s v="N"/>
    <s v="N"/>
  </r>
  <r>
    <x v="2"/>
    <s v="175620"/>
    <s v="APLAZAMIENTO O FRACCIONAMIENTO DEL PAGO DE DEUDAS (EXCEPTO TRIBUTOS CEDIDOS)"/>
    <s v="6 MESES"/>
    <x v="1"/>
    <x v="2"/>
    <x v="17"/>
    <s v="SKEC"/>
    <x v="521"/>
    <s v="S"/>
    <s v="N"/>
    <s v="N"/>
    <s v="N"/>
  </r>
  <r>
    <x v="2"/>
    <s v="180001"/>
    <s v="CURSOS DE FORMACION A DISTANCIA Y ON LINE"/>
    <s v="1 año"/>
    <x v="1"/>
    <x v="2"/>
    <x v="18"/>
    <s v="SJ0K"/>
    <x v="522"/>
    <s v="N"/>
    <s v="N"/>
    <s v="S"/>
    <s v="N"/>
  </r>
  <r>
    <x v="2"/>
    <s v="180003"/>
    <s v="CONVOCATORIA DEL PROGRAMA DE FORMACION EN IDIOMAS DENTRO DEL PLAN DE FORMACION PARA LOS EMPLEADOS PUBLICOS DE LA ADMINISTRACION DE LA JUNTA DE COMUNIDADES DE CASTILLA-LA MANCHA"/>
    <s v="LAS SOLICITUDES SERÁN RESUELTAS Y NOTIFICADAS EN EL PLAZO MÍNIMO DE LOS DIEZ DÍAS NATURALES ANTERIORES AL INICIO DE LA ACCIÓN FORMATIVA, SALVO CUANDO LA SELECCIÓN DE UNA PERSONA PARTICIPANTE SE DEBA A LA RENUNCIA DE OTRA PERSONA PREVIAMENTE SELECCIONADA."/>
    <x v="1"/>
    <x v="2"/>
    <x v="23"/>
    <s v="NF25, SF25"/>
    <x v="523"/>
    <s v="N"/>
    <s v="N"/>
    <s v="S"/>
    <s v="N"/>
  </r>
  <r>
    <x v="2"/>
    <s v="180005"/>
    <s v="CURSOS DE OFIMATICA"/>
    <s v="1 AÑO"/>
    <x v="1"/>
    <x v="2"/>
    <x v="18"/>
    <s v="SF29"/>
    <x v="524"/>
    <s v="N"/>
    <s v="N"/>
    <s v="S"/>
    <s v="N"/>
  </r>
  <r>
    <x v="2"/>
    <s v="180006"/>
    <s v="CURSOS DE PERFECCIONAMIENTO GENERAL"/>
    <s v="1 AÑO"/>
    <x v="1"/>
    <x v="2"/>
    <x v="18"/>
    <s v="SF26"/>
    <x v="525"/>
    <s v="N"/>
    <s v="N"/>
    <s v="S"/>
    <s v="N"/>
  </r>
  <r>
    <x v="2"/>
    <s v="180009"/>
    <s v="RECONOCIMIENTO DE SERVICIOS PREVIOS"/>
    <s v="2 MESES"/>
    <x v="1"/>
    <x v="2"/>
    <x v="18"/>
    <s v="NF31, SF31"/>
    <x v="526"/>
    <s v="S"/>
    <s v="N"/>
    <s v="N"/>
    <s v="N"/>
  </r>
  <r>
    <x v="2"/>
    <s v="180011"/>
    <s v="RECONOCIMIENTO DE TRIENIOS"/>
    <s v="1 MES"/>
    <x v="1"/>
    <x v="2"/>
    <x v="18"/>
    <s v="NF35, SF35"/>
    <x v="527"/>
    <s v="S"/>
    <s v="N"/>
    <s v="S"/>
    <s v="N"/>
  </r>
  <r>
    <x v="2"/>
    <s v="180018"/>
    <s v="EXCEDENCIA POR CUIDADO DE FAMILIARES PERSONAL FUNCIONARIO"/>
    <s v="1 MES"/>
    <x v="0"/>
    <x v="2"/>
    <x v="18"/>
    <s v="NF46, SF46"/>
    <x v="528"/>
    <s v="S"/>
    <s v="N"/>
    <s v="S"/>
    <s v="N"/>
  </r>
  <r>
    <x v="2"/>
    <s v="180019"/>
    <s v="EXCEDENCIA VOLUNTARIA POR AGRUPACION FAMILIAR PERSONAL FUNCIONARIO"/>
    <s v="1 MES"/>
    <x v="1"/>
    <x v="2"/>
    <x v="18"/>
    <s v="NF45, SF45"/>
    <x v="529"/>
    <s v="S"/>
    <s v="N"/>
    <s v="S"/>
    <s v="N"/>
  </r>
  <r>
    <x v="2"/>
    <s v="180020"/>
    <s v="EXCEDENCIA VOLUNTARIA POR INTERES PARTICULAR PERSONAL FUNCIONARIO"/>
    <s v="1 MES"/>
    <x v="0"/>
    <x v="2"/>
    <x v="18"/>
    <s v="NF44, SF44"/>
    <x v="530"/>
    <s v="S"/>
    <s v="N"/>
    <s v="S"/>
    <s v="N"/>
  </r>
  <r>
    <x v="2"/>
    <s v="180021"/>
    <s v="EXCEDENCIA VOLUNTARIA POR PRESTACION DE SERVICIOS EN EL SECTOR PUBLICO PERSONAL FUNCIONARIO"/>
    <s v="1 MES"/>
    <x v="1"/>
    <x v="2"/>
    <x v="18"/>
    <s v="SF43"/>
    <x v="531"/>
    <s v="S"/>
    <s v="N"/>
    <s v="S"/>
    <s v="N"/>
  </r>
  <r>
    <x v="2"/>
    <s v="180027"/>
    <s v="JUBILACION ANTICIPADA VOLUNTARIA PERSONAL FUNCIONARIO REGIMEN SEGURIDAD SOCIAL"/>
    <s v="1 MES"/>
    <x v="1"/>
    <x v="2"/>
    <x v="18"/>
    <s v="NF58, SF58"/>
    <x v="532"/>
    <s v="S"/>
    <s v="N"/>
    <s v="S"/>
    <s v="N"/>
  </r>
  <r>
    <x v="2"/>
    <s v="180030"/>
    <s v="RECONOCIMIENTO DE GRADO PERSONAL FUNCIONARIO"/>
    <s v="2 MESES"/>
    <x v="1"/>
    <x v="2"/>
    <x v="18"/>
    <s v="NF52, SF52"/>
    <x v="533"/>
    <s v="S"/>
    <s v="N"/>
    <s v="S"/>
    <s v="N"/>
  </r>
  <r>
    <x v="2"/>
    <s v="180031"/>
    <s v="REINGRESO A SERVICIO ACTIVO CON RESERVA DE PLAZA PERSONAL FUNCIONARIO"/>
    <s v="1 MES"/>
    <x v="0"/>
    <x v="2"/>
    <x v="18"/>
    <s v="NF33, SF33"/>
    <x v="534"/>
    <s v="S"/>
    <s v="N"/>
    <s v="S"/>
    <s v="N"/>
  </r>
  <r>
    <x v="2"/>
    <s v="180032"/>
    <s v="SITUACION DE SERVICIOS ESPECIALES PERSONAL FUNCIONARIO"/>
    <s v="1 MES"/>
    <x v="1"/>
    <x v="2"/>
    <x v="18"/>
    <s v="NF49, SF49"/>
    <x v="535"/>
    <s v="S"/>
    <s v="N"/>
    <s v="S"/>
    <s v="N"/>
  </r>
  <r>
    <x v="2"/>
    <s v="180033"/>
    <s v="DECLARACION DE PRESTACION DE SERVICIOS EN OTRA ADMINISTRACION PUBLICA PERSONAL FUNCIONARIO"/>
    <s v="1 MES"/>
    <x v="1"/>
    <x v="2"/>
    <x v="18"/>
    <s v="NF41, SF41"/>
    <x v="536"/>
    <s v="S"/>
    <s v="N"/>
    <s v="S"/>
    <s v="N"/>
  </r>
  <r>
    <x v="2"/>
    <s v="180065"/>
    <s v="REINGRESO A SERVICIO ACTIVO SIN RESERVA DE PLAZA PERSONAL FUNCIONARIO"/>
    <s v="3 MESES"/>
    <x v="1"/>
    <x v="2"/>
    <x v="18"/>
    <s v="SJSL"/>
    <x v="537"/>
    <s v="S"/>
    <s v="N"/>
    <s v="S"/>
    <s v="N"/>
  </r>
  <r>
    <x v="2"/>
    <s v="180066"/>
    <s v="EXCEDENCIA VOLUNTARIA POR INTERES PARTICULAR DE PERSONAL LABORAL FIJO"/>
    <s v="30 DÍAS NATURALES"/>
    <x v="1"/>
    <x v="2"/>
    <x v="18"/>
    <s v="SJSM"/>
    <x v="538"/>
    <s v="S"/>
    <s v="N"/>
    <s v="S"/>
    <s v="N"/>
  </r>
  <r>
    <x v="2"/>
    <s v="180067"/>
    <s v="EXCEDENCIA VOLUNTARIA POR AGRUPACION FAMILIAR DE PERSONAL LABORAL"/>
    <s v="1 MES"/>
    <x v="1"/>
    <x v="2"/>
    <x v="18"/>
    <s v="SJSN"/>
    <x v="539"/>
    <s v="S"/>
    <s v="N"/>
    <s v="S"/>
    <s v="N"/>
  </r>
  <r>
    <x v="2"/>
    <s v="180068"/>
    <s v="EXCEDENCIA FORZOSA DE PERSONAL LABORAL"/>
    <s v="1 MES"/>
    <x v="1"/>
    <x v="2"/>
    <x v="18"/>
    <s v="SJSO"/>
    <x v="540"/>
    <s v="S"/>
    <s v="N"/>
    <s v="S"/>
    <s v="N"/>
  </r>
  <r>
    <x v="2"/>
    <s v="180069"/>
    <s v="EXCEDENCIA POR CUIDADO DE FAMILIARES PERSONAL LABORAL"/>
    <s v="1 MES"/>
    <x v="0"/>
    <x v="2"/>
    <x v="18"/>
    <s v="SJSP"/>
    <x v="541"/>
    <s v="S"/>
    <s v="N"/>
    <s v="S"/>
    <s v="N"/>
  </r>
  <r>
    <x v="2"/>
    <s v="180070"/>
    <s v="EXCEDENCIA POR INCOMPATIBILIDAD PERSONAL LABORAL FIJO"/>
    <s v="1 MES"/>
    <x v="1"/>
    <x v="2"/>
    <x v="18"/>
    <s v="SJSQ"/>
    <x v="542"/>
    <s v="S"/>
    <s v="N"/>
    <s v="S"/>
    <s v="N"/>
  </r>
  <r>
    <x v="2"/>
    <s v="180071"/>
    <s v="JUBILACION VOLUNTARIA ANTICIPADA PERSONAL LABORAL"/>
    <s v="3 MESES"/>
    <x v="1"/>
    <x v="2"/>
    <x v="18"/>
    <s v="SJSR"/>
    <x v="543"/>
    <s v="S"/>
    <s v="N"/>
    <s v="S"/>
    <s v="N"/>
  </r>
  <r>
    <x v="2"/>
    <s v="180072"/>
    <s v="JUBILACION PARCIAL DE PERSONAL LABORAL"/>
    <s v="3 MESES"/>
    <x v="2"/>
    <x v="2"/>
    <x v="18"/>
    <s v="SJSS"/>
    <x v="544"/>
    <s v="N"/>
    <s v="N"/>
    <s v="S"/>
    <s v="N"/>
  </r>
  <r>
    <x v="2"/>
    <s v="180074"/>
    <s v="REGULARIZACION DE ANTIGUEDAD"/>
    <s v="1 MES"/>
    <x v="1"/>
    <x v="2"/>
    <x v="18"/>
    <s v="NF32, SF32"/>
    <x v="545"/>
    <s v="N"/>
    <s v="N"/>
    <s v="S"/>
    <s v="N"/>
  </r>
  <r>
    <x v="2"/>
    <s v="180076"/>
    <s v="OPCION Y SOLICITUD DE INFORME PARA EL CAMBIO DE CATEGORIA DERIVADO DE INCAPACIDAD PERMANENTE TOTAL"/>
    <s v="CONDICIONADO A LA PARTICIPACIÓN EN EL CONCURSO PERMANENTE DE TRASLADOS."/>
    <x v="2"/>
    <x v="2"/>
    <x v="18"/>
    <s v="SJT9"/>
    <x v="546"/>
    <s v="N"/>
    <s v="N"/>
    <s v="S"/>
    <s v="N"/>
  </r>
  <r>
    <x v="2"/>
    <s v="180078"/>
    <s v="ACUMULACION EN PUESTOS RESERVADOS A FUNCIONARIOS CON HABILITACION DE CARACTER ESTATAL"/>
    <s v="3 MESES"/>
    <x v="0"/>
    <x v="2"/>
    <x v="15"/>
    <s v="SJ8H"/>
    <x v="547"/>
    <s v="S"/>
    <s v="N"/>
    <s v="S"/>
    <s v="N"/>
  </r>
  <r>
    <x v="2"/>
    <s v="180084"/>
    <s v="CONCURSO SINGULARIZADO DE MERITOS PARA LA PROVISION DE PUESTOS DE TRABAJO VACANTES EN LA ADMINISTRACION DE LA JUNTA DE COMUNIDADES DE CASTILLA-LA MANCHA."/>
    <s v="4 MESES (AMPLIACION DE 2 MESES MAS)"/>
    <x v="1"/>
    <x v="2"/>
    <x v="19"/>
    <s v="SJUG"/>
    <x v="548"/>
    <s v="N"/>
    <s v="N"/>
    <s v="S"/>
    <s v="N"/>
  </r>
  <r>
    <x v="2"/>
    <s v="180086"/>
    <s v="EXCEDENCIA VOLUNTARIA ESPECIAL DE PERSONAL FUNCIONARIO DE CARRERA"/>
    <s v="1 MES"/>
    <x v="1"/>
    <x v="2"/>
    <x v="18"/>
    <s v="SJV3"/>
    <x v="549"/>
    <s v="S"/>
    <s v="N"/>
    <s v="S"/>
    <s v="N"/>
  </r>
  <r>
    <x v="2"/>
    <s v="180089"/>
    <s v="PROCEDIMIENTO DE CAMBIO DEL PUESTO DE TRABAJO POR RAZONES DE SALUD Y POSIBILIDAD DE REHABILITACIÓN DEL CÓNYUGE, PAREJA DE HECHO O FAMILIARES A CARGO PERSONAL FUNCIONARIO."/>
    <s v="3 MESES"/>
    <x v="1"/>
    <x v="2"/>
    <x v="18"/>
    <s v="SJWS"/>
    <x v="550"/>
    <s v="S"/>
    <s v="N"/>
    <s v="S"/>
    <s v="N"/>
  </r>
  <r>
    <x v="2"/>
    <s v="180090"/>
    <s v="PROCEDIMIENTO DE CAMBIO DEL PUESTO DE TRABAJO POR RAZONES DE SALUD Y POSIBILIDAD DE REHABILITACION DEL CONYUGE, PAREJA DE HECHO O FAMILIARES A CARGO PERSONAL LABORAL."/>
    <s v="3 MESES"/>
    <x v="2"/>
    <x v="2"/>
    <x v="18"/>
    <s v="SJWT"/>
    <x v="551"/>
    <s v="S"/>
    <s v="N"/>
    <s v="S"/>
    <s v="N"/>
  </r>
  <r>
    <x v="2"/>
    <s v="180091"/>
    <s v="ADAPTACIÓN O CAMBIO DE PUESTO DE TRABAJO POR MOTIVOS DE SALUD O REHABILITACIÓN DEL PERSONAL FUNCIONARIO"/>
    <s v="3 MESES"/>
    <x v="1"/>
    <x v="2"/>
    <x v="18"/>
    <s v="SJWU"/>
    <x v="552"/>
    <s v="S"/>
    <s v="N"/>
    <s v="S"/>
    <s v="N"/>
  </r>
  <r>
    <x v="2"/>
    <s v="180092"/>
    <s v="ADAPTACION O CAMBIO DE PUESTO DE TRABAJO POR MOTIVOS DE SALUD O REHABILITACION DEL PERSONAL LABORAL"/>
    <s v="3 MESES"/>
    <x v="2"/>
    <x v="2"/>
    <x v="18"/>
    <s v="SJWV"/>
    <x v="553"/>
    <s v="S"/>
    <s v="N"/>
    <s v="S"/>
    <s v="N"/>
  </r>
  <r>
    <x v="2"/>
    <s v="180095"/>
    <s v="LICENCIA SIN SUELDO (PERSONAL LABORAL)"/>
    <s v="15 DIAS"/>
    <x v="2"/>
    <x v="2"/>
    <x v="18"/>
    <s v="SJXQ"/>
    <x v="554"/>
    <s v="S"/>
    <s v="N"/>
    <s v="S"/>
    <s v="N"/>
  </r>
  <r>
    <x v="2"/>
    <s v="180096"/>
    <s v="LICENCIA POR ASUNTOS PROPIOS (PERSONAL FUNCIONARIO)"/>
    <s v="15 DÍAS"/>
    <x v="0"/>
    <x v="2"/>
    <x v="18"/>
    <s v="NF55, SF55"/>
    <x v="555"/>
    <s v="S"/>
    <s v="N"/>
    <s v="S"/>
    <s v="N"/>
  </r>
  <r>
    <x v="2"/>
    <s v="180098"/>
    <s v="JUBILACION VOLUNTARIA DE CLASES PASIVAS DEL ESTADO"/>
    <s v="2 MESES"/>
    <x v="1"/>
    <x v="2"/>
    <x v="18"/>
    <s v="SJZ4"/>
    <x v="556"/>
    <s v="S"/>
    <s v="N"/>
    <s v="S"/>
    <s v="N"/>
  </r>
  <r>
    <x v="2"/>
    <s v="180101"/>
    <s v="CONCURSO DE TRASLADOS DE PERSONAL LABORAL"/>
    <s v="3 MESES DESDE LA FINALIZACIÓN DEL PLAZO DE PRESENTACIÓN DE SOLICITUDES"/>
    <x v="1"/>
    <x v="2"/>
    <x v="18"/>
    <s v="SG35"/>
    <x v="557"/>
    <s v="N"/>
    <s v="N"/>
    <s v="S"/>
    <s v="N"/>
  </r>
  <r>
    <x v="2"/>
    <s v="180111"/>
    <s v="PRELACION CONCURSO ORDINARIO HABILITADOS ESTATALES"/>
    <s v="3 MESES"/>
    <x v="1"/>
    <x v="2"/>
    <x v="15"/>
    <s v="S649"/>
    <x v="558"/>
    <s v="S"/>
    <s v="N"/>
    <s v="S"/>
    <s v="N"/>
  </r>
  <r>
    <x v="2"/>
    <s v="180115"/>
    <s v="ANTICIPO NOMINA PERSONAL FUNCIONARIO"/>
    <s v="3 MESES"/>
    <x v="1"/>
    <x v="2"/>
    <x v="18"/>
    <s v="SK32"/>
    <x v="559"/>
    <s v="S"/>
    <s v="N"/>
    <s v="S"/>
    <s v="N"/>
  </r>
  <r>
    <x v="2"/>
    <s v="180116"/>
    <s v="ANTICIPO NOMINA PERSONAL LABORAL"/>
    <s v="3 MESES"/>
    <x v="2"/>
    <x v="2"/>
    <x v="18"/>
    <s v="SK33"/>
    <x v="560"/>
    <s v="S"/>
    <s v="N"/>
    <s v="S"/>
    <s v="N"/>
  </r>
  <r>
    <x v="2"/>
    <s v="180121"/>
    <s v="EXCEDENCIA VOLUNTARIA ESPECIAL"/>
    <s v="3 MESES"/>
    <x v="1"/>
    <x v="2"/>
    <x v="18"/>
    <s v="SK3M"/>
    <x v="561"/>
    <s v="S"/>
    <s v="N"/>
    <s v="S"/>
    <s v="N"/>
  </r>
  <r>
    <x v="2"/>
    <s v="180124"/>
    <s v="ANULACION CONCURSO TRASLADOS PERSONAL LABORAL"/>
    <s v="3 MESES"/>
    <x v="0"/>
    <x v="2"/>
    <x v="18"/>
    <s v="SK61"/>
    <x v="562"/>
    <s v="N"/>
    <s v="N"/>
    <s v="S"/>
    <s v="N"/>
  </r>
  <r>
    <x v="2"/>
    <s v="180130"/>
    <s v="CONCURSO GENERAL DE MERITOS (CGM F7/2021) PARA PROVISION DE PUESTOS DE TRABAJO VACANTES EN LA JCCM RESERVADOS A LA ESCALA SUPERIOR DE SANITARIOS LOCALES (VETERINARIA Y FARMACIA)"/>
    <s v="6 MESES. ( AMPLIADO POR 10 DÍAS HÁBILES. RES. 19/04/2022)"/>
    <x v="1"/>
    <x v="2"/>
    <x v="18"/>
    <s v="RIK7, SIK7"/>
    <x v="563"/>
    <s v="N"/>
    <s v="N"/>
    <s v="S"/>
    <s v="N"/>
  </r>
  <r>
    <x v="2"/>
    <s v="180133"/>
    <s v="CONCURSO GENERAL DE MERITOS (CGM 3/2021) PARA LA PROVISION DE PUESTOS DE TRABAJO VACANTES EN LA ADMINISTRACION DE LA JCCM, RESERVADOS A LA ESCALA SUPERIOR DE LETRADOS."/>
    <s v="6 MESES"/>
    <x v="1"/>
    <x v="2"/>
    <x v="18"/>
    <s v="SK8N"/>
    <x v="564"/>
    <s v="N"/>
    <s v="N"/>
    <s v="S"/>
    <s v="N"/>
  </r>
  <r>
    <x v="2"/>
    <s v="180137"/>
    <s v="REINGRESO AL SERVICIO ACTIVO DE PERSONAL LABORAL CON RESERVA DE PUESTO PROCEDENTE DE EXCEDENCIA POR CUIDADO DE FAMILIARES, EXCEDENCIA FORZOSA O EXCEDENCIA VOLUNTARIA ESPECIAL."/>
    <s v="3 MESES"/>
    <x v="1"/>
    <x v="2"/>
    <x v="18"/>
    <s v="SK9U"/>
    <x v="565"/>
    <s v="N"/>
    <s v="N"/>
    <s v="S"/>
    <s v="N"/>
  </r>
  <r>
    <x v="2"/>
    <s v="180138"/>
    <s v="CONVOCATORIA DEL PROGRAMA MODULAR¿MASTER EN ETICA Y DEONTOLOGIA DE LOS SERVIDORES PUBLICOS: PRINCIPIOS FUNDAMENTALES EN LA DIRECCION PUBLICA¿ DENTRO DEL PLAN DE FORMACION PARA EMPLEADOS PUBLICOS DE LA ADMINISTRACION DE LA JUNTA DE COMUNIDADES DE CASTILLA-"/>
    <s v="UN MES"/>
    <x v="1"/>
    <x v="2"/>
    <x v="18"/>
    <s v="SK9Y"/>
    <x v="566"/>
    <s v="N"/>
    <s v="N"/>
    <s v="S"/>
    <s v="N"/>
  </r>
  <r>
    <x v="2"/>
    <s v="180141"/>
    <s v="CONCURSO GENERAL DE MERITOS (F4/2021) PARA LA PROVISION DE PUESTOS DE TRABAJO VACANTES EN LA ADMINISTRACION DE LA JCCM, RESERVADOS A LA ESCALA SUPERIOR DE PREVENCION DE RIESGOS LABORALES, TECNICA DE PRL Y ADMINISTRATIVA DE PRLDE LA JCCM ."/>
    <s v="6 MESES"/>
    <x v="1"/>
    <x v="2"/>
    <x v="18"/>
    <s v="RKAN, SKAN"/>
    <x v="567"/>
    <s v="S"/>
    <s v="N"/>
    <s v="S"/>
    <s v="N"/>
  </r>
  <r>
    <x v="2"/>
    <s v="180142"/>
    <s v="CONCURSO GENERAL DE MERITOS ESCALA SOCIOSANITARIA."/>
    <s v="6 MESES."/>
    <x v="1"/>
    <x v="2"/>
    <x v="18"/>
    <s v="RIWR, SIWR"/>
    <x v="568"/>
    <s v="N"/>
    <s v="N"/>
    <s v="S"/>
    <s v="N"/>
  </r>
  <r>
    <x v="2"/>
    <s v="180143"/>
    <s v="JUBILACION VOLUNTARIA ANTICIPADA DE TRABAJADORES LABORALES CON DISCAPACIDAD"/>
    <s v="3 MESES"/>
    <x v="1"/>
    <x v="2"/>
    <x v="18"/>
    <s v="SKC9"/>
    <x v="569"/>
    <s v="N"/>
    <s v="N"/>
    <s v="S"/>
    <s v="N"/>
  </r>
  <r>
    <x v="2"/>
    <s v="180144"/>
    <s v="JUBILACION ESPECIAL PERSONAL LABORAL A LOS 64 AÑOS"/>
    <s v="3 MESES"/>
    <x v="1"/>
    <x v="2"/>
    <x v="18"/>
    <s v="SKCA"/>
    <x v="570"/>
    <s v="N"/>
    <s v="N"/>
    <s v="S"/>
    <s v="N"/>
  </r>
  <r>
    <x v="2"/>
    <s v="180145"/>
    <s v="CONCURSO GENERAL DE MERITOS (F5/2021) PARA LA PROVISION DE PUESTOS DE TRABAJO VACANTES EN LA ADMINISTRACION DE LA JCCM, RESERVADOS A LA ESCALA SUPERIOR DE SISTEMAS Y TECNOLOGIAS DE LA INFORMACION, TECNICA DE SISTEMAS E INFORMATICA Y ADMINISTRATIVA DE INFO"/>
    <s v="6 MESES"/>
    <x v="1"/>
    <x v="2"/>
    <x v="18"/>
    <s v="RKCO, SKCO"/>
    <x v="571"/>
    <s v="S"/>
    <s v="N"/>
    <s v="S"/>
    <s v="N"/>
  </r>
  <r>
    <x v="2"/>
    <s v="180167"/>
    <s v="RECONOCIMIENTO DE COMPATIBILIDAD PARA EL EJERCICIO DE ACTIVIDADES PRIVADAS"/>
    <s v="2 MESES"/>
    <x v="1"/>
    <x v="2"/>
    <x v="18"/>
    <s v="SKYS"/>
    <x v="572"/>
    <s v="N"/>
    <s v="N"/>
    <s v="S"/>
    <s v="N"/>
  </r>
  <r>
    <x v="2"/>
    <s v="180175"/>
    <s v="CONVOCATORIA DE LA ACCION FORMATIVA CURSO EXPERTO EN TRIBUTACION Y ASESORIA FISCAL , INCLUIDA DENTRO DEL PLAN DE FORMACION PARA EL PERSONAL DE LA ADMINISTRACION DE LA JUNTA DE COMUNIDADES DE CASTILLA-LA MANCHA PARA EL AÑO 2019."/>
    <s v="UN MES DESDE EL FIN DE PLAZO DE SOLICITUDES."/>
    <x v="1"/>
    <x v="2"/>
    <x v="23"/>
    <s v="SL94"/>
    <x v="573"/>
    <s v="N"/>
    <s v="N"/>
    <s v="S"/>
    <s v="N"/>
  </r>
  <r>
    <x v="2"/>
    <s v="180177"/>
    <s v="SUSPENSION DE CONTRATO DE TRABAJO DE TRABAJO POR ACTIVACION DE RESERVISTAS."/>
    <s v="3 MESES ( ART. 21.3 LEY 39/2015)"/>
    <x v="0"/>
    <x v="2"/>
    <x v="18"/>
    <s v="SLB6"/>
    <x v="574"/>
    <s v="N"/>
    <s v="N"/>
    <s v="S"/>
    <s v="N"/>
  </r>
  <r>
    <x v="2"/>
    <s v="180180"/>
    <s v="COMUNICACION DE DATOS AL PAGADOR. MODELO 145 DE LA AGENCIA TRIBUTARIA."/>
    <s v=""/>
    <x v="2"/>
    <x v="2"/>
    <x v="18"/>
    <s v="MLBR"/>
    <x v="575"/>
    <s v="N"/>
    <s v="N"/>
    <s v="S"/>
    <s v="N"/>
  </r>
  <r>
    <x v="2"/>
    <s v="180183"/>
    <s v="CONVOCATORIA ACCION FORMATIVA &quot;CURSO PROPIO DE ESPECIALIZACION EN DERECHO ADMINISTRATIVO E INTELIGENCIA ARTIFICIAL&quot;  DENTRO DEL PLAN DE FORMACION PARA EMPLEADOS PUBLICOS DE LA ADMINISTRACION DE LA JUNTA DE COMUNIDADES DE CASTILLA- LA MANCHA"/>
    <s v="1 MES"/>
    <x v="1"/>
    <x v="2"/>
    <x v="23"/>
    <s v="SLCP"/>
    <x v="576"/>
    <s v="N"/>
    <s v="N"/>
    <s v="S"/>
    <s v="N"/>
  </r>
  <r>
    <x v="2"/>
    <s v="180185"/>
    <s v="JUBILACION VOLUNTARIA ANTICIPADA DE PERSONAL LABORAL FIJO EN SITUACION DE JUBILACION PARCIAL"/>
    <s v="3 MESES"/>
    <x v="1"/>
    <x v="2"/>
    <x v="18"/>
    <s v="SLEK"/>
    <x v="577"/>
    <s v="N"/>
    <s v="N"/>
    <s v="S"/>
    <s v="N"/>
  </r>
  <r>
    <x v="2"/>
    <s v="180189"/>
    <s v="PROCEDIMIENTO PARA LA PREVENCION, IDENTIFICACION Y ACTUACION FRENTE AL ACOSO SEXUAL Y POR RAZON DE SEXO EN EL LUGAR DE TRABAJO PARA PERSONAL FUNCIONARIO Y LABORAL DE ADMINISTRACION GENERAL DE LA ADMINISTRACION DE LA JCCM Y SUS ORGANISMOS AUTONOMOS"/>
    <s v="VENDRÁ DETERMINADO POR LA ADICIÓN DE LOS PLAZOS ESTABLECIDOS EN EL PROTOCOLO PARA LAS DISTINTAS FASES DEL PROCEDIMIENTO CON UNA DURACIÓN ESTIMADA DE 45 DÍAS HÁBILES."/>
    <x v="2"/>
    <x v="2"/>
    <x v="18"/>
    <s v="MLI5"/>
    <x v="578"/>
    <s v="S"/>
    <s v="N"/>
    <s v="S"/>
    <s v="N"/>
  </r>
  <r>
    <x v="2"/>
    <s v="180226"/>
    <s v="CURSOS DE HABILITACION FUNCIONAL PARA EL PERSONAL LABORAL DE LA ADMINISTRACION DE LA JUNTA DE COMUNIDADES DE CASTILLA-LA MANCHA."/>
    <s v="10 DÍAS ANTES DEL COMIENZO DEL LOS CURSOS."/>
    <x v="1"/>
    <x v="2"/>
    <x v="18"/>
    <s v="SLR0"/>
    <x v="579"/>
    <s v="N"/>
    <s v="N"/>
    <s v="S"/>
    <s v="N"/>
  </r>
  <r>
    <x v="2"/>
    <s v="180230"/>
    <s v="CONVOCATORIA DE LA ACCION FORMATIVA &quot; CURSO PROPIO ESPECIALIZACION EN UNION EUROPEA&quot;  DENTRO DEL PLAN DE FORMACION PARA  EL PERSONAL EMPLEADO PUBLICO DE LA ADMINISTRACION DE LA JUNTA DE COMUNIDADES DE CASTILLA- LA MANCHA PARA EL AÑO 2022"/>
    <s v="UN MES DESDE EL FIN DE PLAZO DE SOLICITUDES"/>
    <x v="1"/>
    <x v="2"/>
    <x v="23"/>
    <s v="SLSW"/>
    <x v="580"/>
    <s v="N"/>
    <s v="N"/>
    <s v="S"/>
    <s v="N"/>
  </r>
  <r>
    <x v="2"/>
    <s v="185402"/>
    <s v="CERTIFICADO PARA ADOPCION INTERNACIONAL"/>
    <s v="3 MESES"/>
    <x v="1"/>
    <x v="2"/>
    <x v="18"/>
    <s v="SJT1"/>
    <x v="581"/>
    <s v="S"/>
    <s v="N"/>
    <s v="S"/>
    <s v="N"/>
  </r>
  <r>
    <x v="2"/>
    <s v="185405"/>
    <s v="OTROS CERTIFICADOS"/>
    <s v="3 MESES"/>
    <x v="1"/>
    <x v="2"/>
    <x v="18"/>
    <s v="SJT0"/>
    <x v="582"/>
    <s v="N"/>
    <s v="N"/>
    <s v="S"/>
    <s v="N"/>
  </r>
  <r>
    <x v="2"/>
    <s v="185409"/>
    <s v="CERTIFICADO ACREDITATIVO DE LA PERCEPCION/NO PERCEPCION DE AYUDAS DEL PROGRAMA DE ACCION SOCIAL"/>
    <s v="3 MESES"/>
    <x v="1"/>
    <x v="2"/>
    <x v="18"/>
    <s v="SJST"/>
    <x v="583"/>
    <s v="S"/>
    <s v="N"/>
    <s v="S"/>
    <s v="N"/>
  </r>
  <r>
    <x v="2"/>
    <s v="185410"/>
    <s v="CERTIFICADO DE SERVICIOS PRESTADOS"/>
    <s v="3 MESES"/>
    <x v="1"/>
    <x v="2"/>
    <x v="18"/>
    <s v="SJSX"/>
    <x v="584"/>
    <s v="N"/>
    <s v="N"/>
    <s v="S"/>
    <s v="N"/>
  </r>
  <r>
    <x v="2"/>
    <s v="185411"/>
    <s v="CAMBIO DE CUENTA BANCARIA EN NOMINA"/>
    <s v="3 MESES"/>
    <x v="1"/>
    <x v="2"/>
    <x v="18"/>
    <s v="SJSV"/>
    <x v="585"/>
    <s v="S"/>
    <s v="N"/>
    <s v="S"/>
    <s v="N"/>
  </r>
  <r>
    <x v="2"/>
    <s v="185412"/>
    <s v="CAMBIO DE DOMICILIO"/>
    <s v="3 MESES"/>
    <x v="1"/>
    <x v="2"/>
    <x v="18"/>
    <s v="SJSU"/>
    <x v="586"/>
    <s v="S"/>
    <s v="N"/>
    <s v="S"/>
    <s v="N"/>
  </r>
  <r>
    <x v="2"/>
    <s v="185468"/>
    <s v="APLICACION EN NOMINA DE UN PORCENTAJE DE RETENCION POR IRPF SUPERIOR AL LEGAL"/>
    <s v="1 MES"/>
    <x v="1"/>
    <x v="2"/>
    <x v="18"/>
    <s v="SJSW"/>
    <x v="587"/>
    <s v="S"/>
    <s v="N"/>
    <s v="S"/>
    <s v="N"/>
  </r>
  <r>
    <x v="2"/>
    <s v="185469"/>
    <s v="APLICACION EN NOMINA DEL PORCENTAJE DE RETENCION POR IRPF QUE LEGALMENTE CORRESPONDA"/>
    <s v="1 MES"/>
    <x v="1"/>
    <x v="2"/>
    <x v="18"/>
    <s v="SJZH"/>
    <x v="588"/>
    <s v="S"/>
    <s v="N"/>
    <s v="S"/>
    <s v="N"/>
  </r>
  <r>
    <x v="2"/>
    <s v="185559"/>
    <s v="CONCURSO ESCALAS ARCHIVOS BLIBLIOTECAS Y MUSEOS"/>
    <s v="6 MESES"/>
    <x v="1"/>
    <x v="2"/>
    <x v="18"/>
    <s v="RIT6, SIT6"/>
    <x v="589"/>
    <s v="S"/>
    <s v="N"/>
    <s v="S"/>
    <s v="N"/>
  </r>
  <r>
    <x v="2"/>
    <s v="185560"/>
    <s v="CONCURSO ESCALA TECNICA EDUCATIVA"/>
    <s v="6 MESES"/>
    <x v="1"/>
    <x v="2"/>
    <x v="18"/>
    <s v="RIWS, SIWS"/>
    <x v="590"/>
    <s v="N"/>
    <s v="N"/>
    <s v="S"/>
    <s v="N"/>
  </r>
  <r>
    <x v="2"/>
    <s v="185584"/>
    <s v="CONVOCATORIA PARA LA PROVISION POR EL PROCEDIMIENTO DE LIBRE DESIGNACION (LD. HAC-AAPP F1/2022) DE PUESTOS DE TRABAJO DE PERSONAL FUNCIONARIO."/>
    <s v="3 MESES"/>
    <x v="1"/>
    <x v="2"/>
    <x v="19"/>
    <s v="SKKY"/>
    <x v="591"/>
    <s v="N"/>
    <s v="N"/>
    <s v="S"/>
    <s v="N"/>
  </r>
  <r>
    <x v="2"/>
    <s v="185585"/>
    <s v="CONVOCATORIA DE LA PROVISION, POR EL SISTEMA DE LIBRE DESIGNACION DE PUESTOS RESERVADOS A PERSONAL LABORAL FIJO ( CATEGORIA CONDUCTOR)."/>
    <s v="3 MESES"/>
    <x v="1"/>
    <x v="2"/>
    <x v="19"/>
    <s v="SK8S"/>
    <x v="592"/>
    <s v="N"/>
    <s v="N"/>
    <s v="S"/>
    <s v="N"/>
  </r>
  <r>
    <x v="2"/>
    <s v="185622"/>
    <s v="CONVOCATORIA DEL PROGRAMA DE FORMACION ESPECIFICA, DENTRO DEL PLAN DE FORMACION PARA EL PERSONAL DE LA ADMINISTRACION DE LA JUNTA DE COMUNIDADES DE CASTILLA-LA MANCHA."/>
    <s v="LAS SOLICITUDES SERÁN RESUELTAS Y NOTIFICADAS EN EL PLAZO MÍNIMO DE LOS DIEZ DÍAS NATURALES ANTERIORES AL INICIO DE LA ACCIÓN FORMATIVA, SALVO CUANDO LA SELECCIÓN DE UNA PERSONA PARTICIPANTE SE DEBA A LA RENUNCIA DE OTRA PERSONA PREVIAMENTE SELECCIONADA."/>
    <x v="1"/>
    <x v="2"/>
    <x v="18"/>
    <s v="SKPI"/>
    <x v="593"/>
    <s v="N"/>
    <s v="N"/>
    <s v="S"/>
    <s v="N"/>
  </r>
  <r>
    <x v="2"/>
    <s v="185623"/>
    <s v="CONVOCATORIA ACCION FORMATIVA CURSO PROPIO ESPECIALIZACION EN GOBIERNO ABIERTO"/>
    <s v="LAS SOLICITUDES SERÁN RESUELTAS Y NOTIFICADAS EN EL PLAZO MÍNIMO DE LOS DIEZ DÍAS NATURALES ANTERIORES AL INICIO DE LA ACCIÓN FORMATIVA, SALVO CUANDO LA SELECCIÓN DE UNA PERSONA PARTICIPANTE SE DEBA A LA RENUNCIA DE OTRA PERSONA PREVIAMENTE SELECCIONADA."/>
    <x v="1"/>
    <x v="2"/>
    <x v="23"/>
    <s v="SKRU"/>
    <x v="594"/>
    <s v="N"/>
    <s v="N"/>
    <s v="S"/>
    <s v="N"/>
  </r>
  <r>
    <x v="2"/>
    <s v="185624"/>
    <s v="ACCIONES FORMATIVAS EN INGLES ESPECIFICO, COMPRENDIDAS EN EL PROGRAMA DE FORMACION EN IDIOMAS."/>
    <s v="LAS SOLICITUDES SERÁN RESUELTAS Y NOTIFICADAS EN EL PLAZO MÍNIMO DE LOS DIEZ DÍAS NATURALES ANTERIORES AL INICIO DE LA ACCIÓN FORMATIVA, SALVO CUANDO LA SELECCIÓN DE UNA PERSONA PARTICIPANTE SE DEBA A LA RENUNCIA DE OTRA PERSONA PREVIAMENTE SELECCIONADA."/>
    <x v="1"/>
    <x v="2"/>
    <x v="18"/>
    <s v="SJ4A"/>
    <x v="595"/>
    <s v="N"/>
    <s v="N"/>
    <s v="S"/>
    <s v="N"/>
  </r>
  <r>
    <x v="2"/>
    <s v="185625"/>
    <s v="CONVOCATORIA DEL PROGRAMA DE AUTOFORMACION,DENTRO DEL PLAN DE FORMACION PARA EL PERSONAL DE LA ADMINISTRACION DE LA JUNTA DE COMUNIDADES DE CASTILLA- LA MANCHA."/>
    <s v="LAS SOLICITUDES SERÁN RESUELTAS Y NOTIFICADAS EN EL PLAZO MÍNIMO DE LOS DIEZ DÍAS NATURALES ANTERIORES AL INICIO DE LA ACCIÓN FORMATIVA, SALVO CUANDO LA SELECCIÓN DE UNA PERSONA PARTICIPANTE SE DEBA A LA RENUNCIA DE OTRA PERSONA PREVIAMENTE SELECCIONADA."/>
    <x v="1"/>
    <x v="2"/>
    <x v="23"/>
    <s v="SKRZ"/>
    <x v="596"/>
    <s v="N"/>
    <s v="N"/>
    <s v="S"/>
    <s v="N"/>
  </r>
  <r>
    <x v="2"/>
    <s v="185626"/>
    <s v="CONVOCATORIA DEL TITULO PROPIO DE &quot;MASTER EN CONTRATACION PUBLICA&quot;  DENTRO DEL PLAN DE FORMACION PARA EL PERSONAL DE LA ADMINISTRACION DE LA JUNTA DE COMUNIDADES DE CASTILLA- LA MANCHA"/>
    <s v="LAS SOLICITUDES SERÁN RESUELTAS Y NOTIFICADAS EN EL PLAZO MÍNIMO DE LOS DIEZ DÍAS NATURALES ANTERIORES AL INICIO DE LA ACCIÓN FORMATIVA, SALVO CUANDO LA SELECCIÓN DE UNA PERSONA PARTICIPANTE SE DEBA A LA RENUNCIA DE OTRA PERSONA PREVIAMENTE SELECCIONADA."/>
    <x v="1"/>
    <x v="2"/>
    <x v="23"/>
    <s v="SLVX"/>
    <x v="597"/>
    <s v="N"/>
    <s v="N"/>
    <s v="S"/>
    <s v="N"/>
  </r>
  <r>
    <x v="2"/>
    <s v="185879"/>
    <s v="COMUNICACION PRESUNTO ACOSO LABORAL AL PERSONAL DE ADMINISTRACION GENERAL DE LA JCCM Y  SUS OOAA."/>
    <s v="VENDRÁ DETERMINADO POR LA ADICIÓN DE LOS PLAZOS ESTABLECIDOS EN EL PROTOCOLO PARA LAS DISTINTAS FASES DEL PROCEDIMIENTO CON UNA DURACIÓN ESTIMADA DE 45 DÍAS HÁBILES."/>
    <x v="2"/>
    <x v="2"/>
    <x v="18"/>
    <s v="MKZP"/>
    <x v="598"/>
    <s v="N"/>
    <s v="N"/>
    <s v="S"/>
    <s v="N"/>
  </r>
  <r>
    <x v="2"/>
    <s v="186105"/>
    <s v="FINALIZACION DE LA AUTORIZACION DE TELETRABAJO."/>
    <s v="SEGÚN EL TRÁMITE"/>
    <x v="2"/>
    <x v="2"/>
    <x v="18"/>
    <s v="SLMI"/>
    <x v="599"/>
    <s v="N"/>
    <s v="N"/>
    <s v="S"/>
    <s v="N"/>
  </r>
  <r>
    <x v="2"/>
    <s v="186106"/>
    <s v="SUSPENSION DE LA AUTORIZACION DE TELETRABAJO."/>
    <s v="SEGÚN EL TRÁMITE"/>
    <x v="2"/>
    <x v="2"/>
    <x v="18"/>
    <s v="SLMH"/>
    <x v="600"/>
    <s v="N"/>
    <s v="N"/>
    <s v="S"/>
    <s v="N"/>
  </r>
  <r>
    <x v="2"/>
    <s v="186107"/>
    <s v="AUTORIZACION DE TELETRABAJO"/>
    <s v="SEGÚN EL TRÁMITE"/>
    <x v="2"/>
    <x v="2"/>
    <x v="18"/>
    <s v="SLME"/>
    <x v="601"/>
    <s v="N"/>
    <s v="N"/>
    <s v="S"/>
    <s v="N"/>
  </r>
  <r>
    <x v="2"/>
    <s v="186108"/>
    <s v="MODIFICACION DE LA AUTORIZACION DE TELETRABAJO."/>
    <s v="SEGÚN EL TRÁMITE"/>
    <x v="2"/>
    <x v="2"/>
    <x v="18"/>
    <s v="SLMG"/>
    <x v="602"/>
    <s v="N"/>
    <s v="N"/>
    <s v="S"/>
    <s v="N"/>
  </r>
  <r>
    <x v="2"/>
    <s v="186109"/>
    <s v="PRORROGA DE LA AUTORIZACION DE TELETRABAJO."/>
    <s v="SEGÚN EL TRÁMITE"/>
    <x v="2"/>
    <x v="2"/>
    <x v="18"/>
    <s v="SLMF"/>
    <x v="603"/>
    <s v="N"/>
    <s v="N"/>
    <s v="S"/>
    <s v="N"/>
  </r>
  <r>
    <x v="2"/>
    <s v="190012"/>
    <s v="ENAJENACION DIRECTA DE BIENES INMUEBLES Y DERECHOS REALES SOBRE LOS MISMOS TITULARIDAD DE LA JUNTA DE COMUNIDADES DE CASTILLA - LA MANCHA."/>
    <s v="3 MESES"/>
    <x v="1"/>
    <x v="2"/>
    <x v="19"/>
    <s v="SKYF"/>
    <x v="604"/>
    <s v="S"/>
    <s v="N"/>
    <s v="S"/>
    <s v="N"/>
  </r>
  <r>
    <x v="2"/>
    <s v="190013"/>
    <s v="CESION GRATUITA  A FAVOR DE TERCEROS DE LA PROPIEDAD DE BIENES  INMUEBLES  TITULARIDAD LA JUNTA DE COMUNIDADES DE CASTILLA-LA MANCHA."/>
    <s v="3 MESES"/>
    <x v="1"/>
    <x v="2"/>
    <x v="19"/>
    <s v="SKYG"/>
    <x v="605"/>
    <s v="S"/>
    <s v="N"/>
    <s v="S"/>
    <s v="N"/>
  </r>
  <r>
    <x v="2"/>
    <s v="190014"/>
    <s v="CESION GRATUITA  DE USO  A FAVOR DE TERCEROS DE BIENES INMUEBLES  TITULARIDAD DE LA JUNTA DE COMUNIDADES DE CASTILLA-LA MANCHA."/>
    <s v="3 MESES"/>
    <x v="1"/>
    <x v="2"/>
    <x v="19"/>
    <s v="SKYH"/>
    <x v="606"/>
    <s v="S"/>
    <s v="N"/>
    <s v="S"/>
    <s v="N"/>
  </r>
  <r>
    <x v="2"/>
    <s v="190015"/>
    <s v="ARRENDAMIENTOS DE BIENES INMUEBLES DONDE LA JUNTA DE COMUNIDADES  DE CASTILLA - LA MANCHA, ES PARTE ARRENDATARIA."/>
    <s v="EN QUE SE ESTABLEZCA EN LA CONVOCATORIA, EN CASO DE CONCURSO, Y EN SU DEFECTO TRES MESES."/>
    <x v="1"/>
    <x v="2"/>
    <x v="19"/>
    <s v="SKYI"/>
    <x v="607"/>
    <s v="S"/>
    <s v="N"/>
    <s v="S"/>
    <s v="N"/>
  </r>
  <r>
    <x v="2"/>
    <s v="190016"/>
    <s v="ADQUISICION DE BIENES INMUEBLES  POR CESION GRATUITA DE OTRAS ADMINISTRACIONES PUBLICAS."/>
    <s v="3 MESES"/>
    <x v="1"/>
    <x v="2"/>
    <x v="19"/>
    <s v="SKYJ"/>
    <x v="608"/>
    <s v="N"/>
    <s v="N"/>
    <s v="S"/>
    <s v="N"/>
  </r>
  <r>
    <x v="2"/>
    <s v="190017"/>
    <s v="ADQUISICION ONEROSA DE BIENES INMUEBLES."/>
    <s v="EL QUE SE ESTABLEZCA EN LAS BASES REGULADORAS DEL CONCURSO, O TRES MESES, EN EL SUPUESTO DE ADJUDICACIÓN DIRECTA."/>
    <x v="1"/>
    <x v="2"/>
    <x v="19"/>
    <s v="SKYK"/>
    <x v="609"/>
    <s v="N"/>
    <s v="N"/>
    <s v="S"/>
    <s v="N"/>
  </r>
  <r>
    <x v="2"/>
    <s v="190018"/>
    <s v="ENAJENACION POR SUBASTA PUBLICA DE BIENES INMUEBLES TITULARIDAD DE LA JUNTA DE COMUNIDADES DE CASTILLA - LA MANCHA."/>
    <s v="EL QUE SE ESTABLEZCA EN LAS BASES DE LA CONVOCATORIA, Y EN SU DEFECTO, TRES MESES."/>
    <x v="1"/>
    <x v="2"/>
    <x v="19"/>
    <s v="SKYL"/>
    <x v="610"/>
    <s v="N"/>
    <s v="N"/>
    <s v="S"/>
    <s v="N"/>
  </r>
  <r>
    <x v="2"/>
    <s v="190019"/>
    <s v="ADQUISICION A TITULO GRATUITO POR HERENCIA, LEGADO O DONACION."/>
    <s v="3 MESES"/>
    <x v="1"/>
    <x v="2"/>
    <x v="19"/>
    <s v="SKYM"/>
    <x v="611"/>
    <s v="N"/>
    <s v="N"/>
    <s v="S"/>
    <s v="N"/>
  </r>
  <r>
    <x v="2"/>
    <s v="190020"/>
    <s v="PROCEDIMIENTO DE DESLINDE ADMINISTRATIVO."/>
    <s v="DIECIOCHO MESES."/>
    <x v="1"/>
    <x v="2"/>
    <x v="19"/>
    <s v="SKYN"/>
    <x v="612"/>
    <s v="N"/>
    <s v="N"/>
    <s v="S"/>
    <s v="N"/>
  </r>
  <r>
    <x v="2"/>
    <s v="190021"/>
    <s v="RECUPERACION DE LA POSESION."/>
    <s v="TRES MESES (PARA LA COMPROBACIÓN Y DECLARACIÓN DE LA USURPACIÓN)."/>
    <x v="3"/>
    <x v="2"/>
    <x v="19"/>
    <s v="SKYO"/>
    <x v="613"/>
    <s v="S"/>
    <s v="N"/>
    <s v="S"/>
    <s v="N"/>
  </r>
  <r>
    <x v="2"/>
    <s v="190022"/>
    <s v="INVESTIGACION E INSPECCION DE BIENES Y DERECHOS"/>
    <s v="2 AÑOS"/>
    <x v="1"/>
    <x v="2"/>
    <x v="19"/>
    <s v="SKYP"/>
    <x v="614"/>
    <s v="N"/>
    <s v="N"/>
    <s v="S"/>
    <s v="N"/>
  </r>
  <r>
    <x v="2"/>
    <s v="190023"/>
    <s v="GESTION DE SINIESTROS DE VEHICULOS."/>
    <s v=""/>
    <x v="2"/>
    <x v="2"/>
    <x v="24"/>
    <s v="MLT2"/>
    <x v="615"/>
    <s v="N"/>
    <s v="N"/>
    <s v="S"/>
    <s v="N"/>
  </r>
  <r>
    <x v="2"/>
    <s v="190029"/>
    <s v="ENAJENACION ONEROSA DE VEHICULOS POR ADJUDICACION DIRECTA."/>
    <s v="TRES MESES"/>
    <x v="1"/>
    <x v="2"/>
    <x v="19"/>
    <s v="SLT7"/>
    <x v="616"/>
    <s v="S"/>
    <s v="N"/>
    <s v="S"/>
    <s v="N"/>
  </r>
  <r>
    <x v="2"/>
    <s v="210001"/>
    <s v="PUBLICACION DE TEXTOS DE PARTICULARES EN DIARIO OFICIAL DE CASTILLA-LA MANCHA"/>
    <s v="5 DÍAS"/>
    <x v="1"/>
    <x v="2"/>
    <x v="15"/>
    <s v="S516"/>
    <x v="617"/>
    <s v="S"/>
    <s v="N"/>
    <s v="S"/>
    <s v="N"/>
  </r>
  <r>
    <x v="3"/>
    <s v="010042"/>
    <s v="AUTORIZACION DE INSTALACION DE OFICINAS DE FARMACIA"/>
    <s v="9 MESES"/>
    <x v="1"/>
    <x v="3"/>
    <x v="25"/>
    <s v="SI6C"/>
    <x v="618"/>
    <s v="N"/>
    <s v="N"/>
    <s v="S"/>
    <s v="S"/>
  </r>
  <r>
    <x v="3"/>
    <s v="010043"/>
    <s v="AUTORIZACION FUNCIONAMIENTO OFICINAS FARMACIA"/>
    <s v="3 MESES"/>
    <x v="0"/>
    <x v="3"/>
    <x v="25"/>
    <s v="SJUK"/>
    <x v="619"/>
    <s v="N"/>
    <s v="N"/>
    <s v="S"/>
    <s v="S"/>
  </r>
  <r>
    <x v="3"/>
    <s v="010044"/>
    <s v="AUTORIZACION DE MODIFICACION DE OFICINAS DE FARMACIA"/>
    <s v="1 MES"/>
    <x v="0"/>
    <x v="3"/>
    <x v="25"/>
    <s v="SJUL"/>
    <x v="620"/>
    <s v="N"/>
    <s v="N"/>
    <s v="S"/>
    <s v="S"/>
  </r>
  <r>
    <x v="3"/>
    <s v="010045"/>
    <s v="AUTORIZACION TRASMISION OFICINAS FARMACIA"/>
    <s v="2 MESES"/>
    <x v="1"/>
    <x v="3"/>
    <x v="25"/>
    <s v="SJUM"/>
    <x v="621"/>
    <s v="N"/>
    <s v="N"/>
    <s v="S"/>
    <s v="S"/>
  </r>
  <r>
    <x v="3"/>
    <s v="010046"/>
    <s v="AUTORIZACION TRASLADO OFICINAS FARMACIA"/>
    <s v="3 MESES"/>
    <x v="1"/>
    <x v="3"/>
    <x v="25"/>
    <s v="SJUN"/>
    <x v="622"/>
    <s v="N"/>
    <s v="N"/>
    <s v="S"/>
    <s v="S"/>
  </r>
  <r>
    <x v="3"/>
    <s v="010047"/>
    <s v="AUTORIZACION DE CIERRE  DE OFICINAS DE FARMACIA"/>
    <s v="3 MESES CON CARÁCTER GENERAL Y 1 MES EN LOS SUPUESTOS DE CIERRE TEMPORAL VOLUNTARIO POR MOTIVOS PROFESIONALES O PERSONALES Y EN EL CASO DE CIERRE TEMPORAL FORZOSO."/>
    <x v="0"/>
    <x v="3"/>
    <x v="25"/>
    <s v="SJUO"/>
    <x v="623"/>
    <s v="N"/>
    <s v="N"/>
    <s v="S"/>
    <s v="S"/>
  </r>
  <r>
    <x v="3"/>
    <s v="010049"/>
    <s v="AUTORIZACION DE FARMACEUTICO REGENTE."/>
    <s v="3 MESES"/>
    <x v="0"/>
    <x v="3"/>
    <x v="25"/>
    <s v="SJUQ"/>
    <x v="624"/>
    <s v="S"/>
    <s v="N"/>
    <s v="S"/>
    <s v="N"/>
  </r>
  <r>
    <x v="3"/>
    <s v="010050"/>
    <s v="AUTORIZACION DE INSTALACION DE BOTIQUIN"/>
    <s v="3 MESES"/>
    <x v="1"/>
    <x v="3"/>
    <x v="25"/>
    <s v="SH27"/>
    <x v="625"/>
    <s v="N"/>
    <s v="N"/>
    <s v="S"/>
    <s v="N"/>
  </r>
  <r>
    <x v="3"/>
    <s v="010051"/>
    <s v="AUTORIZACION DE FUNCIONAMIENTO DE BOTIQUIN."/>
    <s v="3 MESES"/>
    <x v="0"/>
    <x v="3"/>
    <x v="25"/>
    <s v="SJUR"/>
    <x v="626"/>
    <s v="N"/>
    <s v="N"/>
    <s v="S"/>
    <s v="N"/>
  </r>
  <r>
    <x v="3"/>
    <s v="010052"/>
    <s v="AUTORIZACION DE TRASLADO, MODIFICACION O CIERRE DE BOTIQUIN."/>
    <s v="1 MES"/>
    <x v="0"/>
    <x v="3"/>
    <x v="25"/>
    <s v="SJUU"/>
    <x v="627"/>
    <s v="N"/>
    <s v="N"/>
    <s v="S"/>
    <s v="N"/>
  </r>
  <r>
    <x v="3"/>
    <s v="010054"/>
    <s v="AUTORIZACION DE HORARIO DE APERTURA DE BOTIQUIN O REDUCCION DEL HORARIO MINIMO OFICIAL EN OFICINA DE FARMACIA."/>
    <s v="3 MESES"/>
    <x v="0"/>
    <x v="3"/>
    <x v="25"/>
    <s v="SI6I"/>
    <x v="628"/>
    <s v="N"/>
    <s v="N"/>
    <s v="S"/>
    <s v="N"/>
  </r>
  <r>
    <x v="3"/>
    <s v="010055"/>
    <s v="PROPUESTAS DEL COLEGIO OFICIAL DE FARMACEUTICOS SOBRE OFICINAS DE FARMACIA: HORARIO MINIMO OFICIAL, PROGRAMACION DE GUARDIAS, ORGANIZACION CONJUNTA DE LOS SERVICIOS DE URGENCIA O TURNOS DE VACACIONES."/>
    <s v="3 MESES  REGLA GENERAL O 1 MES EN  CASOS DE PROGRAMACIÓN DE SERVICIOS DE URGENCIA DE LA PROVINCIA POR NÚCLEOS DE POBLACIÓN O ZONAS FARMACÉUTICAS O DE ORGANIZACIÓN CONJUNTA DE LOS SERVICIOS DE URGENCIA DE 2 O 3    ZONAS FARMACÉUTICAS."/>
    <x v="0"/>
    <x v="3"/>
    <x v="25"/>
    <s v="SJUV"/>
    <x v="629"/>
    <s v="N"/>
    <s v="N"/>
    <s v="S"/>
    <s v="N"/>
  </r>
  <r>
    <x v="3"/>
    <s v="010056"/>
    <s v="AUTORIZACION DE EXENCION DEL SERVICIO DE URGENCIA DE OFICINA DE FARMACIA."/>
    <s v="3 MESES"/>
    <x v="0"/>
    <x v="3"/>
    <x v="25"/>
    <s v="SJUW"/>
    <x v="630"/>
    <s v="N"/>
    <s v="N"/>
    <s v="S"/>
    <s v="N"/>
  </r>
  <r>
    <x v="3"/>
    <s v="010058"/>
    <s v="COMUNICACION DE ACTIVIDAD DE DISTRIBUCION DE PRODUCTOS SANITARIOS"/>
    <s v=""/>
    <x v="2"/>
    <x v="3"/>
    <x v="25"/>
    <s v="SI6M"/>
    <x v="631"/>
    <s v="S"/>
    <s v="N"/>
    <s v="S"/>
    <s v="S"/>
  </r>
  <r>
    <x v="3"/>
    <s v="010059"/>
    <s v="AUTORIZACION DE INSTALACION DE ESTABLECIMIENTO DE DISPENSACION DE MEDICAMENTOS VETERINARIOS"/>
    <s v="2 MESES"/>
    <x v="0"/>
    <x v="3"/>
    <x v="25"/>
    <s v="SI6H"/>
    <x v="632"/>
    <s v="S"/>
    <s v="N"/>
    <s v="S"/>
    <s v="N"/>
  </r>
  <r>
    <x v="3"/>
    <s v="010060"/>
    <s v="AUTORIZACION DE INSTALACION DE ENTIDAD DE DISTRIBUCION DE MEDICAMENTOS DE USO HUMANO"/>
    <s v="90 DÍAS"/>
    <x v="0"/>
    <x v="3"/>
    <x v="25"/>
    <s v="SI6G"/>
    <x v="633"/>
    <s v="S"/>
    <s v="N"/>
    <s v="S"/>
    <s v="S"/>
  </r>
  <r>
    <x v="3"/>
    <s v="010062"/>
    <s v="AUTORIZACION PREVIA DE LOS MENSAJES PUBLICITARIOS DE PRODUCTOS SANITARIOS"/>
    <s v="3 MESES"/>
    <x v="0"/>
    <x v="3"/>
    <x v="25"/>
    <s v="SI6O"/>
    <x v="634"/>
    <s v="S"/>
    <s v="N"/>
    <s v="S"/>
    <s v="N"/>
  </r>
  <r>
    <x v="3"/>
    <s v="010361"/>
    <s v="AUTORIZACION TRASLADO DE CADAVERES Y RESTOS CADAVERICOS"/>
    <s v="24 HORAS"/>
    <x v="2"/>
    <x v="3"/>
    <x v="26"/>
    <s v="S275"/>
    <x v="635"/>
    <s v="S"/>
    <s v="N"/>
    <s v="N"/>
    <s v="N"/>
  </r>
  <r>
    <x v="3"/>
    <s v="010366"/>
    <s v="AUTORIZACION DE ESTUDIOS OBSERVACIONALES POST-AUTORIZACION EN CASTILLA-LA MANCHA"/>
    <s v="3 MESES"/>
    <x v="0"/>
    <x v="3"/>
    <x v="26"/>
    <s v="SIRG"/>
    <x v="636"/>
    <s v="S"/>
    <s v="N"/>
    <s v="S"/>
    <s v="N"/>
  </r>
  <r>
    <x v="3"/>
    <s v="010368"/>
    <s v="COMUNICACION DE LA VARIACION DE DATOS O CESE DE LA ACTIVIDAD DE LOS VEHICULOS DE TRANSPORTE SANITARIO"/>
    <s v=""/>
    <x v="2"/>
    <x v="3"/>
    <x v="25"/>
    <s v="MJ6I"/>
    <x v="637"/>
    <s v="S"/>
    <s v="N"/>
    <s v="S"/>
    <s v="N"/>
  </r>
  <r>
    <x v="3"/>
    <s v="010387"/>
    <s v="CONSULTA PREVIA SOBRE AUTORIZACIONES DE CENTROS, SERVICIOS Y ESTABLECIMIENTOS SANITARIOS"/>
    <s v="1 MES"/>
    <x v="2"/>
    <x v="3"/>
    <x v="25"/>
    <s v="SJTI"/>
    <x v="638"/>
    <s v="S"/>
    <s v="N"/>
    <s v="S"/>
    <s v="N"/>
  </r>
  <r>
    <x v="3"/>
    <s v="010394"/>
    <s v="AUTORIZACION DE FUNCIONAMIENTO DE ESTABLECIMIENTO DE DISPENSACION DE MEDICAMENTOS VETERINARIOS"/>
    <s v="3 MESES"/>
    <x v="0"/>
    <x v="3"/>
    <x v="25"/>
    <s v="SJV0"/>
    <x v="639"/>
    <s v="S"/>
    <s v="N"/>
    <s v="S"/>
    <s v="N"/>
  </r>
  <r>
    <x v="3"/>
    <s v="010395"/>
    <s v="AUTORIZACION DE CIERRE DE ESTABLECIMIENTO DE DISPENSACION DE MEDICAMENTOS VETERINARIOS"/>
    <s v="3 MESES"/>
    <x v="0"/>
    <x v="3"/>
    <x v="25"/>
    <s v="SJV1"/>
    <x v="640"/>
    <s v="S"/>
    <s v="N"/>
    <s v="S"/>
    <s v="N"/>
  </r>
  <r>
    <x v="3"/>
    <s v="010468"/>
    <s v="NOTIFICACION DE COMPLEMENTOS ALIMENTICIOS"/>
    <s v="3 MESES"/>
    <x v="0"/>
    <x v="3"/>
    <x v="26"/>
    <s v="SK21"/>
    <x v="641"/>
    <s v="S"/>
    <s v="N"/>
    <s v="S"/>
    <s v="N"/>
  </r>
  <r>
    <x v="3"/>
    <s v="010494"/>
    <s v="COMUNICACION DE LA CELEBRACION DE CACERIA CUYAS PIEZAS SE DESTINEN AL CONSUMO"/>
    <s v=""/>
    <x v="0"/>
    <x v="3"/>
    <x v="26"/>
    <s v="NK5L"/>
    <x v="642"/>
    <s v="S"/>
    <s v="N"/>
    <s v="S"/>
    <s v="N"/>
  </r>
  <r>
    <x v="3"/>
    <s v="010545"/>
    <s v="COMUNICACION DE CAMBIO DE DIRECTOR TECNICO, DENOMINACION O TITULARIDAD DE ENTIDAD DE DISTRIBUCION DE MEDICAMENTOS DE USO HUMANO"/>
    <s v=""/>
    <x v="4"/>
    <x v="3"/>
    <x v="25"/>
    <s v="SKPS"/>
    <x v="643"/>
    <s v="S"/>
    <s v="N"/>
    <s v="S"/>
    <s v="N"/>
  </r>
  <r>
    <x v="3"/>
    <s v="010546"/>
    <s v="AUTORIZACION DE FUNCIONAMIENTO DE ENTIDAD DE DISTRIBUCION DE MEDICAMENTOS DE USO HUMANO"/>
    <s v="90 DÍAS"/>
    <x v="0"/>
    <x v="3"/>
    <x v="25"/>
    <s v="SKPT"/>
    <x v="644"/>
    <s v="S"/>
    <s v="N"/>
    <s v="S"/>
    <s v="N"/>
  </r>
  <r>
    <x v="3"/>
    <s v="010547"/>
    <s v="AUTORIZACION DE MODIFICACION DE ENTIDAD DE DISTRIBUCION DE MEDICAMENTOS DE USO HUMANO"/>
    <s v="90 DÍAS"/>
    <x v="0"/>
    <x v="3"/>
    <x v="25"/>
    <s v="SKPU"/>
    <x v="645"/>
    <s v="S"/>
    <s v="N"/>
    <s v="S"/>
    <s v="N"/>
  </r>
  <r>
    <x v="3"/>
    <s v="010548"/>
    <s v="AUTORIZACION DE CIERRE DE ENTIDAD DE DISTRIBUCION DE MEDICAMENTOS DE USO HUMANO"/>
    <s v="90 DÍAS"/>
    <x v="0"/>
    <x v="3"/>
    <x v="25"/>
    <s v="SKPV"/>
    <x v="646"/>
    <s v="S"/>
    <s v="N"/>
    <s v="S"/>
    <s v="N"/>
  </r>
  <r>
    <x v="3"/>
    <s v="010550"/>
    <s v="COMUNICACION DE REINICIO DE ACTIVIDAD DE OFICINA DE FARMACIA TRAS CIERRE TEMPORAL."/>
    <s v=""/>
    <x v="2"/>
    <x v="3"/>
    <x v="25"/>
    <s v="MKQO"/>
    <x v="647"/>
    <s v="N"/>
    <s v="N"/>
    <s v="S"/>
    <s v="N"/>
  </r>
  <r>
    <x v="3"/>
    <s v="010560"/>
    <s v="AUTORIZACION DE ACTIVIDADES DE PROMOCION Y PUBLICIDAD EN APOYO DE LA  DONACION-OBTENCION DE TEJIDOS Y CELULAS DE ORIGEN HUMANO EN CASTILLA-LA MANCHA."/>
    <s v="3 MESES"/>
    <x v="0"/>
    <x v="3"/>
    <x v="25"/>
    <s v="SKSC"/>
    <x v="648"/>
    <s v="S"/>
    <s v="N"/>
    <s v="S"/>
    <s v="N"/>
  </r>
  <r>
    <x v="3"/>
    <s v="010562"/>
    <s v="COMUNICACION PREVIA DE VENTA A DISTANCIA AL PUBLICO DE MEDICAMENTOS VETERINARIOS NO SUJETOS A PRESCRIPCION VETERINARIA"/>
    <s v=""/>
    <x v="2"/>
    <x v="3"/>
    <x v="25"/>
    <s v="MKTI"/>
    <x v="649"/>
    <s v="N"/>
    <s v="N"/>
    <s v="S"/>
    <s v="N"/>
  </r>
  <r>
    <x v="3"/>
    <s v="010570"/>
    <s v="AUTORIZACION DE MODIFICACION DE INSTALACIONES O TRASLADO DE ESTABLECIMIENTO DE DISPENSACION DE MEDICAMENTOS VETERINARIOS"/>
    <s v="3 MESES"/>
    <x v="0"/>
    <x v="3"/>
    <x v="25"/>
    <s v="SKXD"/>
    <x v="650"/>
    <s v="S"/>
    <s v="N"/>
    <s v="S"/>
    <s v="N"/>
  </r>
  <r>
    <x v="3"/>
    <s v="010584"/>
    <s v="COMUNICACION BOTIQUIN CLINICO VETERINARIO"/>
    <s v=""/>
    <x v="2"/>
    <x v="3"/>
    <x v="25"/>
    <s v="ML0F"/>
    <x v="651"/>
    <s v="N"/>
    <s v="N"/>
    <s v="S"/>
    <s v="N"/>
  </r>
  <r>
    <x v="3"/>
    <s v="010588"/>
    <s v="AUTORIZACION COMO VETERINARIO ACTUANTE PARA INSPECCIONES &quot;IN SITU&quot; EN UNA ACTIVIDAD CINEGETICA O INSPECCIONES DE PIEZAS DE CAZA PARA AUTOCONSUMO."/>
    <s v="15 DÍAS HÁBILES."/>
    <x v="1"/>
    <x v="3"/>
    <x v="26"/>
    <s v="SL1Y"/>
    <x v="652"/>
    <s v="N"/>
    <s v="N"/>
    <s v="S"/>
    <s v="N"/>
  </r>
  <r>
    <x v="3"/>
    <s v="010596"/>
    <s v="COMUNICACION DE ELABORACION DE SISTEMAS PERSONALIZADOS DE DOSIFICACION EN OFICINA DE FARMACIA."/>
    <s v=""/>
    <x v="2"/>
    <x v="3"/>
    <x v="25"/>
    <s v="ML43"/>
    <x v="653"/>
    <s v="N"/>
    <s v="N"/>
    <s v="S"/>
    <s v="N"/>
  </r>
  <r>
    <x v="3"/>
    <s v="010597"/>
    <s v="SOLICITUD AUTORIZACION DE LIBROS OFICIALES DE OFICINA DE FARMACIA"/>
    <s v="TRES MESES"/>
    <x v="0"/>
    <x v="3"/>
    <x v="25"/>
    <s v="SL4M"/>
    <x v="654"/>
    <s v="N"/>
    <s v="N"/>
    <s v="S"/>
    <s v="N"/>
  </r>
  <r>
    <x v="3"/>
    <s v="010598"/>
    <s v="DESIGNACION DE LOCAL DE UNA NUEVA OFICINA DE FARMACIA"/>
    <s v="TRES MESES"/>
    <x v="0"/>
    <x v="3"/>
    <x v="25"/>
    <s v="ML4L"/>
    <x v="655"/>
    <s v="N"/>
    <s v="N"/>
    <s v="S"/>
    <s v="N"/>
  </r>
  <r>
    <x v="3"/>
    <s v="010599"/>
    <s v="AUTORIZACION DE INSTALACION DE CARTEL DE LA OFICINA DE FARMACIA EN UBICACION EXTRAORDINARIA"/>
    <s v="3 MESES"/>
    <x v="0"/>
    <x v="3"/>
    <x v="25"/>
    <s v="SL4O"/>
    <x v="656"/>
    <s v="N"/>
    <s v="N"/>
    <s v="S"/>
    <s v="N"/>
  </r>
  <r>
    <x v="3"/>
    <s v="010600"/>
    <s v="COMUNICACION DE BUSQUEDA DE FARMACEUTICO ADJUNTO PARA LA OFICINA DE FARMACIA"/>
    <s v=""/>
    <x v="2"/>
    <x v="3"/>
    <x v="25"/>
    <s v="ML4N"/>
    <x v="657"/>
    <s v="N"/>
    <s v="N"/>
    <s v="S"/>
    <s v="N"/>
  </r>
  <r>
    <x v="3"/>
    <s v="010601"/>
    <s v="SOLICITUD DE INSTALACION DE UN BOTIQUIN POR AYUNTAMIENTOS"/>
    <s v="1 MES"/>
    <x v="1"/>
    <x v="3"/>
    <x v="25"/>
    <s v="SL4P"/>
    <x v="658"/>
    <s v="N"/>
    <s v="N"/>
    <s v="S"/>
    <s v="N"/>
  </r>
  <r>
    <x v="3"/>
    <s v="010609"/>
    <s v="COMUNICACION DEL COLEGIO OFICIAL DE FARMACEUTICOS SOBRE HORARIO SUPERIOR AL MINIMO OFICIAL DE OFICINAS DE FARMACIA O SOBRE SUSTITUTO EN CASO DE AUSENCIA POR VACACIONES."/>
    <s v=""/>
    <x v="2"/>
    <x v="3"/>
    <x v="25"/>
    <s v="ML7S"/>
    <x v="659"/>
    <s v="N"/>
    <s v="N"/>
    <s v="S"/>
    <s v="N"/>
  </r>
  <r>
    <x v="3"/>
    <s v="010610"/>
    <s v="COMUNICACION DE GUARDIAS LOCALIZADAS, PERMUTA DEL SERVICIO DE URGENCIA Y PRESTACION DEL HORARIO MINIMO OFICIAL CONTINUADO EN OFICINAS DE FARMACIA."/>
    <s v=""/>
    <x v="2"/>
    <x v="3"/>
    <x v="25"/>
    <s v="ML7T"/>
    <x v="660"/>
    <s v="N"/>
    <s v="N"/>
    <s v="S"/>
    <s v="N"/>
  </r>
  <r>
    <x v="3"/>
    <s v="010611"/>
    <s v="COMUNICACION DE CIERRE DE OFICINA DE FARMACIA POR ASUNTOS PARTICULARES O POR CAUSAS INVOLUNTARIAS."/>
    <s v=""/>
    <x v="2"/>
    <x v="3"/>
    <x v="25"/>
    <s v="ML7U"/>
    <x v="661"/>
    <s v="N"/>
    <s v="N"/>
    <s v="S"/>
    <s v="N"/>
  </r>
  <r>
    <x v="3"/>
    <s v="010619"/>
    <s v="AUTORIZACION COMO VETERINARIO COLABORADOR EN MATANZAS DOMICILIARIAS DE CERDOS."/>
    <s v="3 MESES."/>
    <x v="1"/>
    <x v="3"/>
    <x v="26"/>
    <s v="SLAV"/>
    <x v="662"/>
    <s v="N"/>
    <s v="N"/>
    <s v="S"/>
    <s v="N"/>
  </r>
  <r>
    <x v="3"/>
    <s v="015086"/>
    <s v="COMUNICACION DE CESE TOTAL O PARCIAL DE ACTIVIDADES DE CENTROS, SERVICIOS Y ESTABLECIMIENTOS SANITARIOS SIN INTERNAMIENTO"/>
    <s v="6 MESES."/>
    <x v="0"/>
    <x v="3"/>
    <x v="25"/>
    <s v="ML05"/>
    <x v="663"/>
    <s v="S"/>
    <s v="N"/>
    <s v="S"/>
    <s v="N"/>
  </r>
  <r>
    <x v="3"/>
    <s v="015087"/>
    <s v="AUTORIZACION DE INSTALACION DE CENTROS, SERVICIOS Y ESTABLECIMIENTOS SANITARIOS SIN INTERNAMIENTO"/>
    <s v="6 MESES."/>
    <x v="0"/>
    <x v="3"/>
    <x v="25"/>
    <s v="SJTE"/>
    <x v="664"/>
    <s v="S"/>
    <s v="N"/>
    <s v="S"/>
    <s v="N"/>
  </r>
  <r>
    <x v="3"/>
    <s v="015088"/>
    <s v="AUTORIZACION DE MODIFICACION DE ACTIVIDADES DE CENTROS, SERVICIOS Y ESTABLECIMIENTOS SANITARIOS SIN INTERNAMIENTO"/>
    <s v="6 MESES."/>
    <x v="0"/>
    <x v="3"/>
    <x v="25"/>
    <s v="SJRE"/>
    <x v="665"/>
    <s v="S"/>
    <s v="N"/>
    <s v="S"/>
    <s v="N"/>
  </r>
  <r>
    <x v="3"/>
    <s v="015089"/>
    <s v="AUTORIZACION DE MODIFICACION QUE REQUIERE LA REALIZACION DE OBRAS O INSTALACIONES DE CENTROS, SERVICIOS Y ESTABLECIMIENTOS SANITARIOS SIN INTERNAMIENTO"/>
    <s v="6 MESES."/>
    <x v="0"/>
    <x v="3"/>
    <x v="25"/>
    <s v="SJRD"/>
    <x v="666"/>
    <s v="S"/>
    <s v="N"/>
    <s v="S"/>
    <s v="N"/>
  </r>
  <r>
    <x v="3"/>
    <s v="015090"/>
    <s v="AUTORIZACION DE PUESTA EN FUNCIONAMIENTO DE CENTROS, SERVICIOS Y ESTABLECIMIENTOS SANITARIOS SIN INTERNAMIENTO"/>
    <s v="6 MESES."/>
    <x v="0"/>
    <x v="3"/>
    <x v="25"/>
    <s v="SJRC"/>
    <x v="667"/>
    <s v="S"/>
    <s v="N"/>
    <s v="S"/>
    <s v="N"/>
  </r>
  <r>
    <x v="3"/>
    <s v="015091"/>
    <s v="AUTORIZACION DE CESE TOTAL O PARCIAL DE CENTROS Y SERVICIOS SANITARIOS SIN INTERNAMIENTO"/>
    <s v="6 MESES."/>
    <x v="0"/>
    <x v="3"/>
    <x v="25"/>
    <s v="SJTF"/>
    <x v="668"/>
    <s v="S"/>
    <s v="N"/>
    <s v="S"/>
    <s v="N"/>
  </r>
  <r>
    <x v="3"/>
    <s v="015092"/>
    <s v="AUTORIZACION DE RENOVACION DE LA AUTORIZACION DE PUESTA EN FUNCIONAMIENTO DE CENTROS, SERVICIOS Y ESTABLECIMIENTOS SANITARIOS SIN INTERNAMIENTO"/>
    <s v="6 MESES."/>
    <x v="0"/>
    <x v="3"/>
    <x v="25"/>
    <s v="SJRF"/>
    <x v="669"/>
    <s v="S"/>
    <s v="N"/>
    <s v="S"/>
    <s v="N"/>
  </r>
  <r>
    <x v="3"/>
    <s v="015099"/>
    <s v="CONCESION DE  LICENCIAS DE FUNCIONAMIENTO A LOS FABRICANTES DE PRODUCTOS SANITARIOS A MEDIDA"/>
    <s v="3 MESES"/>
    <x v="0"/>
    <x v="3"/>
    <x v="25"/>
    <s v="SJRG"/>
    <x v="670"/>
    <s v="S"/>
    <s v="N"/>
    <s v="S"/>
    <s v="N"/>
  </r>
  <r>
    <x v="3"/>
    <s v="015100"/>
    <s v="RENOVACION DE LA CONCESION DE LICENCIAS DE FUNCIONAMIENTO A LOS FABRICANTES DE PRODUCTOS SANITARIOS A MEDIDA"/>
    <s v="3 MESES"/>
    <x v="0"/>
    <x v="3"/>
    <x v="25"/>
    <s v="SJTN"/>
    <x v="671"/>
    <s v="S"/>
    <s v="N"/>
    <s v="S"/>
    <s v="N"/>
  </r>
  <r>
    <x v="3"/>
    <s v="015101"/>
    <s v="COMUNICACION RELATIVA A PERSONAL DE OFICINA DE FARMACIA (SUSTITUTOS, ADJUNTOS O TECNICOS EN FARMACIA Y PARAFARMACIA)."/>
    <s v=""/>
    <x v="2"/>
    <x v="3"/>
    <x v="25"/>
    <s v="SJUP"/>
    <x v="672"/>
    <s v="N"/>
    <s v="N"/>
    <s v="S"/>
    <s v="N"/>
  </r>
  <r>
    <x v="3"/>
    <s v="015102"/>
    <s v="DESIGNACION COMO SUSTITUTO A OTRO TITULAR DE UNA OFICINA DE FARMACIA PROXIMA."/>
    <s v=""/>
    <x v="2"/>
    <x v="3"/>
    <x v="25"/>
    <s v="ML7R"/>
    <x v="673"/>
    <s v="N"/>
    <s v="N"/>
    <s v="S"/>
    <s v="N"/>
  </r>
  <r>
    <x v="3"/>
    <s v="015380"/>
    <s v="AUTORIZACION DE MODIFICACION DE ACTIVIDADES DE CENTROS SANITARIOS CON INTERNAMIENTO"/>
    <s v="3 MESES"/>
    <x v="1"/>
    <x v="3"/>
    <x v="25"/>
    <s v="SJRN"/>
    <x v="674"/>
    <s v="S"/>
    <s v="N"/>
    <s v="S"/>
    <s v="S"/>
  </r>
  <r>
    <x v="3"/>
    <s v="015381"/>
    <s v="AUTORIZACION DE INSTALACION DE CENTROS SANITARIOS CON INTERNAMIENTO"/>
    <s v="3 MESES"/>
    <x v="1"/>
    <x v="3"/>
    <x v="25"/>
    <s v="SJTJ"/>
    <x v="675"/>
    <s v="S"/>
    <s v="N"/>
    <s v="S"/>
    <s v="S"/>
  </r>
  <r>
    <x v="3"/>
    <s v="015382"/>
    <s v="AUTORIZACION DE MODIFICACION QUE REQUIERE LA REALIZACION DE OBRAS O INSTALACIONES DE CENTROS SANITARIOS CON INTERNAMIENTO"/>
    <s v="3 MESES"/>
    <x v="1"/>
    <x v="3"/>
    <x v="25"/>
    <s v="SJRM"/>
    <x v="676"/>
    <s v="S"/>
    <s v="N"/>
    <s v="S"/>
    <s v="S"/>
  </r>
  <r>
    <x v="3"/>
    <s v="015383"/>
    <s v="AUTORIZACION DE PUESTA EN FUNCIONAMIENTO DE CENTROS SANITARIOS CON INTERNAMIENTO"/>
    <s v="3 MESES"/>
    <x v="1"/>
    <x v="3"/>
    <x v="25"/>
    <s v="SJRL"/>
    <x v="677"/>
    <s v="S"/>
    <s v="N"/>
    <s v="S"/>
    <s v="S"/>
  </r>
  <r>
    <x v="3"/>
    <s v="015384"/>
    <s v="CESE TOTAL O PARCIAL  DE CENTROS SANITARIOS CON INTERNAMIENTO"/>
    <s v="3 MESES"/>
    <x v="1"/>
    <x v="3"/>
    <x v="25"/>
    <s v="SJTL"/>
    <x v="678"/>
    <s v="S"/>
    <s v="N"/>
    <s v="S"/>
    <s v="S"/>
  </r>
  <r>
    <x v="3"/>
    <s v="015385"/>
    <s v="AUTORIZACION DE RENOVACION DE LA AUTORIZACION DE PUESTA EN FUNCIONAMIENTO DE CENTROS SANITARIOS CON INTERNAMIENTO"/>
    <s v="3 MESES"/>
    <x v="1"/>
    <x v="3"/>
    <x v="25"/>
    <s v="SJTK"/>
    <x v="679"/>
    <s v="S"/>
    <s v="N"/>
    <s v="S"/>
    <s v="S"/>
  </r>
  <r>
    <x v="3"/>
    <s v="015446"/>
    <s v="AUTORIZACION DE INSTALACION DE CENTROS Y SERVICIOS SIN INTERNAMIENTO DE CIRUGIA MAYOR AMBULATORIA, HEMODIALISIS, RADIOTERAPIA Y MEDICINA NUCLEAR"/>
    <s v="3 MESES"/>
    <x v="1"/>
    <x v="3"/>
    <x v="25"/>
    <s v="SKXM"/>
    <x v="680"/>
    <s v="S"/>
    <s v="N"/>
    <s v="S"/>
    <s v="N"/>
  </r>
  <r>
    <x v="3"/>
    <s v="015447"/>
    <s v="AUTORIZACION DE MODIFICACION DE ACTIVIDADES DE CENTROS Y SERVICIOS SIN INTERNAMIENTO DE CIRUGIA MAYOR AMBULATORIA, HEMODIALISIS, RADIOTERAPIA Y MEDICINA NUCLEAR"/>
    <s v="3 MESES"/>
    <x v="1"/>
    <x v="3"/>
    <x v="25"/>
    <s v="SKXN"/>
    <x v="681"/>
    <s v="S"/>
    <s v="N"/>
    <s v="S"/>
    <s v="N"/>
  </r>
  <r>
    <x v="3"/>
    <s v="015448"/>
    <s v="AUTORIZACION DE MODIFICACION QUE REQUIERE REALIZACION DE OBRAS O INSTALACIONES DE CENTROS Y SERVICIOS SIN INTERNAMIENTO DE CIRUGIA MAYOR AMBULATORIA, HEMODIALISIS, RADIOTERAPIA Y MEDICINA NUCLEAR"/>
    <s v="3 MESES"/>
    <x v="1"/>
    <x v="3"/>
    <x v="25"/>
    <s v="SKXO"/>
    <x v="682"/>
    <s v="S"/>
    <s v="N"/>
    <s v="S"/>
    <s v="N"/>
  </r>
  <r>
    <x v="3"/>
    <s v="015449"/>
    <s v="AUTORIZACION DE PUESTA EN FUNCIONAMIENTO DE CENTROS Y SERVICIOS SIN INTERNAMIENTO DE CIRUGIA MAYOR AMBULATORIA, HEMODIALISIS, RADIOTERAPIA Y MEDICINA NUCLEAR"/>
    <s v="3 MESES"/>
    <x v="1"/>
    <x v="3"/>
    <x v="25"/>
    <s v="SKXL"/>
    <x v="683"/>
    <s v="S"/>
    <s v="N"/>
    <s v="S"/>
    <s v="N"/>
  </r>
  <r>
    <x v="3"/>
    <s v="015450"/>
    <s v="AUTORIZACION DE RENOVACION DE LA AUTORIZACION DE PUESTA EN FUNCIONAMIENTO DE CENTROS Y SERVICIOS SIN INTERNAMIENTO DE CIRUGIA MAYOR AMBULATORIA, HEMODIALISIS, RADIOTERAPIA Y MEDICINA NUCLEAR"/>
    <s v="3 MESES"/>
    <x v="1"/>
    <x v="3"/>
    <x v="25"/>
    <s v="SKXP"/>
    <x v="684"/>
    <s v="S"/>
    <s v="N"/>
    <s v="S"/>
    <s v="N"/>
  </r>
  <r>
    <x v="3"/>
    <s v="015451"/>
    <s v="AUTORIZACION DE CESE TOTAL O PARCIAL DE CENTROS Y SERVICIOS SIN INTERNAMIENTO DE HEMODIALISIS"/>
    <s v="3 MESES"/>
    <x v="1"/>
    <x v="3"/>
    <x v="25"/>
    <s v="SKXJ"/>
    <x v="685"/>
    <s v="S"/>
    <s v="N"/>
    <s v="S"/>
    <s v="N"/>
  </r>
  <r>
    <x v="3"/>
    <s v="015769"/>
    <s v="COMUNICACION DE MODIFICACION O CESE DE ACTIVIDADES DE DONACION-TRASPLANTE DE ORGANOS, TEJIDOS Y CELULAS EN CENTROS CON INTERNAMIENTO."/>
    <s v="3 MESES"/>
    <x v="1"/>
    <x v="3"/>
    <x v="25"/>
    <s v="MKS9"/>
    <x v="686"/>
    <s v="S"/>
    <s v="N"/>
    <s v="S"/>
    <s v="N"/>
  </r>
  <r>
    <x v="3"/>
    <s v="015770"/>
    <s v="AUTORIZACION DE ACTIVIDADES DE DONACION-TRASPLANTE DE ORGANOS, TEJIDOS Y CELULAS EN CENTROS CON INTERNAMIENTO."/>
    <s v="3 MESES"/>
    <x v="1"/>
    <x v="3"/>
    <x v="25"/>
    <s v="SKS8"/>
    <x v="687"/>
    <s v="S"/>
    <s v="N"/>
    <s v="S"/>
    <s v="N"/>
  </r>
  <r>
    <x v="3"/>
    <s v="015771"/>
    <s v="COMUNICACION DE MODIFICACION O CESE DE ACTIVIDADES DE DONACION-TRASPLANTE DE  TEJIDOS Y CELULAS EN CENTROS SIN INTERNAMIENTO."/>
    <s v="3 MESES"/>
    <x v="0"/>
    <x v="3"/>
    <x v="25"/>
    <s v="MKSB"/>
    <x v="688"/>
    <s v="S"/>
    <s v="N"/>
    <s v="S"/>
    <s v="N"/>
  </r>
  <r>
    <x v="3"/>
    <s v="015772"/>
    <s v="AUTORIZACION DE ACTIVIDADES DE DONACION-TRASPLANTE DE TEJIDOS Y CELULAS EN CENTROS SIN INTERNAMIENTO."/>
    <s v="3 MESES"/>
    <x v="0"/>
    <x v="3"/>
    <x v="25"/>
    <s v="SKSA"/>
    <x v="689"/>
    <s v="S"/>
    <s v="N"/>
    <s v="S"/>
    <s v="N"/>
  </r>
  <r>
    <x v="3"/>
    <s v="015855"/>
    <s v="AUTORIZACION DE INSTALACION DE ALMACEN MAYORISTA DE DISTRIBUCION DE MEDICAMENTOS VETERINARIOS"/>
    <s v="3 MESES"/>
    <x v="0"/>
    <x v="3"/>
    <x v="25"/>
    <s v="SKXH"/>
    <x v="690"/>
    <s v="S"/>
    <s v="N"/>
    <s v="S"/>
    <s v="N"/>
  </r>
  <r>
    <x v="3"/>
    <s v="015856"/>
    <s v="AUTORIZACION DE FUNCIONAMIENTO DE ALMACEN MAYORISTA DE DISTRIBUCION DE MEDICAMENTOS VETERINARIOS"/>
    <s v="3 MESES"/>
    <x v="0"/>
    <x v="3"/>
    <x v="25"/>
    <s v="SKXG"/>
    <x v="691"/>
    <s v="S"/>
    <s v="N"/>
    <s v="S"/>
    <s v="N"/>
  </r>
  <r>
    <x v="3"/>
    <s v="015857"/>
    <s v="AUTORIZACION DE MODIFICACION DE INSTALACIONES DE ALMACEN MAYORISTA DE DISTRIBUCION DE MEDICAMENTOS VETERINARIOS"/>
    <s v="3 MESES"/>
    <x v="0"/>
    <x v="3"/>
    <x v="25"/>
    <s v="SKXI"/>
    <x v="692"/>
    <s v="S"/>
    <s v="N"/>
    <s v="S"/>
    <s v="N"/>
  </r>
  <r>
    <x v="3"/>
    <s v="015858"/>
    <s v="AUTORIZACION DE CIERRE DE ALMACEN MAYORISTA DE DISTRIBUCION DE MEDICAMENTOS VETERINARIOS"/>
    <s v="3 MESES"/>
    <x v="0"/>
    <x v="3"/>
    <x v="25"/>
    <s v="SKXF"/>
    <x v="693"/>
    <s v="S"/>
    <s v="N"/>
    <s v="S"/>
    <s v="N"/>
  </r>
  <r>
    <x v="3"/>
    <s v="020185"/>
    <s v="INSCRIPCION EN EL REGISTRO OFICIAL DE ESTABLECIMIENTOS Y SERVICIOS BIOCIDAS DE CASTILLA-LA MANCHA"/>
    <s v="3 MESES"/>
    <x v="0"/>
    <x v="3"/>
    <x v="26"/>
    <s v="S716"/>
    <x v="694"/>
    <s v="S"/>
    <s v="N"/>
    <s v="S"/>
    <s v="N"/>
  </r>
  <r>
    <x v="3"/>
    <s v="020246"/>
    <s v="REGISTRO REGIONAL DE CENTROS DE RECOGIDA Y TENERIAS QUE SUMINISTRAN MATERIA PRIMA PARA LA FABRICACION DE COLAGENO Y GELATINA DESTINADO AL CONSUMO HUMANO, ASI COMO DE LAS EMPRESAS DE TRANSPORTE Y/O DISTRIBUCION DESDE MATADEROS AUTORIZADOS"/>
    <s v="3 MESES"/>
    <x v="0"/>
    <x v="3"/>
    <x v="26"/>
    <s v="SKQU"/>
    <x v="695"/>
    <s v="S"/>
    <s v="N"/>
    <s v="S"/>
    <s v="N"/>
  </r>
  <r>
    <x v="3"/>
    <s v="020278"/>
    <s v="REGISTRO SANITARIO DE EMPRESAS Y ESTABLECIMIENTOS ALIMENTARIOS  DE CASTILLA-LA MANCHA"/>
    <s v="3 MESES."/>
    <x v="0"/>
    <x v="3"/>
    <x v="26"/>
    <s v="MLI0"/>
    <x v="696"/>
    <s v="S"/>
    <s v="N"/>
    <s v="S"/>
    <s v="N"/>
  </r>
  <r>
    <x v="3"/>
    <s v="020279"/>
    <s v="REGISTRO DE SOLICITUDES DE VACUNACION COVID-19 PARA PERSONAL DE PRIMERA LINEA EN EL AMBITO SANITARIO Y SOCIOSANITARIO"/>
    <s v="3 MESES"/>
    <x v="0"/>
    <x v="3"/>
    <x v="26"/>
    <s v="SLID"/>
    <x v="697"/>
    <s v="N"/>
    <s v="N"/>
    <s v="S"/>
    <s v="N"/>
  </r>
  <r>
    <x v="3"/>
    <s v="025132"/>
    <s v="COMUNICACION DE MODIFICACION, SUSPENSION O CESE DE DESFIBRILADORES EXTERNOS AUTOMATIZADOS (DEA) FUERA DEL AMBITO SANITARIO"/>
    <s v=""/>
    <x v="2"/>
    <x v="3"/>
    <x v="25"/>
    <s v="MKU5"/>
    <x v="698"/>
    <s v="S"/>
    <s v="N"/>
    <s v="S"/>
    <s v="N"/>
  </r>
  <r>
    <x v="3"/>
    <s v="025133"/>
    <s v="DECLARACION RESPONSABLE DE INSTALACION DE DESFIBRILADORES EXTERNOS AUTOMATIZADOS (DEA) FUERA DEL AMBITO SANITARIO."/>
    <s v=""/>
    <x v="2"/>
    <x v="3"/>
    <x v="25"/>
    <s v="SJCB"/>
    <x v="699"/>
    <s v="N"/>
    <s v="N"/>
    <s v="S"/>
    <s v="N"/>
  </r>
  <r>
    <x v="3"/>
    <s v="025165"/>
    <s v="INSCRIPCION DEL DOCUMENTO DE DECLARACION DE VOLUNTADES ANTICIPADAS EN MATERIA DE LA PROPIA SALUD EN EL REGISTRO DE VOLUNTADES ANTICIPADAS DE CASTILLA-LA MANCHA"/>
    <s v="&quot;20 DÍAS PARA LA INSCRIPCIÓN DEL DOCUMENTO DE D.V.A._x000a__x000a_3 MESES PARA LA VISITA A DOMICILIO&quot;"/>
    <x v="0"/>
    <x v="3"/>
    <x v="27"/>
    <s v="SIUY"/>
    <x v="700"/>
    <s v="N"/>
    <s v="N"/>
    <s v="S"/>
    <s v="N"/>
  </r>
  <r>
    <x v="3"/>
    <s v="025166"/>
    <s v="SOLICITUD DE VISITA A DOMICILIO PARA EL OTORGAMIENTO DEL DOCUMENTO DE DECLARACION DE VOLUNTADES ANTICIPADAS EN MATERIA DE LA PROPIA SALUD"/>
    <s v="&quot;20 DÍAS PARA LA INSCRIPCIÓN DEL DOCUMENTO DE D.V.A._x000a__x000a_3 MESES PARA LA VISITA A DOMICILIO&quot;"/>
    <x v="0"/>
    <x v="3"/>
    <x v="27"/>
    <s v="SL2J"/>
    <x v="701"/>
    <s v="S"/>
    <s v="N"/>
    <s v="S"/>
    <s v="N"/>
  </r>
  <r>
    <x v="3"/>
    <s v="025740"/>
    <s v="REGISTRO GENERAL SANITARIO DE EMPRESAS ALIMENTARIAS Y ALIMENTOS. COMUNICACION PREVIA."/>
    <s v="3 MESES"/>
    <x v="0"/>
    <x v="3"/>
    <x v="26"/>
    <s v="M514"/>
    <x v="702"/>
    <s v="S"/>
    <s v="N"/>
    <s v="S"/>
    <s v="S"/>
  </r>
  <r>
    <x v="3"/>
    <s v="025741"/>
    <s v="REGISTRO GENERAL SANITARIO DE EMPRESAS ALIMENTARIAS Y ALIMENTOS. SOLICITUD DE AUTORIZACION E INSCRIPCION."/>
    <s v="3 MESES"/>
    <x v="0"/>
    <x v="3"/>
    <x v="26"/>
    <s v="SKAA"/>
    <x v="703"/>
    <s v="S"/>
    <s v="N"/>
    <s v="S"/>
    <s v="N"/>
  </r>
  <r>
    <x v="3"/>
    <s v="030045"/>
    <s v="AYUDAS A ASOCIACIONES Y ENTIDADES PRIVADAS SIN ANIMO DE LUCRO PARA EL DESARROLLO DE ACTIVIDADES Y PRESTACIONES DE SERVICIOS EN MATERIA SOCIOSANITARIA"/>
    <s v="4 MESES ( AMPLIADO EN 30 DÍAS HÁBILES, RESOLUCIÓN 11/10/2022), VER MARCO LEGAL."/>
    <x v="1"/>
    <x v="3"/>
    <x v="27"/>
    <s v="SG52"/>
    <x v="704"/>
    <s v="N"/>
    <s v="N"/>
    <s v="S"/>
    <s v="N"/>
  </r>
  <r>
    <x v="3"/>
    <s v="030450"/>
    <s v="SUBVENCIONES A  ASOCIACIONES Y ENTIDADES PRIVADAS SIN ANIMO DE LUCRO PARA EL FUNCIONAMIENTO DE CENTROS Y DESARROLLO DE PROGRAMAS DE ATENCION A PERSONAS CON ADICCIONES EN CASTILLA-LA MANCHA."/>
    <s v="4 MESES"/>
    <x v="1"/>
    <x v="3"/>
    <x v="26"/>
    <s v="SJ38"/>
    <x v="705"/>
    <s v="N"/>
    <s v="N"/>
    <s v="S"/>
    <s v="N"/>
  </r>
  <r>
    <x v="3"/>
    <s v="030527"/>
    <s v="SUBVENCIONES PARA AYUNTAMIENTOS DE CASTILLA-LA MANCHA PARA EL DESARROLLO DE PROGRAMAS DE PREVENCION SELECTIVA E INDICADA DEL CONSUMO DE DROGAS O DE OTRAS CONDUCTAS ADICTIVAS Y PROGRAMAS DE EDUCACION DE CALLE PARA PERSONAS CON DROGODEPENDENCIA"/>
    <s v="4 MESES"/>
    <x v="1"/>
    <x v="3"/>
    <x v="26"/>
    <s v="S120"/>
    <x v="706"/>
    <s v="N"/>
    <s v="N"/>
    <s v="S"/>
    <s v="N"/>
  </r>
  <r>
    <x v="3"/>
    <s v="031021"/>
    <s v="SUBVENCIONES DESTINADAS A LA ATENCION ADECUADA A UNIDADES FAMILIARES CON ALGUN MIEMBRO DIAGNOSTICADO CON UNA ENFERMEDAD RARA"/>
    <s v="6 MESES"/>
    <x v="1"/>
    <x v="3"/>
    <x v="27"/>
    <s v="SLOF"/>
    <x v="707"/>
    <s v="S"/>
    <s v="N"/>
    <s v="S"/>
    <s v="N"/>
  </r>
  <r>
    <x v="3"/>
    <s v="031175"/>
    <s v="SUBVENCIONES A ASOCIACIONES Y ENTIDADES PRIVADAS SIN ANIMO DE LUCRO QUE DESARROLLEN SU ACTIVIDAD EN CLM PARA  FINANCIACION DE GASTOS DE MEJORA DE EQUIPAMIENTOS, FORMACION, Y MATERIAL QUE CONTRIBUYAN A LA SOSTENIBILIDAD Y CALIDAD DE LA PRESTACION SOCIOSANI"/>
    <s v="2 MESES"/>
    <x v="1"/>
    <x v="3"/>
    <x v="27"/>
    <s v="SLWV"/>
    <x v="708"/>
    <s v="N"/>
    <s v="N"/>
    <s v="S"/>
    <s v="N"/>
  </r>
  <r>
    <x v="3"/>
    <s v="031194"/>
    <s v="ALEGACIONES AL PROCEDIMIENTO DE EXIGENCIA DE  REINTEGRO DE SUBVENCIONES CONCEDIDAS POR LA FUNDACION SOCIOSANITARIA DE CASTILLA - LA MANCHA."/>
    <s v="12 MESES"/>
    <x v="3"/>
    <x v="3"/>
    <x v="27"/>
    <s v="RLXW"/>
    <x v="709"/>
    <s v="N"/>
    <s v="N"/>
    <s v="S"/>
    <s v="N"/>
  </r>
  <r>
    <x v="3"/>
    <s v="040010"/>
    <s v="OBTENCION INICIAL DE LA CERTIFICACION TECNICO-SANITARIA DE TRANSPORTE POR CARRETERA"/>
    <s v="DOS MESES"/>
    <x v="0"/>
    <x v="3"/>
    <x v="25"/>
    <s v="S350"/>
    <x v="710"/>
    <s v="S"/>
    <s v="N"/>
    <s v="S"/>
    <s v="N"/>
  </r>
  <r>
    <x v="3"/>
    <s v="040014"/>
    <s v="ACREDITACION DE OFICINAS DE FARMACIA PARA ELABORAR, CONSERVAR Y DISPENSAR AGONISTAS OPIACEOS"/>
    <s v="3 MESES"/>
    <x v="0"/>
    <x v="3"/>
    <x v="26"/>
    <s v="SI6B"/>
    <x v="711"/>
    <s v="S"/>
    <s v="N"/>
    <s v="S"/>
    <s v="N"/>
  </r>
  <r>
    <x v="3"/>
    <s v="040020"/>
    <s v="DECLARACION DE INTERES SANITARIO O SOCIOSANITARIO EN ACTIVIDADES DE CARACTER CIENTIFICO Y TECNICO."/>
    <s v="TREINTA DÍAS DESDE LA RECEPCIÓN DE LA SOLICITUD O , EN SU CASO, DE LA INFORMACIÓN COMPLEMENTARIA REQUERIDA."/>
    <x v="0"/>
    <x v="3"/>
    <x v="25"/>
    <s v="SIHP"/>
    <x v="712"/>
    <s v="S"/>
    <s v="N"/>
    <s v="S"/>
    <s v="N"/>
  </r>
  <r>
    <x v="3"/>
    <s v="040191"/>
    <s v="RENOVACION DE LA CERTIFICACION TECNICO-SANITARIA DEL TRANSPORTE SANITARIO POR CARRETERA"/>
    <s v="2 MESES"/>
    <x v="0"/>
    <x v="3"/>
    <x v="25"/>
    <s v="SJ6H"/>
    <x v="713"/>
    <s v="S"/>
    <s v="N"/>
    <s v="S"/>
    <s v="N"/>
  </r>
  <r>
    <x v="3"/>
    <s v="040228"/>
    <s v="CONSULTA PREVIA A LA SOLICITUD DE LA CERTIFICACION TECNICO-SANITARIA DEL TRANSPORTE SANITARIO POR CARRETERA"/>
    <s v="1 MES"/>
    <x v="0"/>
    <x v="3"/>
    <x v="25"/>
    <s v="SJ6J"/>
    <x v="714"/>
    <s v="S"/>
    <s v="N"/>
    <s v="S"/>
    <s v="N"/>
  </r>
  <r>
    <x v="3"/>
    <s v="040236"/>
    <s v="APLICACION DEL INDICE CORRECTOR DEL MARGEN DE DISPENSACION DE LAS OFICINAS DE FARMACIA"/>
    <s v="30 DÍAS HÁBILES"/>
    <x v="0"/>
    <x v="3"/>
    <x v="25"/>
    <s v="SJYQ"/>
    <x v="715"/>
    <s v="N"/>
    <s v="N"/>
    <s v="S"/>
    <s v="N"/>
  </r>
  <r>
    <x v="3"/>
    <s v="040238"/>
    <s v="CERTIFICADO DE LIBRE VENTA DE PRODUCTOS ALIMENTARIOS"/>
    <s v="3 MESES"/>
    <x v="0"/>
    <x v="3"/>
    <x v="26"/>
    <s v="SK0H"/>
    <x v="716"/>
    <s v="S"/>
    <s v="N"/>
    <s v="S"/>
    <s v="N"/>
  </r>
  <r>
    <x v="3"/>
    <s v="040314"/>
    <s v="CERTIFICACION DE CUMPLIMIENTO DE BUENAS PRACTICAS DE DISTRIBUCION DE MEDICAMENTOS DE USO HUMANO"/>
    <s v="90 DÍAS DESDE LA VISITA DE INSPECCIÓN"/>
    <x v="0"/>
    <x v="3"/>
    <x v="25"/>
    <s v="SKQV"/>
    <x v="717"/>
    <s v="S"/>
    <s v="N"/>
    <s v="S"/>
    <s v="N"/>
  </r>
  <r>
    <x v="3"/>
    <s v="040315"/>
    <s v="CERTIFICACION DE CUMPLIMIENTO DE BUENAS PRACTICAS DE DISTRIBUCION DE PRINCIPIOS ACTIVOS PARA MEDICAMENTOS DE USO HUMANO"/>
    <s v="90 DÍAS DESDE LA VISITA DE INSPECCIÓN"/>
    <x v="0"/>
    <x v="3"/>
    <x v="25"/>
    <s v="SKQW"/>
    <x v="718"/>
    <s v="S"/>
    <s v="N"/>
    <s v="S"/>
    <s v="N"/>
  </r>
  <r>
    <x v="3"/>
    <s v="040316"/>
    <s v="ACREDITACION DE CENTROS Y SERVICIOS PARA REALIZAR TRATAMIENTOS DE DESHABITUACION CON OPIACEOS"/>
    <s v="3 MESES"/>
    <x v="0"/>
    <x v="3"/>
    <x v="26"/>
    <s v="SKSK"/>
    <x v="719"/>
    <s v="S"/>
    <s v="N"/>
    <s v="S"/>
    <s v="N"/>
  </r>
  <r>
    <x v="3"/>
    <s v="040317"/>
    <s v="RENOVACION DE LA ACREDITACION DE CENTROS Y SERVICIOS PARA REALIZAR TRATAMIENTOS DE DESHABITUACION CON OPIACEOS"/>
    <s v="2 MESES"/>
    <x v="0"/>
    <x v="3"/>
    <x v="26"/>
    <s v="SKSL"/>
    <x v="720"/>
    <s v="S"/>
    <s v="N"/>
    <s v="S"/>
    <s v="N"/>
  </r>
  <r>
    <x v="3"/>
    <s v="040318"/>
    <s v="RENOVACION DE LA ACREDITACION DE OFICINAS DE FARMACIA PARA ELABORAR, CONSERVAR Y DISPENSAR AGONISTAS OPIACEOS"/>
    <s v="2 MESES"/>
    <x v="0"/>
    <x v="3"/>
    <x v="26"/>
    <s v="SKSN"/>
    <x v="721"/>
    <s v="N"/>
    <s v="N"/>
    <s v="S"/>
    <s v="N"/>
  </r>
  <r>
    <x v="3"/>
    <s v="040339"/>
    <s v="COMUNICACION DE RENUNCIA A LA ACREDITACION DE OFICINAS DE FARMACIA PARA ELABORAR, CONSERVAR Y DISPENSAR AGONISTAS OPIACEOS."/>
    <s v=""/>
    <x v="2"/>
    <x v="3"/>
    <x v="26"/>
    <s v="MKSM"/>
    <x v="722"/>
    <s v="S"/>
    <s v="N"/>
    <s v="S"/>
    <s v="N"/>
  </r>
  <r>
    <x v="3"/>
    <s v="040340"/>
    <s v="COMUNICACION DE MEMORIA FINAL DE ACTIVIDAD FORMATIVA DE PRIMEROS INTERVINIENTES PARA EL USO DE DESFIBRILADORES AUTOMATIZADOS (DEAS)"/>
    <s v="3 MESES"/>
    <x v="0"/>
    <x v="3"/>
    <x v="26"/>
    <s v="ML7M"/>
    <x v="723"/>
    <s v="S"/>
    <s v="N"/>
    <s v="S"/>
    <s v="N"/>
  </r>
  <r>
    <x v="3"/>
    <s v="040341"/>
    <s v="SOLICITUD DE INSCRIPCION EN EL REGISTRO DE PERSONA AUTORIZADA PARA EL USO DE DESFIBRILADORES EXTERNOS AUTOMATIZADOS (DEA) FUERA DEL AMBITO SANITARIO"/>
    <s v="3 MESES"/>
    <x v="0"/>
    <x v="3"/>
    <x v="27"/>
    <s v="SL7N"/>
    <x v="724"/>
    <s v="S"/>
    <s v="N"/>
    <s v="S"/>
    <s v="N"/>
  </r>
  <r>
    <x v="3"/>
    <s v="040358"/>
    <s v="ACREDITACION DE ENFERMERAS Y ENFERMEROS PARA LA INDICACION, USO Y AUTORIZACION DE LA DISPENSACION DE MEDICAMENTOS Y PRODUCTOS SANITARIOS DE USO HUMANO."/>
    <s v="6 MESES."/>
    <x v="0"/>
    <x v="3"/>
    <x v="25"/>
    <s v="SLHD"/>
    <x v="725"/>
    <s v="N"/>
    <s v="N"/>
    <s v="S"/>
    <s v="N"/>
  </r>
  <r>
    <x v="3"/>
    <s v="040359"/>
    <s v="CERTIFICADO COVID DIGITAL UE."/>
    <s v="3 MESES"/>
    <x v="1"/>
    <x v="3"/>
    <x v="28"/>
    <s v="SLM7"/>
    <x v="726"/>
    <s v="S"/>
    <s v="N"/>
    <s v="S"/>
    <s v="N"/>
  </r>
  <r>
    <x v="3"/>
    <s v="045305"/>
    <s v="SOLICITUD DE ACREDITACION DE ENTIDADES PARA IMPARTIR  FORMACION PARA EL USO DE DESFIBRILADORES EXTERNOS AUTOMATIZADOS (DEA)."/>
    <s v="3 MESES"/>
    <x v="0"/>
    <x v="3"/>
    <x v="26"/>
    <s v="SJCA"/>
    <x v="727"/>
    <s v="S"/>
    <s v="N"/>
    <s v="S"/>
    <s v="N"/>
  </r>
  <r>
    <x v="3"/>
    <s v="045306"/>
    <s v="COMUNICACION DE ACREDITACION DE ENTIDADES SIN SEDE EN CASTILLA-LA MANCHA PARA IMPARTIR  FORMACION PARA EL USO DE DESFIBRILADORES EXTERNOS AUTOMATIZADOS (DEA)."/>
    <s v="3 MESES"/>
    <x v="0"/>
    <x v="3"/>
    <x v="26"/>
    <s v="MKU6"/>
    <x v="728"/>
    <s v="S"/>
    <s v="N"/>
    <s v="S"/>
    <s v="N"/>
  </r>
  <r>
    <x v="3"/>
    <s v="045307"/>
    <s v="CERTIFICACION DE CUMPLIMIENTO DE NORMAS DE CORRECTA ELABORACION Y CONTROL DE CALIDAD DE FORMULAS MAGISTRALES Y PREPARADOS OFICINALES EN OFICINAS DE FARMACIA Y SERVICIOS FARMACEUTICOS"/>
    <s v="3 MESES"/>
    <x v="0"/>
    <x v="3"/>
    <x v="25"/>
    <s v="SJRJ"/>
    <x v="729"/>
    <s v="N"/>
    <s v="N"/>
    <s v="S"/>
    <s v="N"/>
  </r>
  <r>
    <x v="3"/>
    <s v="045308"/>
    <s v="AUTORIZACION PARA ELABORACION DE FORMULAS MAGISTRALES Y PREPARADOS OFICINALES A TERCEROS EN OFICINAS DE FARMACIA Y SERVICIOS FARMACEUTICOS"/>
    <s v="3 MESES"/>
    <x v="0"/>
    <x v="3"/>
    <x v="25"/>
    <s v="SJRH"/>
    <x v="730"/>
    <s v="N"/>
    <s v="N"/>
    <s v="S"/>
    <s v="N"/>
  </r>
  <r>
    <x v="3"/>
    <s v="045734"/>
    <s v="DECLARACION RESPONSABLE PARA LA EXENCION DE SOCORRISTA EN PISCINAS DE USO PUBLICO"/>
    <s v=""/>
    <x v="2"/>
    <x v="3"/>
    <x v="26"/>
    <s v="DKOH"/>
    <x v="731"/>
    <s v="S"/>
    <s v="N"/>
    <s v="S"/>
    <s v="N"/>
  </r>
  <r>
    <x v="3"/>
    <s v="045735"/>
    <s v="COMUNICACION PREVIA DE REAPERTURA DE PISCINAS DE USO PUBLICO"/>
    <s v=""/>
    <x v="2"/>
    <x v="3"/>
    <x v="26"/>
    <s v="MKOG"/>
    <x v="732"/>
    <s v="S"/>
    <s v="N"/>
    <s v="S"/>
    <s v="N"/>
  </r>
  <r>
    <x v="3"/>
    <s v="120043"/>
    <s v="PRECIOS PUBLICOS EN LOS LABORATORIOS DE SALUD PUBLICA DE LA CONSEJERIA DE SANIDAD Y ASUNTOS SOCIALES"/>
    <s v=""/>
    <x v="2"/>
    <x v="3"/>
    <x v="26"/>
    <s v="SJZW"/>
    <x v="733"/>
    <s v="S"/>
    <s v="N"/>
    <s v="S"/>
    <s v="N"/>
  </r>
  <r>
    <x v="3"/>
    <s v="120054"/>
    <s v="INFORMACION Y ACOMPAÑAMIENTO A PERSONAS AFECTADAS POR UNA ENFERMEDAD RARA"/>
    <s v="3 MESES"/>
    <x v="0"/>
    <x v="3"/>
    <x v="27"/>
    <s v="SL5X"/>
    <x v="734"/>
    <s v="S"/>
    <s v="N"/>
    <s v="S"/>
    <s v="N"/>
  </r>
  <r>
    <x v="3"/>
    <s v="150027"/>
    <s v="JUSTIFICACION DEL GASTO EN EL CONVENIO DE COLABORACION EN MATERIA DE DROGODEPENDENCIA CON EL CONSEJO DE COLEGIOS OFICIALES DE FARMACEUTICOS DE CASTILLA-LA MANCHA"/>
    <s v="3 MESES."/>
    <x v="0"/>
    <x v="3"/>
    <x v="26"/>
    <s v="PL8X"/>
    <x v="735"/>
    <s v="N"/>
    <s v="N"/>
    <s v="S"/>
    <s v="N"/>
  </r>
  <r>
    <x v="3"/>
    <s v="170016"/>
    <s v="RECONOCIMIENTO DE APLICACION DE DEDUCCIONES EN LAS TASAS POR INSPECCION Y CONTROL SANITARIO DE CARNES FRESCAS"/>
    <s v="3 MESES"/>
    <x v="0"/>
    <x v="3"/>
    <x v="26"/>
    <s v="SK0B"/>
    <x v="736"/>
    <s v="S"/>
    <s v="N"/>
    <s v="S"/>
    <s v="N"/>
  </r>
  <r>
    <x v="3"/>
    <s v="180102"/>
    <s v="PROVISION DE PUESTOS POR EL PROCEDIMIENTO DE LIBRE DESIGNACION (CONSEJERIA DE SANIDAD)"/>
    <s v="2 MESES"/>
    <x v="1"/>
    <x v="3"/>
    <x v="29"/>
    <s v="SKFC"/>
    <x v="737"/>
    <s v="N"/>
    <s v="N"/>
    <s v="S"/>
    <s v="N"/>
  </r>
  <r>
    <x v="3"/>
    <s v="180186"/>
    <s v="INSCRIPCION EN BOLSA DE PERSONAL FUNCIONARIO DE LA ESCALA SUPERIOR DE SANITARIOS LOCALES (ESPECIALIDADES DE VETERINARIA Y FARMACIA)"/>
    <s v="3 M."/>
    <x v="1"/>
    <x v="3"/>
    <x v="29"/>
    <s v="SLF2"/>
    <x v="738"/>
    <s v="S"/>
    <s v="N"/>
    <s v="S"/>
    <s v="N"/>
  </r>
  <r>
    <x v="3"/>
    <s v="180233"/>
    <s v="PROVISION DE PUESTOS POR EL PROCEDIMIENTO DE LIBRE DESIGNACION (CONSEJERIA DE SANIDAD) RESERVADOS A LA ESCALA SUPERIOR DE SANITARIOS LOCALES, ESPECIALIDAD VETERINARIA"/>
    <s v="2 MESES"/>
    <x v="1"/>
    <x v="3"/>
    <x v="29"/>
    <s v="SLTQ"/>
    <x v="739"/>
    <s v="N"/>
    <s v="N"/>
    <s v="S"/>
    <s v="N"/>
  </r>
  <r>
    <x v="3"/>
    <s v="180257"/>
    <s v="PROVISION DE PUESTOS DE TRABAJO EN LA ADMINISTRACION DE LA JCCM POR EL SISTEMA DE CONCURSO SINGULARIZADO DE MERITOS (CMS SANIDAD 1/2022)."/>
    <s v="4 MESES"/>
    <x v="1"/>
    <x v="3"/>
    <x v="29"/>
    <s v="SLZ1"/>
    <x v="740"/>
    <s v="N"/>
    <s v="N"/>
    <s v="S"/>
    <s v="N"/>
  </r>
  <r>
    <x v="4"/>
    <s v="010087"/>
    <s v="AUTORIZACION DE ESTACIONES DE INSPECCION TECNICA DE VEHICULOS (ITV) FIJAS"/>
    <s v="APROBACIÓN DE PROYECTO: 6 MESES_x000d__x000a_PUESTA EN FUNCIONAMIENTO: 3 MESES"/>
    <x v="0"/>
    <x v="4"/>
    <x v="30"/>
    <s v="SIO4"/>
    <x v="741"/>
    <s v="S"/>
    <s v="N"/>
    <s v="S"/>
    <s v="N"/>
  </r>
  <r>
    <x v="4"/>
    <s v="010088"/>
    <s v="COMUNICACION DE AUSENCIA DEL/LA JEFE/ A DE EQUIPO DE LA UNIDAD MOVIL DE LA ESTACION DE ITV"/>
    <s v="10 DÍAS HÁBILES"/>
    <x v="2"/>
    <x v="4"/>
    <x v="30"/>
    <s v="SJF1"/>
    <x v="742"/>
    <s v="S"/>
    <s v="N"/>
    <s v="S"/>
    <s v="N"/>
  </r>
  <r>
    <x v="4"/>
    <s v="010089"/>
    <s v="SOLICITUD DE AUTORIZACION DE LA DELEGACION DE FIRMA DE LA DIRECCION TECNICA DE ESTACION DE ITV O DEL/LA JEFE/A DE EQUIPO DE LA UNIDAD MOVIL"/>
    <s v="10 DÍAS HÁBILES"/>
    <x v="0"/>
    <x v="4"/>
    <x v="30"/>
    <s v="SJF2"/>
    <x v="743"/>
    <s v="S"/>
    <s v="N"/>
    <s v="S"/>
    <s v="N"/>
  </r>
  <r>
    <x v="4"/>
    <s v="010090"/>
    <s v="AUTORIZACION DE CENTRO TECNICO DE TACOGRAFOS"/>
    <s v="3 MESES"/>
    <x v="0"/>
    <x v="4"/>
    <x v="30"/>
    <s v="SJEM"/>
    <x v="744"/>
    <s v="S"/>
    <s v="N"/>
    <s v="S"/>
    <s v="S"/>
  </r>
  <r>
    <x v="4"/>
    <s v="010093"/>
    <s v="AUTORIZACION DE TALLER DE DISPOSITIVOS DE LIMITACION DE VELOCIDAD"/>
    <s v="3 MESES"/>
    <x v="0"/>
    <x v="4"/>
    <x v="30"/>
    <s v="SJEQ"/>
    <x v="745"/>
    <s v="S"/>
    <s v="N"/>
    <s v="S"/>
    <s v="S"/>
  </r>
  <r>
    <x v="4"/>
    <s v="010097"/>
    <s v="BAJA DE ORGANISMO AUTORIZADO DE VERIFICACION METROLOGICA."/>
    <s v="2 MESES"/>
    <x v="0"/>
    <x v="4"/>
    <x v="30"/>
    <s v="SJD3"/>
    <x v="746"/>
    <s v="S"/>
    <s v="N"/>
    <s v="S"/>
    <s v="N"/>
  </r>
  <r>
    <x v="4"/>
    <s v="010099"/>
    <s v="BAJA DE ENTIDAD FABRICANTE / COMERCIALIZADORA / IMPORTADORA/ ARRENDADORA DE INSTRUMENTOS DE MEDIDA SOMETIDOS A CONTROL METROLOGICO DEL ESTADO."/>
    <s v="2 MESES"/>
    <x v="0"/>
    <x v="4"/>
    <x v="30"/>
    <s v="SJD6"/>
    <x v="747"/>
    <s v="S"/>
    <s v="N"/>
    <s v="S"/>
    <s v="N"/>
  </r>
  <r>
    <x v="4"/>
    <s v="010103"/>
    <s v="BAJA DE ORGANISMO NOTIFICADO U ORGANISMO DE CONTROL METROLOGICO"/>
    <s v="2 MESES"/>
    <x v="0"/>
    <x v="4"/>
    <x v="30"/>
    <s v="SJEJ"/>
    <x v="748"/>
    <s v="S"/>
    <s v="N"/>
    <s v="S"/>
    <s v="N"/>
  </r>
  <r>
    <x v="4"/>
    <s v="010108"/>
    <s v="AUTORIZACION ADMINISTRATIVA PREVIA  DE NUEVA INSTALACION  O MODIFICACION SUSTANCIAL DE INSTALACION  ELECTRICA DEL GRUPO PRIMERO."/>
    <s v="6 MESES"/>
    <x v="1"/>
    <x v="4"/>
    <x v="30"/>
    <s v="SJ9E"/>
    <x v="749"/>
    <s v="S"/>
    <s v="N"/>
    <s v="S"/>
    <s v="S"/>
  </r>
  <r>
    <x v="4"/>
    <s v="010109"/>
    <s v="AUTORIZACION ADMINISTRATIVA DE CONSTRUCCION DE NUEVA INSTALACION  O MODIFICACION SUSTANCIAL DE INSTALACION  ELECTRICA DEL GRUPO PRIMERO."/>
    <s v="3 MESES"/>
    <x v="1"/>
    <x v="4"/>
    <x v="30"/>
    <s v="SJ9H"/>
    <x v="750"/>
    <s v="S"/>
    <s v="N"/>
    <s v="S"/>
    <s v="S"/>
  </r>
  <r>
    <x v="4"/>
    <s v="010110"/>
    <s v="AUTORIZACION ADMINISTRATIVA PREVIA  Y DE CONSTRUCCION DE NUEVA INSTALACION  O MODIFICACION SUSTANCIAL DE INSTALACION  ELECTRICA DEL GRUPO SEGUNDO."/>
    <s v="3 MESES"/>
    <x v="1"/>
    <x v="4"/>
    <x v="30"/>
    <s v="SJ9M"/>
    <x v="751"/>
    <s v="S"/>
    <s v="N"/>
    <s v="S"/>
    <s v="S"/>
  </r>
  <r>
    <x v="4"/>
    <s v="010111"/>
    <s v="COMUNICACION DE INSTALACIONES ELECTRICAS DEL GRUPO TERCERO"/>
    <s v="NO PRECISA RESOLUCIÓN"/>
    <x v="2"/>
    <x v="4"/>
    <x v="30"/>
    <s v="MIZ5"/>
    <x v="752"/>
    <s v="S"/>
    <s v="N"/>
    <s v="S"/>
    <s v="N"/>
  </r>
  <r>
    <x v="4"/>
    <s v="010112"/>
    <s v="AUTORIZACION  DE TRANSMISION DE INSTALACIONES ELECTRICAS AUTORIZADAS"/>
    <s v="1 MES"/>
    <x v="1"/>
    <x v="4"/>
    <x v="30"/>
    <s v="SIZ4"/>
    <x v="753"/>
    <s v="S"/>
    <s v="N"/>
    <s v="S"/>
    <s v="N"/>
  </r>
  <r>
    <x v="4"/>
    <s v="010114"/>
    <s v="AUTORIZACION  DE CIERRE DE INSTALACIONES ELECTRICAS AUTORIZADAS"/>
    <s v="1 MES"/>
    <x v="1"/>
    <x v="4"/>
    <x v="30"/>
    <s v="SIZ3"/>
    <x v="754"/>
    <s v="S"/>
    <s v="N"/>
    <s v="S"/>
    <s v="N"/>
  </r>
  <r>
    <x v="4"/>
    <s v="010115"/>
    <s v="AUTORIZACION ADMINISTRATIVA PARA LA CONSTRUCCION, AMPLIACION O MODIFICACION SUSTANCIAL DE INSTALACION DE TRASPORTE SECUNDARIO DE GAS DE COMPETENCIA AUTONOMICA"/>
    <s v="6 MESES"/>
    <x v="1"/>
    <x v="4"/>
    <x v="30"/>
    <s v="SJ9S"/>
    <x v="755"/>
    <s v="S"/>
    <s v="N"/>
    <s v="S"/>
    <s v="S"/>
  </r>
  <r>
    <x v="4"/>
    <s v="010116"/>
    <s v="AUTORIZACION ADMINISTRATIVA PARA LA CONSTRUCCION AMPLIACION O MODIFICACION SUSTANCIAL DE INSTALACIONES DE DISTRIBUCION DE GAS DE COMPETENCIA AUTONOMICA"/>
    <s v="6 MESES"/>
    <x v="1"/>
    <x v="4"/>
    <x v="30"/>
    <s v="SJ9R"/>
    <x v="756"/>
    <s v="S"/>
    <s v="N"/>
    <s v="S"/>
    <s v="N"/>
  </r>
  <r>
    <x v="4"/>
    <s v="010117"/>
    <s v="AUTORIZACION ADMINISTRATIVA PARA LA TRANSMISION DE INSTALACIONES GASISTAS DE COMPETENCIA AUTONOMICA"/>
    <s v="3 MESES"/>
    <x v="1"/>
    <x v="4"/>
    <x v="30"/>
    <s v="SJ9P"/>
    <x v="757"/>
    <s v="S"/>
    <s v="N"/>
    <s v="S"/>
    <s v="N"/>
  </r>
  <r>
    <x v="4"/>
    <s v="010118"/>
    <s v="AUTORIZACION ADMINISTRATIVA PARA EL CIERRE DE INSTALACIONES GASISTAS DE COMPETENCIA AUTONOMICA"/>
    <s v="3 MESES"/>
    <x v="1"/>
    <x v="4"/>
    <x v="30"/>
    <s v="SJ9L"/>
    <x v="758"/>
    <s v="S"/>
    <s v="N"/>
    <s v="S"/>
    <s v="N"/>
  </r>
  <r>
    <x v="4"/>
    <s v="010124"/>
    <s v="AUTORIZACION SECCIONES A)"/>
    <s v="6 MESES"/>
    <x v="1"/>
    <x v="4"/>
    <x v="30"/>
    <s v="SJ93"/>
    <x v="759"/>
    <s v="S"/>
    <s v="N"/>
    <s v="S"/>
    <s v="N"/>
  </r>
  <r>
    <x v="4"/>
    <s v="010125"/>
    <s v="AUTORIZACION SECCIONES B) (EXCEPTO AGUAS)"/>
    <s v="6 MESES"/>
    <x v="1"/>
    <x v="4"/>
    <x v="30"/>
    <s v="SJ94"/>
    <x v="760"/>
    <s v="S"/>
    <s v="N"/>
    <s v="S"/>
    <s v="N"/>
  </r>
  <r>
    <x v="4"/>
    <s v="010126"/>
    <s v="OTORGAMIENTO DE CONCESION DIRECTA DE SECCION C) Y D)"/>
    <s v="6 MESES"/>
    <x v="1"/>
    <x v="4"/>
    <x v="30"/>
    <s v="SI5O"/>
    <x v="761"/>
    <s v="S"/>
    <s v="N"/>
    <s v="S"/>
    <s v="N"/>
  </r>
  <r>
    <x v="4"/>
    <s v="010128"/>
    <s v="OTORGAMIENTO DE CONCESION DERIVADA DE SECCION C) Y D)"/>
    <s v="6 MESES"/>
    <x v="1"/>
    <x v="4"/>
    <x v="30"/>
    <s v="SJ8S"/>
    <x v="762"/>
    <s v="S"/>
    <s v="N"/>
    <s v="S"/>
    <s v="N"/>
  </r>
  <r>
    <x v="4"/>
    <s v="010129"/>
    <s v="OTORGAMIENTO DE DEMASIAS"/>
    <s v="3 MESES"/>
    <x v="1"/>
    <x v="4"/>
    <x v="30"/>
    <s v="SJ8Y"/>
    <x v="763"/>
    <s v="S"/>
    <s v="N"/>
    <s v="S"/>
    <s v="N"/>
  </r>
  <r>
    <x v="4"/>
    <s v="010130"/>
    <s v="OTORGAMIENTO PERMISO DE INVESTIGACION SECCION C) Y D)"/>
    <s v="6 MESES"/>
    <x v="1"/>
    <x v="4"/>
    <x v="30"/>
    <s v="SI5N"/>
    <x v="764"/>
    <s v="S"/>
    <s v="N"/>
    <s v="S"/>
    <s v="S"/>
  </r>
  <r>
    <x v="4"/>
    <s v="010131"/>
    <s v="OTORGAMIENTO PERMISO DE EXPLORACION DE RECURSOS DE LA SECCION C) O D)"/>
    <s v="6 MESES"/>
    <x v="1"/>
    <x v="4"/>
    <x v="30"/>
    <s v="SI5M"/>
    <x v="765"/>
    <s v="S"/>
    <s v="N"/>
    <s v="S"/>
    <s v="S"/>
  </r>
  <r>
    <x v="4"/>
    <s v="010132"/>
    <s v="AUTORIZACION DE PRORROGAS DE DERECHOS MINEROS"/>
    <s v="3 MESES"/>
    <x v="1"/>
    <x v="4"/>
    <x v="30"/>
    <s v="SJ91"/>
    <x v="766"/>
    <s v="S"/>
    <s v="N"/>
    <s v="S"/>
    <s v="N"/>
  </r>
  <r>
    <x v="4"/>
    <s v="010133"/>
    <s v="AUTORIZACION DE ESTABLECIMIENTOS DE BENEFICIO"/>
    <s v="3 MESES"/>
    <x v="1"/>
    <x v="4"/>
    <x v="30"/>
    <s v="SJ8Z"/>
    <x v="767"/>
    <s v="S"/>
    <s v="N"/>
    <s v="S"/>
    <s v="N"/>
  </r>
  <r>
    <x v="4"/>
    <s v="010134"/>
    <s v="APROBACION PROYECTOS ALUMBRAMIENTO DE AGUAS SUBTERRANEAS"/>
    <s v="3 MESES"/>
    <x v="1"/>
    <x v="4"/>
    <x v="30"/>
    <s v="SJ8Q"/>
    <x v="768"/>
    <s v="S"/>
    <s v="N"/>
    <s v="S"/>
    <s v="N"/>
  </r>
  <r>
    <x v="4"/>
    <s v="010136"/>
    <s v="AUTORIZACION DE SUSPENSION TEMPORAL, ABANDONO DEFINITIVO Y REAPERTURA DE LABORES"/>
    <s v="3 MESES"/>
    <x v="1"/>
    <x v="4"/>
    <x v="30"/>
    <s v="SJ95"/>
    <x v="769"/>
    <s v="S"/>
    <s v="N"/>
    <s v="S"/>
    <s v="N"/>
  </r>
  <r>
    <x v="4"/>
    <s v="010137"/>
    <s v="AUTORIZACION TRANSMISION DE DERECHOS MINEROS"/>
    <s v="3 MESES"/>
    <x v="1"/>
    <x v="4"/>
    <x v="30"/>
    <s v="SJ96"/>
    <x v="770"/>
    <s v="S"/>
    <s v="N"/>
    <s v="S"/>
    <s v="N"/>
  </r>
  <r>
    <x v="4"/>
    <s v="010195"/>
    <s v="SOLICITUD AUTORIZACION DE SUELTA DE PIEZAS DE CAZA VIVA"/>
    <s v="3 MESES"/>
    <x v="1"/>
    <x v="4"/>
    <x v="31"/>
    <s v="S261"/>
    <x v="771"/>
    <s v="N"/>
    <s v="N"/>
    <s v="S"/>
    <s v="N"/>
  </r>
  <r>
    <x v="4"/>
    <s v="010197"/>
    <s v="AUTORIZACION /MODIFICACION DE CERRAMIENTO CINEGETICO"/>
    <s v="3 MESES"/>
    <x v="1"/>
    <x v="4"/>
    <x v="31"/>
    <s v="SIJV"/>
    <x v="772"/>
    <s v="N"/>
    <s v="N"/>
    <s v="S"/>
    <s v="N"/>
  </r>
  <r>
    <x v="4"/>
    <s v="010199"/>
    <s v="AUTORIZACIONES EXCEPCIONALES DE METODOS PROHIBIDOS"/>
    <s v="3 MESES"/>
    <x v="1"/>
    <x v="4"/>
    <x v="31"/>
    <s v="SK0V"/>
    <x v="773"/>
    <s v="S"/>
    <s v="N"/>
    <s v="S"/>
    <s v="N"/>
  </r>
  <r>
    <x v="4"/>
    <s v="010200"/>
    <s v="COMUNICACION DE LA CELEBRACION DE MONTERIAS, GANCHOS, BATIDAS, JABALI EN MANO, OJEOS DE PERDIZ Y TIRADAS CONTEMPLADAS EN EL PLAN DE ORDENACION CINEGETICA"/>
    <s v="SE PODRÁ DENEGAR LA CELEBRACIÓN CON UNA ANTELACIÓN MÍNIMA DE TRES DÍAS HÁBILES A LA FECHA DE CELEBRACIÓN"/>
    <x v="0"/>
    <x v="4"/>
    <x v="31"/>
    <s v="SJF4"/>
    <x v="774"/>
    <s v="N"/>
    <s v="N"/>
    <s v="S"/>
    <s v="N"/>
  </r>
  <r>
    <x v="4"/>
    <s v="010201"/>
    <s v="AUTORIZACION PARA LA CAPTURA DE ESPECIES CINEGETICAS CON FINES CIENTIFICOS"/>
    <s v="1 MES"/>
    <x v="1"/>
    <x v="4"/>
    <x v="31"/>
    <s v="S584"/>
    <x v="775"/>
    <s v="S"/>
    <s v="N"/>
    <s v="S"/>
    <s v="N"/>
  </r>
  <r>
    <x v="4"/>
    <s v="010211"/>
    <s v="AUTORIZACION DE INSTALACIONES DE ACUICULTURA"/>
    <s v="3 MESES (SI EL PROYECTO DEBE SOMETERSE AL PROCEDIMIENTO DE EVALUACIÓN DE IMPACTO AMBIENTAL, EL PLAZO QUEDARÁ SUSPENDIDO EN TANTO SE RESUELVA)"/>
    <x v="1"/>
    <x v="4"/>
    <x v="31"/>
    <s v="SIJS"/>
    <x v="776"/>
    <s v="S"/>
    <s v="N"/>
    <s v="S"/>
    <s v="N"/>
  </r>
  <r>
    <x v="4"/>
    <s v="010213"/>
    <s v="AUTORIZACION DE PESCA CIENTIFICA"/>
    <s v="3 MESES"/>
    <x v="1"/>
    <x v="4"/>
    <x v="31"/>
    <s v="SJFC"/>
    <x v="777"/>
    <s v="S"/>
    <s v="N"/>
    <s v="S"/>
    <s v="N"/>
  </r>
  <r>
    <x v="4"/>
    <s v="010214"/>
    <s v="CONCESION DE COTOS DE PESCA A SOCIEDADES COLABORADORAS"/>
    <s v="1 MES"/>
    <x v="1"/>
    <x v="4"/>
    <x v="31"/>
    <s v="SJKV"/>
    <x v="778"/>
    <s v="N"/>
    <s v="N"/>
    <s v="S"/>
    <s v="N"/>
  </r>
  <r>
    <x v="4"/>
    <s v="010215"/>
    <s v="AUTORIZACION PARA EL APROVECHAMIENTO DE LA PESCA EN AGUAS DE REGIMEN PRIVADO"/>
    <s v="3 MESES"/>
    <x v="1"/>
    <x v="4"/>
    <x v="31"/>
    <s v="SJFD"/>
    <x v="779"/>
    <s v="S"/>
    <s v="N"/>
    <s v="S"/>
    <s v="N"/>
  </r>
  <r>
    <x v="4"/>
    <s v="010216"/>
    <s v="AUTORIZACION DE ACTUACIONES QUE MODIFIQUEN LA COMPOSICION O ESTRUCTURA DE LA VEGETACION DE LAS ORILLAS Y MARGENES EN ZONAS DE SERVIDUMBRE DE LAS AGUAS PUBLICAS, EMBALSES, CAUCES Y CANALES DE DERIVACION Y RIEGO ASI COMO EXTRACCION DE PLANTAS ACUATICAS"/>
    <s v="3 MESES"/>
    <x v="1"/>
    <x v="4"/>
    <x v="31"/>
    <s v="SJGB"/>
    <x v="780"/>
    <s v="S"/>
    <s v="N"/>
    <s v="S"/>
    <s v="N"/>
  </r>
  <r>
    <x v="4"/>
    <s v="010217"/>
    <s v="AUTORIZACION PARA REPOBLACIONES POR PARTICULARES O PERSONAS CONCESIONARIAS EN SUS COTOS DE PESCA"/>
    <s v="3 MESES"/>
    <x v="1"/>
    <x v="4"/>
    <x v="31"/>
    <s v="SJFE"/>
    <x v="781"/>
    <s v="S"/>
    <s v="N"/>
    <s v="S"/>
    <s v="N"/>
  </r>
  <r>
    <x v="4"/>
    <s v="010224"/>
    <s v="AUTORIZACION PARA EL TRANSPORTE DE PECES Y CANGREJOS EN VIVO"/>
    <s v="3 MESES"/>
    <x v="1"/>
    <x v="4"/>
    <x v="31"/>
    <s v="S270"/>
    <x v="782"/>
    <s v="S"/>
    <s v="N"/>
    <s v="S"/>
    <s v="N"/>
  </r>
  <r>
    <x v="4"/>
    <s v="010233"/>
    <s v="AUTORIZACION EXCEPCIONAL DE CAPTURA CIENTIFICA"/>
    <s v="1 MES"/>
    <x v="1"/>
    <x v="4"/>
    <x v="31"/>
    <s v="SJ7L"/>
    <x v="783"/>
    <s v="S"/>
    <s v="N"/>
    <s v="S"/>
    <s v="N"/>
  </r>
  <r>
    <x v="4"/>
    <s v="010238"/>
    <s v="AUTORIZACION DE OCUPACIONES TEMPORALES EN MONTES DEMANIALES"/>
    <s v="3 MESES"/>
    <x v="1"/>
    <x v="4"/>
    <x v="31"/>
    <s v="SJFQ"/>
    <x v="784"/>
    <s v="S"/>
    <s v="N"/>
    <s v="S"/>
    <s v="N"/>
  </r>
  <r>
    <x v="4"/>
    <s v="010239"/>
    <s v="AUTORIZACION DE APROVECHAMIENTO FORESTAL"/>
    <s v="3 MESES"/>
    <x v="1"/>
    <x v="4"/>
    <x v="31"/>
    <s v="SI7P"/>
    <x v="785"/>
    <s v="S"/>
    <s v="N"/>
    <s v="S"/>
    <s v="N"/>
  </r>
  <r>
    <x v="4"/>
    <s v="010240"/>
    <s v="MODIFICACION DE LA CUBIERTA VEGETAL"/>
    <s v="3 MESES"/>
    <x v="1"/>
    <x v="4"/>
    <x v="31"/>
    <s v="SJFR"/>
    <x v="786"/>
    <s v="S"/>
    <s v="N"/>
    <s v="S"/>
    <s v="N"/>
  </r>
  <r>
    <x v="4"/>
    <s v="010241"/>
    <s v="TRANSFORMACION EN AGRICOLA DE UN TERRENO FORESTAL EN REGIMEN GENERAL ADMINISTRATIVO"/>
    <s v="3 MESES"/>
    <x v="1"/>
    <x v="4"/>
    <x v="31"/>
    <s v="SG88"/>
    <x v="787"/>
    <s v="S"/>
    <s v="N"/>
    <s v="S"/>
    <s v="N"/>
  </r>
  <r>
    <x v="4"/>
    <s v="010243"/>
    <s v="AUTORIZACION DE OCUPACIONES DE CARACTER TEMPORAL EN VIAS PECUARIAS"/>
    <s v="3 MESES"/>
    <x v="1"/>
    <x v="4"/>
    <x v="31"/>
    <s v="S244"/>
    <x v="788"/>
    <s v="S"/>
    <s v="N"/>
    <s v="S"/>
    <s v="N"/>
  </r>
  <r>
    <x v="4"/>
    <s v="010244"/>
    <s v="AUTORIZACION DE  MODIFICACION DEL TRAZADO DE VIAS PECUARIAS"/>
    <s v="1 AÑO"/>
    <x v="1"/>
    <x v="4"/>
    <x v="31"/>
    <s v="S248"/>
    <x v="789"/>
    <s v="S"/>
    <s v="N"/>
    <s v="S"/>
    <s v="N"/>
  </r>
  <r>
    <x v="4"/>
    <s v="010258"/>
    <s v="NOTIFICACION PREVIA DE TRASLADO DE RESIDUOS"/>
    <s v=""/>
    <x v="2"/>
    <x v="4"/>
    <x v="32"/>
    <s v="NJMU"/>
    <x v="790"/>
    <s v="N"/>
    <s v="N"/>
    <s v="S"/>
    <s v="N"/>
  </r>
  <r>
    <x v="4"/>
    <s v="010264"/>
    <s v="ETIQUETA ECOLOGICA DE LA UNION EUROPEA (EEE)"/>
    <s v="3 MESES."/>
    <x v="1"/>
    <x v="4"/>
    <x v="32"/>
    <s v="SIM6"/>
    <x v="791"/>
    <s v="S"/>
    <s v="N"/>
    <s v="S"/>
    <s v="N"/>
  </r>
  <r>
    <x v="4"/>
    <s v="010267"/>
    <s v="NOTIFICACION DE ACTIVIDADES DE VALORIZACION DE RESIDUOS DE CONSTRUCCION Y DEMOLICION EN EL LUGAR DE PRODUCCION MEDIANTE PLANTAS MOVILES"/>
    <s v=""/>
    <x v="2"/>
    <x v="4"/>
    <x v="32"/>
    <s v="SJAS"/>
    <x v="792"/>
    <s v="S"/>
    <s v="N"/>
    <s v="S"/>
    <s v="S"/>
  </r>
  <r>
    <x v="4"/>
    <s v="010272"/>
    <s v="APROBACION DEL PLAN EMPRESARIAL DE PREVENCION DE RESIDUOS DE ENVASES."/>
    <s v="3 MESES (ARTÍCULO 21 DE LA LEY 39/2015, DE 1 DE OCTUBRE)"/>
    <x v="0"/>
    <x v="4"/>
    <x v="33"/>
    <s v="SJAU"/>
    <x v="793"/>
    <s v="S"/>
    <s v="N"/>
    <s v="S"/>
    <s v="N"/>
  </r>
  <r>
    <x v="4"/>
    <s v="010273"/>
    <s v="COMUNICACION DEL INFORME ANUAL DE SEGUIMIENTO DEL PLAN EMPRESARIAL DE PREVENCION DE RESIDUOS DE ENVASES"/>
    <s v=""/>
    <x v="2"/>
    <x v="4"/>
    <x v="33"/>
    <s v="MJAT"/>
    <x v="794"/>
    <s v="S"/>
    <s v="N"/>
    <s v="S"/>
    <s v="N"/>
  </r>
  <r>
    <x v="4"/>
    <s v="010274"/>
    <s v="NOTIFICACION ADHESION A LA DISPOSICION ADICIONAL PRIMERA DE LA LEY 11/1997 DE ENVASES Y RESIDUOS DE ENVASES"/>
    <s v=""/>
    <x v="2"/>
    <x v="4"/>
    <x v="33"/>
    <s v="NJAR"/>
    <x v="795"/>
    <s v="S"/>
    <s v="N"/>
    <s v="S"/>
    <s v="N"/>
  </r>
  <r>
    <x v="4"/>
    <s v="010275"/>
    <s v="DECLARACION ANUAL DE ENVASES Y RESIDUOS DE ENVASES"/>
    <s v=""/>
    <x v="2"/>
    <x v="4"/>
    <x v="33"/>
    <s v="DJAQ"/>
    <x v="796"/>
    <s v="S"/>
    <s v="N"/>
    <s v="S"/>
    <s v="N"/>
  </r>
  <r>
    <x v="4"/>
    <s v="010278"/>
    <s v="AUTORIZACION AMBIENTAL INTEGRADA Y MODIFICACIONES SUSTANCIALES"/>
    <s v="6 MESES PARA SOLICITUD Y 4 PARA MODIFICACIÓN"/>
    <x v="1"/>
    <x v="4"/>
    <x v="32"/>
    <s v="SJB6"/>
    <x v="797"/>
    <s v="N"/>
    <s v="N"/>
    <s v="S"/>
    <s v="S"/>
  </r>
  <r>
    <x v="4"/>
    <s v="010279"/>
    <s v="COMUNICACION DE MODIFICACION NO SUSTANCIAL DE AUTORIZACION AMBIENTAL INTEGRADA"/>
    <s v="1 MES"/>
    <x v="0"/>
    <x v="4"/>
    <x v="32"/>
    <s v="MJB8"/>
    <x v="798"/>
    <s v="S"/>
    <s v="N"/>
    <s v="S"/>
    <s v="N"/>
  </r>
  <r>
    <x v="4"/>
    <s v="010304"/>
    <s v="MODIFICACION DE LA DURACION DEL ALMACENAMIENTO DE RESIDUOS PELIGROSOS"/>
    <s v="3 MESES"/>
    <x v="1"/>
    <x v="4"/>
    <x v="32"/>
    <s v="SI83"/>
    <x v="799"/>
    <s v="S"/>
    <s v="N"/>
    <s v="S"/>
    <s v="N"/>
  </r>
  <r>
    <x v="4"/>
    <s v="010331"/>
    <s v="CONCESION DE LICENCIA PARA LA PRESTACION DEL SERVICIO PUBLICO DE COMUNICACION AUDIOVISUAL RADIOFONICA DE EXPLOTACION MUNICIPAL."/>
    <s v="6 MESES"/>
    <x v="1"/>
    <x v="4"/>
    <x v="34"/>
    <s v="SIH6"/>
    <x v="800"/>
    <s v="N"/>
    <s v="N"/>
    <s v="S"/>
    <s v="N"/>
  </r>
  <r>
    <x v="4"/>
    <s v="010333"/>
    <s v="AUTORIZACION DE UNIDADES MOVILES DE INSPECCION TECNICA DE VEHICULOS (ITV)."/>
    <s v="3 MESES"/>
    <x v="0"/>
    <x v="4"/>
    <x v="30"/>
    <s v="SIO5"/>
    <x v="801"/>
    <s v="S"/>
    <s v="N"/>
    <s v="S"/>
    <s v="N"/>
  </r>
  <r>
    <x v="4"/>
    <s v="010334"/>
    <s v="AUTORIZACION DE ORGANISMOS PARA LA REALIZACION DE REVISIONES DE APARATOS DE BRONCEADO MEDIANTE RADIACIONES ULTRAVIOLETA"/>
    <s v="3 MESES."/>
    <x v="0"/>
    <x v="4"/>
    <x v="30"/>
    <s v="SIRN"/>
    <x v="802"/>
    <s v="S"/>
    <s v="N"/>
    <s v="S"/>
    <s v="N"/>
  </r>
  <r>
    <x v="4"/>
    <s v="010336"/>
    <s v="CAMBIO DE TITULARIDAD DE LAS ESTACIONES DE INSPECCION TECNICA DE VEHICULOS (ITV)"/>
    <s v="6 MESES"/>
    <x v="0"/>
    <x v="4"/>
    <x v="30"/>
    <s v="SJ6E"/>
    <x v="803"/>
    <s v="S"/>
    <s v="N"/>
    <s v="S"/>
    <s v="N"/>
  </r>
  <r>
    <x v="4"/>
    <s v="010341"/>
    <s v="AUTORIZACION DE CONCENTRACION DE TRABAJOS"/>
    <s v="3 MESES"/>
    <x v="1"/>
    <x v="4"/>
    <x v="30"/>
    <s v="SJ8W"/>
    <x v="804"/>
    <s v="S"/>
    <s v="N"/>
    <s v="S"/>
    <s v="N"/>
  </r>
  <r>
    <x v="4"/>
    <s v="010344"/>
    <s v="DECLARACION RESPONSABLE DE ORGANISMOS DE CONTROL EN MATERIA DE SEGURIDAD INDUSTRIAL"/>
    <s v=""/>
    <x v="2"/>
    <x v="4"/>
    <x v="30"/>
    <s v="SJEK"/>
    <x v="805"/>
    <s v="S"/>
    <s v="N"/>
    <s v="S"/>
    <s v="N"/>
  </r>
  <r>
    <x v="4"/>
    <s v="010352"/>
    <s v="COMUNICACION DE CORTA."/>
    <s v=""/>
    <x v="2"/>
    <x v="4"/>
    <x v="31"/>
    <s v="SJNW"/>
    <x v="806"/>
    <s v="S"/>
    <s v="N"/>
    <s v="S"/>
    <s v="N"/>
  </r>
  <r>
    <x v="4"/>
    <s v="010357"/>
    <s v="REGIMEN DE PUNTOS LIMPIOS FIJOS EN CASTILLA-LA MANCHA"/>
    <s v="10 MESES A CONTAR DESDE LA RECEPCIÓN DE LA SOLICITUD"/>
    <x v="1"/>
    <x v="4"/>
    <x v="32"/>
    <s v="SJL5"/>
    <x v="807"/>
    <s v="N"/>
    <s v="N"/>
    <s v="S"/>
    <s v="N"/>
  </r>
  <r>
    <x v="4"/>
    <s v="010358"/>
    <s v="COMUNICACION DE INICIO DE ACTIVIDAD DE PUNTO LIMPIO MOVIL EN CASTILLA-LA MANCHA"/>
    <s v=""/>
    <x v="2"/>
    <x v="4"/>
    <x v="32"/>
    <s v="MJL6"/>
    <x v="808"/>
    <s v="N"/>
    <s v="N"/>
    <s v="S"/>
    <s v="N"/>
  </r>
  <r>
    <x v="4"/>
    <s v="010382"/>
    <s v="AUTORIZACION PARA LA CESION DE ESPECIES SILVESTRES PROVENIENTES DE CENTROS DE FAUNA"/>
    <s v="3 MESES"/>
    <x v="1"/>
    <x v="4"/>
    <x v="31"/>
    <s v="SJSG"/>
    <x v="809"/>
    <s v="S"/>
    <s v="N"/>
    <s v="S"/>
    <s v="N"/>
  </r>
  <r>
    <x v="4"/>
    <s v="010383"/>
    <s v="AUTORIZACION PARA LA TOMA DE IMAGENES EN EL MEDIO NATURAL"/>
    <s v="3 MESES"/>
    <x v="1"/>
    <x v="4"/>
    <x v="31"/>
    <s v="SJSD"/>
    <x v="810"/>
    <s v="S"/>
    <s v="N"/>
    <s v="S"/>
    <s v="N"/>
  </r>
  <r>
    <x v="4"/>
    <s v="010399"/>
    <s v="REMISION DEL INFORME PRELIMINAR DE SITUACION DEL SUELO E INFORME PERIODICO DE SEGUIMIENTO"/>
    <s v=""/>
    <x v="4"/>
    <x v="4"/>
    <x v="32"/>
    <s v="BJVL"/>
    <x v="811"/>
    <s v="N"/>
    <s v="N"/>
    <s v="S"/>
    <s v="N"/>
  </r>
  <r>
    <x v="4"/>
    <s v="010404"/>
    <s v="AUTORIZACION COTOS MINEROS"/>
    <s v="TRES MESES"/>
    <x v="1"/>
    <x v="4"/>
    <x v="30"/>
    <s v="SJWE"/>
    <x v="812"/>
    <s v="S"/>
    <s v="N"/>
    <s v="S"/>
    <s v="N"/>
  </r>
  <r>
    <x v="4"/>
    <s v="010405"/>
    <s v="CADUCIDAD DE DERECHOS MINEROS"/>
    <s v="TRES MESES"/>
    <x v="1"/>
    <x v="4"/>
    <x v="30"/>
    <s v="SJWF"/>
    <x v="813"/>
    <s v="S"/>
    <s v="N"/>
    <s v="S"/>
    <s v="N"/>
  </r>
  <r>
    <x v="4"/>
    <s v="010439"/>
    <s v="AMPLIACION DEL PLAZO ESTABLECIDO POR RESOLUCION PARA INSTALACIONES ELECTRICAS O GASISTICAS AUTORIZADAS"/>
    <s v="3 MESES"/>
    <x v="1"/>
    <x v="4"/>
    <x v="30"/>
    <s v="SJYA"/>
    <x v="814"/>
    <s v="S"/>
    <s v="N"/>
    <s v="S"/>
    <s v="N"/>
  </r>
  <r>
    <x v="4"/>
    <s v="010440"/>
    <s v="COMUNICACION DE INICIO DE ACTIVIDAD EN EL  REGISTRO PRODUCCION Y GESTION DE RESIDUOS DE CASTILLA-LA MANCHA. AGENTES Y NEGOCIANTES"/>
    <s v=""/>
    <x v="2"/>
    <x v="4"/>
    <x v="32"/>
    <s v="MJNX"/>
    <x v="815"/>
    <s v="S"/>
    <s v="N"/>
    <s v="S"/>
    <s v="S"/>
  </r>
  <r>
    <x v="4"/>
    <s v="010441"/>
    <s v="NOTIFICACION DE ACTIVIDADES POTENCIAMENTE CONTAMINADORAS DE LA ATMOSFERA PERTENECIENTES AL GRUPO C"/>
    <s v=""/>
    <x v="2"/>
    <x v="4"/>
    <x v="32"/>
    <s v="NJYS"/>
    <x v="816"/>
    <s v="S"/>
    <s v="N"/>
    <s v="S"/>
    <s v="N"/>
  </r>
  <r>
    <x v="4"/>
    <s v="010442"/>
    <s v="COMUNICACION DE APORTACION DE MEMORIA ANUAL DE ACTIVIDADES DE ESTACIONES DE ITV"/>
    <s v=""/>
    <x v="0"/>
    <x v="4"/>
    <x v="30"/>
    <s v="SJYT"/>
    <x v="817"/>
    <s v="S"/>
    <s v="N"/>
    <s v="S"/>
    <s v="N"/>
  </r>
  <r>
    <x v="4"/>
    <s v="010443"/>
    <s v="COMUNICACION DE APORTACION DE MEMORIA ANUAL DE ACTIVIDADES DE ORGANISMOS AUTORIZADOS DE VERIFICACION METROLOGICA"/>
    <s v=""/>
    <x v="0"/>
    <x v="4"/>
    <x v="30"/>
    <s v="SJYU"/>
    <x v="818"/>
    <s v="S"/>
    <s v="N"/>
    <s v="S"/>
    <s v="N"/>
  </r>
  <r>
    <x v="4"/>
    <s v="010444"/>
    <s v="COMUNICACION DE APORTACION DE MEMORIA ANUAL DE ACTIVIDADES DE ORGANISMOS DE CONTROL (OCAS)"/>
    <s v=""/>
    <x v="0"/>
    <x v="4"/>
    <x v="30"/>
    <s v="SJZ1"/>
    <x v="819"/>
    <s v="S"/>
    <s v="N"/>
    <s v="S"/>
    <s v="N"/>
  </r>
  <r>
    <x v="4"/>
    <s v="010445"/>
    <s v="AUTORIZACION, MODIFICACION Y/O RENOVACION  DE ENTIDADES Y PROFESIONALES PARA EL SEGUIMIENTO Y CONTROL DE ACTIVIDADES SOMETIDAS A EVALUACION DE IMPACTO AMBIENTAL."/>
    <s v="3 MESES."/>
    <x v="0"/>
    <x v="4"/>
    <x v="32"/>
    <s v="SIRS"/>
    <x v="820"/>
    <s v="S"/>
    <s v="N"/>
    <s v="S"/>
    <s v="N"/>
  </r>
  <r>
    <x v="4"/>
    <s v="010446"/>
    <s v="NOTIFICACION DE INICIO DE ACTUACION DE ORGANISMOS DE CONTROL AUTORIZADOS EN EL AREA DE ATMOSFERA EN EL AMBITO TERRITORIAL DE CASTILLA-LA MANCHA."/>
    <s v=""/>
    <x v="4"/>
    <x v="4"/>
    <x v="32"/>
    <s v="NJZD"/>
    <x v="821"/>
    <s v="S"/>
    <s v="N"/>
    <s v="S"/>
    <s v="N"/>
  </r>
  <r>
    <x v="4"/>
    <s v="010451"/>
    <s v="CONCURSO PUBLICO DE DERECHOS MINEROS"/>
    <s v="3 MESES"/>
    <x v="1"/>
    <x v="4"/>
    <x v="30"/>
    <s v="SJZT"/>
    <x v="822"/>
    <s v="S"/>
    <s v="N"/>
    <s v="S"/>
    <s v="N"/>
  </r>
  <r>
    <x v="4"/>
    <s v="010458"/>
    <s v="COMUNICACION DE REALIZACION DE ACCIONES EXCEPCIONALES PARA EL CONTROL DE DAÑOS PRODUCIDOS POR ESPECIES CINEGETICAS AUTORIZADAS EN LA RESOLUCION APROBATORIA DEL PLAN DE ORDENACION CINEGETICA"/>
    <s v=""/>
    <x v="2"/>
    <x v="4"/>
    <x v="31"/>
    <s v="SJF3"/>
    <x v="823"/>
    <s v="N"/>
    <s v="N"/>
    <s v="S"/>
    <s v="N"/>
  </r>
  <r>
    <x v="4"/>
    <s v="010463"/>
    <s v="HOMOLOGACION DE METODOS DE CAPTURA DE ESPECIES CINEGETICAS DEPREDADORAS, PERROS Y GATOS DOMESTICOS ASILVESTRADOS."/>
    <s v="6 MESES"/>
    <x v="1"/>
    <x v="4"/>
    <x v="31"/>
    <s v="SK17"/>
    <x v="824"/>
    <s v="S"/>
    <s v="N"/>
    <s v="S"/>
    <s v="N"/>
  </r>
  <r>
    <x v="4"/>
    <s v="010469"/>
    <s v="AUTORIZACION DE EMISION DE GASES DE EFECTO INVERNADERO"/>
    <s v="3 MESES"/>
    <x v="1"/>
    <x v="4"/>
    <x v="32"/>
    <s v="SJBE"/>
    <x v="825"/>
    <s v="N"/>
    <s v="N"/>
    <s v="S"/>
    <s v="N"/>
  </r>
  <r>
    <x v="4"/>
    <s v="010500"/>
    <s v="APROBACION O REVISION DEL PLAN TECNICO DE PESCA"/>
    <s v="3 MESES"/>
    <x v="1"/>
    <x v="4"/>
    <x v="31"/>
    <s v="SJH1"/>
    <x v="826"/>
    <s v="S"/>
    <s v="N"/>
    <s v="S"/>
    <s v="N"/>
  </r>
  <r>
    <x v="4"/>
    <s v="010508"/>
    <s v="COMUNICACION DE APROVECHAMIENTO FORESTAL (MONTES CON INSTRUMENTO DE GESTION FORESTAL SOSTENIBLE -IGFS-)"/>
    <s v=""/>
    <x v="2"/>
    <x v="4"/>
    <x v="31"/>
    <s v="MKAU"/>
    <x v="827"/>
    <s v="S"/>
    <s v="N"/>
    <s v="S"/>
    <s v="N"/>
  </r>
  <r>
    <x v="4"/>
    <s v="010512"/>
    <s v="COMUNICACION DE PRODUCTORES DE LODO DE EDAR"/>
    <s v=""/>
    <x v="2"/>
    <x v="4"/>
    <x v="32"/>
    <s v="MJAY"/>
    <x v="828"/>
    <s v="N"/>
    <s v="N"/>
    <s v="S"/>
    <s v="N"/>
  </r>
  <r>
    <x v="4"/>
    <s v="010513"/>
    <s v="ASIGNACION GRATUITA DE DERECHOS DE EMISION DE GASES DE EFECTO INVERNADERO PARA NUEVOS ENTRANTES PARA EL PERIODO 2021-2030."/>
    <s v=""/>
    <x v="2"/>
    <x v="4"/>
    <x v="32"/>
    <s v="SK2B"/>
    <x v="829"/>
    <s v="N"/>
    <s v="N"/>
    <s v="S"/>
    <s v="N"/>
  </r>
  <r>
    <x v="4"/>
    <s v="010514"/>
    <s v="MODIFICACION DEL PLAN DE SEGUIMIENTO DE EMISIONES DE GASES DE EFECTO INVERNADERO."/>
    <s v="3 MESES."/>
    <x v="0"/>
    <x v="4"/>
    <x v="32"/>
    <s v="SKDD"/>
    <x v="830"/>
    <s v="N"/>
    <s v="N"/>
    <s v="S"/>
    <s v="N"/>
  </r>
  <r>
    <x v="4"/>
    <s v="010516"/>
    <s v="COMUNICACION PARA LA REALIZACION DE REPOBLACIONES EN COTOS DE PESCA"/>
    <s v=""/>
    <x v="2"/>
    <x v="4"/>
    <x v="31"/>
    <s v="MKDH"/>
    <x v="831"/>
    <s v="N"/>
    <s v="N"/>
    <s v="S"/>
    <s v="N"/>
  </r>
  <r>
    <x v="4"/>
    <s v="010519"/>
    <s v="LICENCIA DE CAZA Y PESCA"/>
    <s v="3 MESES"/>
    <x v="1"/>
    <x v="4"/>
    <x v="31"/>
    <s v="SKEE"/>
    <x v="832"/>
    <s v="S"/>
    <s v="N"/>
    <s v="S"/>
    <s v="N"/>
  </r>
  <r>
    <x v="4"/>
    <s v="010525"/>
    <s v="ACTIVIDADES DEPORTIVAS DE AVENTURA EN EL PARQUE NATURAL CALARES DEL MUNDO Y DE LA SIMA"/>
    <s v="APLICABLE SÓLO A AUTORIZACIONES: 3 MESES"/>
    <x v="1"/>
    <x v="4"/>
    <x v="31"/>
    <s v="SKGZ"/>
    <x v="833"/>
    <s v="S"/>
    <s v="N"/>
    <s v="S"/>
    <s v="N"/>
  </r>
  <r>
    <x v="4"/>
    <s v="010542"/>
    <s v="RECOLECCION DE SETAS SILVESTRES EN LOS MONTES DE LA COMUNIDAD AUTONOMA DE CASTILLA-LA MANCHA"/>
    <s v="1 MES"/>
    <x v="1"/>
    <x v="4"/>
    <x v="31"/>
    <s v="SKOB"/>
    <x v="834"/>
    <s v="S"/>
    <s v="N"/>
    <s v="S"/>
    <s v="N"/>
  </r>
  <r>
    <x v="4"/>
    <s v="010544"/>
    <s v="COMUNICACION DE AUDITORIA ENERGETICA"/>
    <s v=""/>
    <x v="2"/>
    <x v="4"/>
    <x v="30"/>
    <s v="MKP8"/>
    <x v="835"/>
    <s v="N"/>
    <s v="N"/>
    <s v="S"/>
    <s v="N"/>
  </r>
  <r>
    <x v="4"/>
    <s v="010549"/>
    <s v="COMUNICACION SOBRE EL CONTROL DE DAÑOS POR CONEJO DE MONTE"/>
    <s v=""/>
    <x v="2"/>
    <x v="4"/>
    <x v="31"/>
    <s v="MKQD"/>
    <x v="836"/>
    <s v="S"/>
    <s v="N"/>
    <s v="S"/>
    <s v="N"/>
  </r>
  <r>
    <x v="4"/>
    <s v="010552"/>
    <s v="AUTORIZACION DE VUELO PARA EJEMPLARES PROGENITORES INCLUIDOS EN PROGRAMA DE CRIA DE AVES RAPACES AUTORIZADO"/>
    <s v="3 MESES"/>
    <x v="0"/>
    <x v="4"/>
    <x v="31"/>
    <s v="SKRE"/>
    <x v="837"/>
    <s v="S"/>
    <s v="N"/>
    <s v="S"/>
    <s v="N"/>
  </r>
  <r>
    <x v="4"/>
    <s v="010576"/>
    <s v="VALORIZACION DE MATERIALES NATURALES EXCAVADOS PARA SU UTILIZACION EN OPERACIONES DE RELLENO Y OBRAS DISTINTAS A AQUELLAS EN LAS QUE SE GENERARON"/>
    <s v=""/>
    <x v="2"/>
    <x v="4"/>
    <x v="32"/>
    <s v="MKY7"/>
    <x v="838"/>
    <s v="S"/>
    <s v="N"/>
    <s v="S"/>
    <s v="N"/>
  </r>
  <r>
    <x v="4"/>
    <s v="010582"/>
    <s v="AUTORIZACION Y SEGUIMIENTO DE SISTEMAS COLECTIVOS DE RESPONSABILIDAD AMPLIADA DEL PRODUCTOR"/>
    <s v="6 MESES (PRORROGABLES DE MANERA MOTIVADA, POR RAZONES DERIVADAS DE LA COMPLEJIDAD DEL EXPEDIENTE)"/>
    <x v="1"/>
    <x v="4"/>
    <x v="33"/>
    <s v="SL0B"/>
    <x v="839"/>
    <s v="N"/>
    <s v="N"/>
    <s v="S"/>
    <s v="N"/>
  </r>
  <r>
    <x v="4"/>
    <s v="010583"/>
    <s v="COMUNICACION PREVIA Y SEGUIMIENTO DE SISTEMAS INDIVIDUALES DE RESPONSABILIDAD AMPLIADA DEL PRODUCTOR"/>
    <s v=""/>
    <x v="2"/>
    <x v="4"/>
    <x v="33"/>
    <s v="ML0C"/>
    <x v="840"/>
    <s v="N"/>
    <s v="N"/>
    <s v="S"/>
    <s v="N"/>
  </r>
  <r>
    <x v="4"/>
    <s v="010587"/>
    <s v="SORTEO DE PERMISOS DE CAZA DE COTOS SOCIALES."/>
    <s v=""/>
    <x v="2"/>
    <x v="4"/>
    <x v="31"/>
    <s v="SL1E"/>
    <x v="841"/>
    <s v="S"/>
    <s v="N"/>
    <s v="S"/>
    <s v="N"/>
  </r>
  <r>
    <x v="4"/>
    <s v="010589"/>
    <s v="COMUNICACION PREVIA PLATAFORMAS LOGISTICAS DE LA DISTRIBUCION RAEE"/>
    <s v=""/>
    <x v="2"/>
    <x v="4"/>
    <x v="32"/>
    <s v="ML1Z"/>
    <x v="842"/>
    <s v="S"/>
    <s v="N"/>
    <s v="S"/>
    <s v="N"/>
  </r>
  <r>
    <x v="4"/>
    <s v="010595"/>
    <s v="COMUNICACION DE AMENAZA INMINENTE DE DAÑOS Y/O DAÑOS, Y DE LAS MEDIDAS DE PREVENCION Y DE EVITACION DE NUEVOS DAÑOS ADOPTADAS E INICIO DEL PROCEDIMIENTO DE EXIGENCIA DE RESPONSABILIDAD MEDIOAMBIENTAL"/>
    <s v="EL ÓRGANO COMPETENTE SE PRONUNCIARÁ SOBRE LA ADMISIÓN DE LA SOLICITUD DE INICIO DEL PROCEDIMIENTO DE EXIGENCIA DE RESPONSABILIDAD MEDIOAMBIENTAL EN UN PLAZO DE 10 DÍAS HÁBILES DESDE LA RECEPCIÓN DE LA SOLICITUD"/>
    <x v="0"/>
    <x v="4"/>
    <x v="32"/>
    <s v="ML3Y"/>
    <x v="843"/>
    <s v="S"/>
    <s v="N"/>
    <s v="S"/>
    <s v="N"/>
  </r>
  <r>
    <x v="4"/>
    <s v="010602"/>
    <s v="AUTORIZACION DE MATERIALES DE BASE PARA LA PRODUCCION DE MATERIALES FORESTALES DE REPRODUCCION DESTINADOS A LA COMERCIALIZACION EN LAS CATEGORIAS IDENTIFICADO Y CONTROLADO."/>
    <s v="6 MESES"/>
    <x v="1"/>
    <x v="4"/>
    <x v="31"/>
    <s v="SL4Q"/>
    <x v="844"/>
    <s v="S"/>
    <s v="N"/>
    <s v="S"/>
    <s v="N"/>
  </r>
  <r>
    <x v="4"/>
    <s v="010603"/>
    <s v="APROBACION DEL PLAN DE PRODUCCION Y/O GESTION DE ESTIERCOLES GANADEROS"/>
    <s v="3 MESES"/>
    <x v="1"/>
    <x v="4"/>
    <x v="32"/>
    <s v="SL4X"/>
    <x v="845"/>
    <s v="S"/>
    <s v="N"/>
    <s v="S"/>
    <s v="N"/>
  </r>
  <r>
    <x v="4"/>
    <s v="010614"/>
    <s v="COMPRA DE PRODUCTOS CINEGETICIOS DE GRANJAS CINEGETICAS GESTIONADAS POR LA JUNTA DE COMUNIDADES DE CASTILLA-LA MANCHA"/>
    <s v="3 MESES"/>
    <x v="1"/>
    <x v="4"/>
    <x v="31"/>
    <s v="SL8I"/>
    <x v="846"/>
    <s v="N"/>
    <s v="N"/>
    <s v="S"/>
    <s v="N"/>
  </r>
  <r>
    <x v="4"/>
    <s v="010620"/>
    <s v="RENOVACION DE CARNET DE ESPECIALISTA ACREDITADO/A PARA EL USO DE METODOS HOMOLOGADOS DE CAPTURA DE ESPECIES CINEGETICAS DEPREDADORAS, PERROS Y GATOS DOMESTICOS ASILVESTRADOS"/>
    <s v="2 MESES"/>
    <x v="1"/>
    <x v="4"/>
    <x v="31"/>
    <s v="SLBA"/>
    <x v="847"/>
    <s v="S"/>
    <s v="N"/>
    <s v="S"/>
    <s v="N"/>
  </r>
  <r>
    <x v="4"/>
    <s v="010625"/>
    <s v="DOCUMENTO DE IDENTIFICACION DE RESIDUOS"/>
    <s v=""/>
    <x v="2"/>
    <x v="4"/>
    <x v="32"/>
    <s v="NLCW"/>
    <x v="848"/>
    <s v="N"/>
    <s v="N"/>
    <s v="S"/>
    <s v="N"/>
  </r>
  <r>
    <x v="4"/>
    <s v="010627"/>
    <s v="PRECINTOS PARA LA ACTIVIDAD CINEGETICA"/>
    <s v="3 MESES"/>
    <x v="1"/>
    <x v="4"/>
    <x v="31"/>
    <s v="SLDJ"/>
    <x v="849"/>
    <s v="N"/>
    <s v="N"/>
    <s v="S"/>
    <s v="N"/>
  </r>
  <r>
    <x v="4"/>
    <s v="010632"/>
    <s v="COMUNICACION DE RESULTADOS DE LA ACTIVIDAD CINEGETICA DURANTE EL PERIODO DE MEDIA VEDA."/>
    <s v=""/>
    <x v="2"/>
    <x v="4"/>
    <x v="31"/>
    <s v="MLEC"/>
    <x v="850"/>
    <s v="N"/>
    <s v="N"/>
    <s v="S"/>
    <s v="N"/>
  </r>
  <r>
    <x v="4"/>
    <s v="010647"/>
    <s v="OBTENCION DE NIMA PARA ENTIDADES NO SUJETAS A COMUNICACION DE INICIO, NI A AUTORIZACION DE RESIDUOS. POSEEDOR."/>
    <s v="3 MESES"/>
    <x v="0"/>
    <x v="4"/>
    <x v="32"/>
    <s v="MLKT"/>
    <x v="851"/>
    <s v="N"/>
    <s v="N"/>
    <s v="S"/>
    <s v="N"/>
  </r>
  <r>
    <x v="4"/>
    <s v="010656"/>
    <s v="AUTORIZACION DE ALIMENTACION SUPLEMENTARIA EN TERRENOS CINEGETICOS."/>
    <s v="3 MESES"/>
    <x v="0"/>
    <x v="4"/>
    <x v="31"/>
    <s v="SLML"/>
    <x v="852"/>
    <s v="N"/>
    <s v="N"/>
    <s v="S"/>
    <s v="N"/>
  </r>
  <r>
    <x v="4"/>
    <s v="010660"/>
    <s v="RECONOCIMIENTO DE LA CONDICION DE TITULAR DEL APROVECHAMIENTO CINEGETICO"/>
    <s v="3 MESES"/>
    <x v="1"/>
    <x v="4"/>
    <x v="31"/>
    <s v="MLOA"/>
    <x v="853"/>
    <s v="S"/>
    <s v="N"/>
    <s v="S"/>
    <s v="N"/>
  </r>
  <r>
    <x v="4"/>
    <s v="010667"/>
    <s v="AUTORIZACION DE INTERRUPCIONES DEL SUMINISTRO ELECTRICO PROGRAMADAS"/>
    <s v="48 HORAS."/>
    <x v="0"/>
    <x v="4"/>
    <x v="30"/>
    <s v="SLQZ"/>
    <x v="854"/>
    <s v="N"/>
    <s v="N"/>
    <s v="S"/>
    <s v="N"/>
  </r>
  <r>
    <x v="4"/>
    <s v="010670"/>
    <s v="ACTIVIDADES RECREATIVAS, DEPORTIVAS Y DE USO PUBLICO EN LA RED DE AREAS PROTEGIDAS, MONTES DE UTILIDAD PUBLICA Y EN EL MEDIO NATURAL DE CASTILLA-LA MANCHA (EXCEPTO PARQUE NATURAL DE CALARES DEL MUNDO Y DE LA SIMA)"/>
    <s v="VER &quot;INFORMACIÓN ADICIONAL&quot;"/>
    <x v="2"/>
    <x v="4"/>
    <x v="31"/>
    <s v="SLTF"/>
    <x v="855"/>
    <s v="S"/>
    <s v="N"/>
    <s v="S"/>
    <s v="N"/>
  </r>
  <r>
    <x v="4"/>
    <s v="010671"/>
    <s v="COMUNICACION DE SUELTAS DE PIEZAS DE CAZA VIVA EN CUARTELES DE CAZA COMERCIAL"/>
    <s v=""/>
    <x v="0"/>
    <x v="4"/>
    <x v="31"/>
    <s v="MLTH"/>
    <x v="856"/>
    <s v="N"/>
    <s v="N"/>
    <s v="S"/>
    <s v="N"/>
  </r>
  <r>
    <x v="4"/>
    <s v="010672"/>
    <s v="AUTORIZACION PARA LA INSTALACION DE CAPTURADERO DE CAZA O PARQUE DE VUELO PARA LA ACLIMATACION DE ESPECIES CINEGETICAS"/>
    <s v="3 MESES"/>
    <x v="1"/>
    <x v="4"/>
    <x v="31"/>
    <s v="SLUF"/>
    <x v="857"/>
    <s v="N"/>
    <s v="N"/>
    <s v="S"/>
    <s v="N"/>
  </r>
  <r>
    <x v="4"/>
    <s v="015108"/>
    <s v="APROBACION PLAN DE ORDENACION CINEGETICA"/>
    <s v=""/>
    <x v="1"/>
    <x v="4"/>
    <x v="31"/>
    <s v="SJF6"/>
    <x v="858"/>
    <s v="S"/>
    <s v="N"/>
    <s v="S"/>
    <s v="N"/>
  </r>
  <r>
    <x v="4"/>
    <s v="015109"/>
    <s v="MEMORIA ANUAL DE GESTION CINEGETICA"/>
    <s v=""/>
    <x v="1"/>
    <x v="4"/>
    <x v="31"/>
    <s v="MKRK"/>
    <x v="859"/>
    <s v="S"/>
    <s v="N"/>
    <s v="S"/>
    <s v="N"/>
  </r>
  <r>
    <x v="4"/>
    <s v="015110"/>
    <s v="AUTORIZACION, MODIFICACION O CAMBIO DE TITULAR DE GRANJAS CINEGETICAS."/>
    <s v="3 MESES"/>
    <x v="1"/>
    <x v="4"/>
    <x v="31"/>
    <s v="S204"/>
    <x v="860"/>
    <s v="N"/>
    <s v="N"/>
    <s v="S"/>
    <s v="N"/>
  </r>
  <r>
    <x v="4"/>
    <s v="015111"/>
    <s v="MEMORIA ANUAL DE GESTION (GRANJAS CINEGETICAS)"/>
    <s v="3 MESES"/>
    <x v="1"/>
    <x v="4"/>
    <x v="31"/>
    <s v="SKKX"/>
    <x v="861"/>
    <s v="N"/>
    <s v="N"/>
    <s v="S"/>
    <s v="N"/>
  </r>
  <r>
    <x v="4"/>
    <s v="015112"/>
    <s v="AUTORIZACION DE COMPETICIONES Y CONCURSOS DE PESCA"/>
    <s v="1 MES"/>
    <x v="1"/>
    <x v="4"/>
    <x v="31"/>
    <s v="SKPE"/>
    <x v="862"/>
    <s v="N"/>
    <s v="N"/>
    <s v="S"/>
    <s v="N"/>
  </r>
  <r>
    <x v="4"/>
    <s v="015113"/>
    <s v="AUTORIZACION DE CONCURSOS Y COMPETICIONES DE PESCA NOCTURNA"/>
    <s v="1 MES"/>
    <x v="1"/>
    <x v="4"/>
    <x v="31"/>
    <s v="SJFI"/>
    <x v="863"/>
    <s v="N"/>
    <s v="N"/>
    <s v="S"/>
    <s v="N"/>
  </r>
  <r>
    <x v="4"/>
    <s v="015122"/>
    <s v="AUTORIZACION DE EXPLORACION DE HIDROCARBUROS."/>
    <s v="6 MESES"/>
    <x v="1"/>
    <x v="4"/>
    <x v="30"/>
    <s v="SIKQ"/>
    <x v="864"/>
    <s v="N"/>
    <s v="N"/>
    <s v="S"/>
    <s v="N"/>
  </r>
  <r>
    <x v="4"/>
    <s v="015123"/>
    <s v="AUTORIZACION DE INVESTIGACION DE HIDROCARBUROS."/>
    <s v="6 MESES"/>
    <x v="1"/>
    <x v="4"/>
    <x v="30"/>
    <s v="SK06"/>
    <x v="865"/>
    <s v="N"/>
    <s v="N"/>
    <s v="S"/>
    <s v="N"/>
  </r>
  <r>
    <x v="4"/>
    <s v="015128"/>
    <s v="NOTIFICACION PREVIA POR ESCRITO DE TRASLADOS TRANSFRONTERIZOS DE RESIDUOS"/>
    <s v="30 DÍAS DESDE QUE LA AUTORIDAD COMPETENTE DE DESTINO EMITA EL ACUSE DE RECIBO DE LA NOTIFICACIÓN (ART. 9 DEL REGLAMENTO Nº 1013/2006)"/>
    <x v="1"/>
    <x v="4"/>
    <x v="32"/>
    <s v="SJME"/>
    <x v="866"/>
    <s v="N"/>
    <s v="N"/>
    <s v="S"/>
    <s v="N"/>
  </r>
  <r>
    <x v="4"/>
    <s v="015129"/>
    <s v="SOLICITUD DOCUMENTOS DE NOTIFICACION Y MOVIMIENTO TRASLADOS TRANSFRONTERIZOS DE RESIDUOS"/>
    <s v="30 DÍAS DESDE QUE LA AUTORIDAD COMPETENTE DE DESTINO EMITA EL ACUSE DE RECIBO DE LA NOTIFICACIÓN (ART. 9 DEL REGLAMENTO Nº 1013/2006)"/>
    <x v="1"/>
    <x v="4"/>
    <x v="32"/>
    <s v="SLF1"/>
    <x v="867"/>
    <s v="N"/>
    <s v="N"/>
    <s v="S"/>
    <s v="N"/>
  </r>
  <r>
    <x v="4"/>
    <s v="015386"/>
    <s v="TRANSMISION DE LA AUTORIZACION PARA REALIZAR OPERACIONES DE TRATAMIENTO DE RESIDUOS O MODIFICACION DE LA RAZON SOCIAL"/>
    <s v="10 MESES."/>
    <x v="1"/>
    <x v="4"/>
    <x v="32"/>
    <s v="SK0O"/>
    <x v="868"/>
    <s v="S"/>
    <s v="N"/>
    <s v="S"/>
    <s v="N"/>
  </r>
  <r>
    <x v="4"/>
    <s v="015387"/>
    <s v="REMISION DE DOCUMENTACION COMPLEMENTARIA AL PROCEDIMIENTO DE AUTORIZACION PARA REALIZAR OPERACIONES DE TRATAMIENTO DE RESIDUOS"/>
    <s v="10 MESES."/>
    <x v="1"/>
    <x v="4"/>
    <x v="32"/>
    <s v="SKAS"/>
    <x v="869"/>
    <s v="S"/>
    <s v="N"/>
    <s v="S"/>
    <s v="N"/>
  </r>
  <r>
    <x v="4"/>
    <s v="015388"/>
    <s v="AUTORIZACION PARA REALIZAR OPERACIONES DE TRATAMIENTO DE RESIDUOS."/>
    <s v="10 MESES."/>
    <x v="1"/>
    <x v="4"/>
    <x v="32"/>
    <s v="SJS0"/>
    <x v="870"/>
    <s v="S"/>
    <s v="N"/>
    <s v="S"/>
    <s v="S"/>
  </r>
  <r>
    <x v="4"/>
    <s v="015437"/>
    <s v="SOLICITUD DE AUTORIZACION DE QUEMA DE RESTOS VEGETALES EN MONTE O TERRENO FORESTAL"/>
    <s v="10 DIAS HÁBILES EN CASO DE AUTORIZACION"/>
    <x v="1"/>
    <x v="4"/>
    <x v="31"/>
    <s v="SJW9"/>
    <x v="871"/>
    <s v="S"/>
    <s v="N"/>
    <s v="S"/>
    <s v="N"/>
  </r>
  <r>
    <x v="4"/>
    <s v="015767"/>
    <s v="COMUNICACION DE CAMBIO DE PROGENITORES INCLUIDOS EN EL PLAN DE CRIA"/>
    <s v="3 MESES"/>
    <x v="1"/>
    <x v="4"/>
    <x v="31"/>
    <s v="MKRD"/>
    <x v="872"/>
    <s v="S"/>
    <s v="N"/>
    <s v="S"/>
    <s v="N"/>
  </r>
  <r>
    <x v="4"/>
    <s v="015768"/>
    <s v="AUTORIZACION PARA LA CRIA EN CAUTIVIDAD DE AVES RAPACES PARA USO EN CETRERIA EN CASTILLA-LA MANCHA Y SOLICITUD DE INSCRIPCION EN EL REGISTRO DE CRIADORES DE CLM"/>
    <s v="3 MESES"/>
    <x v="1"/>
    <x v="4"/>
    <x v="31"/>
    <s v="SKRB"/>
    <x v="873"/>
    <s v="S"/>
    <s v="N"/>
    <s v="S"/>
    <s v="N"/>
  </r>
  <r>
    <x v="4"/>
    <s v="020014"/>
    <s v="REGISTRO DE ASOCIACIONES DE PERSONAS CONSUMIDORAS Y USUARIAS DE CASTILLA-LA MANCHA"/>
    <s v="3 MESES"/>
    <x v="0"/>
    <x v="4"/>
    <x v="35"/>
    <s v="SE95"/>
    <x v="874"/>
    <s v="N"/>
    <s v="N"/>
    <s v="S"/>
    <s v="N"/>
  </r>
  <r>
    <x v="4"/>
    <s v="020021"/>
    <s v="APORTACION DE DATOS BASICOS DE UNA INDUSTRIA"/>
    <s v="3 MESES"/>
    <x v="0"/>
    <x v="4"/>
    <x v="30"/>
    <s v="SJDB"/>
    <x v="875"/>
    <s v="S"/>
    <s v="N"/>
    <s v="S"/>
    <s v="S"/>
  </r>
  <r>
    <x v="4"/>
    <s v="020023"/>
    <s v="REGISTRO DE LA INSTALACION DE SEGURIDAD CONTRA INCENDIOS EN ESTABLECIMIENTOS INDUSTRIALES"/>
    <s v="3 MESES"/>
    <x v="0"/>
    <x v="4"/>
    <x v="30"/>
    <s v="SJDD"/>
    <x v="876"/>
    <s v="S"/>
    <s v="N"/>
    <s v="S"/>
    <s v="N"/>
  </r>
  <r>
    <x v="4"/>
    <s v="020025"/>
    <s v="REGISTRO DE INSTALACIONES ELECTRICAS DE ALTA TENSION (EXCEPTO LINEAS) NO SUJETAS A AUTORIZACION"/>
    <s v="3 MESES"/>
    <x v="0"/>
    <x v="4"/>
    <x v="30"/>
    <s v="SJDF"/>
    <x v="877"/>
    <s v="S"/>
    <s v="N"/>
    <s v="S"/>
    <s v="N"/>
  </r>
  <r>
    <x v="4"/>
    <s v="020027"/>
    <s v="REGISTRO DE LA INSTALACION DE LINEAS DE ALTA TENSION NO SUJETAS A AUTORIZACION"/>
    <s v="3 MESES"/>
    <x v="0"/>
    <x v="4"/>
    <x v="30"/>
    <s v="SJDH"/>
    <x v="878"/>
    <s v="S"/>
    <s v="N"/>
    <s v="S"/>
    <s v="N"/>
  </r>
  <r>
    <x v="4"/>
    <s v="020028"/>
    <s v="REGISTRO DE UNA INSTALACION FRIGORIFICA"/>
    <s v="3 MESES"/>
    <x v="0"/>
    <x v="4"/>
    <x v="30"/>
    <s v="SJDI"/>
    <x v="879"/>
    <s v="S"/>
    <s v="N"/>
    <s v="S"/>
    <s v="N"/>
  </r>
  <r>
    <x v="4"/>
    <s v="020032"/>
    <s v="REGISTRO DE CENTROS DE ALMACENAMIENTO Y DISTRIBUCION DE ENVASES DE GLP"/>
    <s v="3 MESES"/>
    <x v="0"/>
    <x v="4"/>
    <x v="30"/>
    <s v="SJDO"/>
    <x v="880"/>
    <s v="S"/>
    <s v="N"/>
    <s v="S"/>
    <s v="S"/>
  </r>
  <r>
    <x v="4"/>
    <s v="020033"/>
    <s v="REGISTRO DE UNA INSTALACION DE ALMACENAMIENTO DE GLP EN DEPOSITOS FIJOS NO SUJETA A AUTORIZACION"/>
    <s v="3 MESES"/>
    <x v="0"/>
    <x v="4"/>
    <x v="30"/>
    <s v="SJDP"/>
    <x v="881"/>
    <s v="S"/>
    <s v="N"/>
    <s v="S"/>
    <s v="N"/>
  </r>
  <r>
    <x v="4"/>
    <s v="020036"/>
    <s v="REGISTRO DE UNA INSTALACION DE PLANTA SATELITE DE GNL (GAS NATURAL LICUADO) NO SUJETA A AUTORIZACION"/>
    <s v="3 MESES"/>
    <x v="0"/>
    <x v="4"/>
    <x v="30"/>
    <s v="SJDS"/>
    <x v="882"/>
    <s v="S"/>
    <s v="N"/>
    <s v="S"/>
    <s v="N"/>
  </r>
  <r>
    <x v="4"/>
    <s v="020037"/>
    <s v="REGISTRO DE UNA ESTACION DE SERVICIO PARA VEHICULOS A GAS"/>
    <s v="3 MESES"/>
    <x v="0"/>
    <x v="4"/>
    <x v="30"/>
    <s v="SJDT"/>
    <x v="883"/>
    <s v="S"/>
    <s v="N"/>
    <s v="S"/>
    <s v="N"/>
  </r>
  <r>
    <x v="4"/>
    <s v="020038"/>
    <s v="REGISTRO DE UNA INSTALACION RECEPTORA DE COMBUSTIBLES GASEOSOS"/>
    <s v="3 MESES"/>
    <x v="0"/>
    <x v="4"/>
    <x v="30"/>
    <s v="SJDU"/>
    <x v="884"/>
    <s v="S"/>
    <s v="N"/>
    <s v="S"/>
    <s v="S"/>
  </r>
  <r>
    <x v="4"/>
    <s v="020040"/>
    <s v="REGISTRO  DE UNA INSTALACION DE ALMACENAMIENTO DE PRODUCTOS QUIMICOS"/>
    <s v="3 MESES"/>
    <x v="0"/>
    <x v="4"/>
    <x v="30"/>
    <s v="SJDW"/>
    <x v="885"/>
    <s v="S"/>
    <s v="N"/>
    <s v="S"/>
    <s v="N"/>
  </r>
  <r>
    <x v="4"/>
    <s v="020041"/>
    <s v="REGISTRO DE UNA INSTALACION DE EQUIPOS A PRESION"/>
    <s v="3 MESES"/>
    <x v="0"/>
    <x v="4"/>
    <x v="30"/>
    <s v="SJDX"/>
    <x v="886"/>
    <s v="S"/>
    <s v="N"/>
    <s v="S"/>
    <s v="N"/>
  </r>
  <r>
    <x v="4"/>
    <s v="020045"/>
    <s v="REGISTRO DE ESTABLECIMIENTO AFECTADO POR NORMATIVA DE ACCIDENTES GRAVES"/>
    <s v="3 MESES"/>
    <x v="0"/>
    <x v="4"/>
    <x v="30"/>
    <s v="SJE1"/>
    <x v="887"/>
    <s v="S"/>
    <s v="N"/>
    <s v="S"/>
    <s v="N"/>
  </r>
  <r>
    <x v="4"/>
    <s v="020048"/>
    <s v="REGISTRO DE UNA INSTALACION ELECTRICA DE BAJA TENSION"/>
    <s v="3 MESES"/>
    <x v="0"/>
    <x v="4"/>
    <x v="30"/>
    <s v="SJE4"/>
    <x v="888"/>
    <s v="S"/>
    <s v="N"/>
    <s v="S"/>
    <s v="N"/>
  </r>
  <r>
    <x v="4"/>
    <s v="020050"/>
    <s v="REGISTRO DE UNA INSTALACION TERMICA"/>
    <s v="3 MESES"/>
    <x v="0"/>
    <x v="4"/>
    <x v="30"/>
    <s v="SJE6"/>
    <x v="889"/>
    <s v="S"/>
    <s v="N"/>
    <s v="S"/>
    <s v="N"/>
  </r>
  <r>
    <x v="4"/>
    <s v="020052"/>
    <s v="REGISTRO DE GRUA TORRE PARA OBRAS U OTRAS APLICACIONES"/>
    <s v="3 MESES"/>
    <x v="0"/>
    <x v="4"/>
    <x v="30"/>
    <s v="SJEA"/>
    <x v="890"/>
    <s v="S"/>
    <s v="N"/>
    <s v="S"/>
    <s v="N"/>
  </r>
  <r>
    <x v="4"/>
    <s v="020054"/>
    <s v="REGISTRO DE DECLARACION DE ADECUACION INDIVIDUALIZADA DE UNA GRUA MOVIL AUTOPROPULSADA"/>
    <s v="3 MESES"/>
    <x v="0"/>
    <x v="4"/>
    <x v="30"/>
    <s v="SJEC"/>
    <x v="891"/>
    <s v="S"/>
    <s v="N"/>
    <s v="S"/>
    <s v="N"/>
  </r>
  <r>
    <x v="4"/>
    <s v="020055"/>
    <s v="REGISTRO DE UNA INSTALACION Y EQUIPOS DE RAYOS X PARA DIAGNOSTICO MEDICO"/>
    <s v="1 MES"/>
    <x v="0"/>
    <x v="4"/>
    <x v="30"/>
    <s v="SJED"/>
    <x v="892"/>
    <s v="S"/>
    <s v="N"/>
    <s v="S"/>
    <s v="S"/>
  </r>
  <r>
    <x v="4"/>
    <s v="020058"/>
    <s v="REGISTRO DE UNA ENTIDAD DE FORMACION PARA LA OBTENCION DEL CARNE PROFESIONAL Y CURSOS"/>
    <s v="3 MESES"/>
    <x v="0"/>
    <x v="4"/>
    <x v="30"/>
    <s v="SJCC"/>
    <x v="893"/>
    <s v="S"/>
    <s v="N"/>
    <s v="S"/>
    <s v="N"/>
  </r>
  <r>
    <x v="4"/>
    <s v="020079"/>
    <s v="CATALOGACION DE VEHICULO HISTORICO"/>
    <s v="3 MESES"/>
    <x v="0"/>
    <x v="4"/>
    <x v="30"/>
    <s v="SJEU"/>
    <x v="894"/>
    <s v="S"/>
    <s v="N"/>
    <s v="S"/>
    <s v="N"/>
  </r>
  <r>
    <x v="4"/>
    <s v="020080"/>
    <s v="SOLICITUD DE DESIGNACION Y REGISTRO DE ORGANISMO AUTORIZADO DE VERIFICACION METROLOGICA."/>
    <s v="3 MESES"/>
    <x v="1"/>
    <x v="4"/>
    <x v="30"/>
    <s v="SJD0"/>
    <x v="895"/>
    <s v="S"/>
    <s v="N"/>
    <s v="S"/>
    <s v="N"/>
  </r>
  <r>
    <x v="4"/>
    <s v="020081"/>
    <s v="ACTUALIZACION DE LOS DATOS REGISTRALES DE UN ORGANISMO AUTORIZADO DE VERIFICACION METROLOGICA"/>
    <s v="3 MESES"/>
    <x v="0"/>
    <x v="4"/>
    <x v="30"/>
    <s v="SJD1"/>
    <x v="896"/>
    <s v="S"/>
    <s v="N"/>
    <s v="S"/>
    <s v="N"/>
  </r>
  <r>
    <x v="4"/>
    <s v="020082"/>
    <s v="REGISTRO DE ENTIDADES FABRICANTES / COMERCIALIZADORAS / IMPORTADORAS/ ARRENDADORAS DE INSTRUMENTOS DE MEDIDA SOMETIDOS A CONTROL METROLOGICO DEL ESTADO"/>
    <s v=""/>
    <x v="0"/>
    <x v="4"/>
    <x v="30"/>
    <s v="SIKA"/>
    <x v="897"/>
    <s v="S"/>
    <s v="N"/>
    <s v="S"/>
    <s v="N"/>
  </r>
  <r>
    <x v="4"/>
    <s v="020083"/>
    <s v="ACTUALIZACION DE DATOS REGISTRALES DE LAS INSCRIPCIONES EN EL REGISTRO DE CONTROL METROLOGICO DE ENTIDADES FABRICANTES / COMERCIALIZADORAS / IMPORTADORAS / ARRENDADORAS"/>
    <s v=""/>
    <x v="0"/>
    <x v="4"/>
    <x v="30"/>
    <s v="SJD4"/>
    <x v="898"/>
    <s v="S"/>
    <s v="N"/>
    <s v="S"/>
    <s v="N"/>
  </r>
  <r>
    <x v="4"/>
    <s v="020084"/>
    <s v="REGISTRO DE EMPRESA REPARADORA/MANTENEDORA DE APARATOS SOMETIDOS A CONTROL METROLOGICO"/>
    <s v=""/>
    <x v="0"/>
    <x v="4"/>
    <x v="30"/>
    <s v="SJD7"/>
    <x v="899"/>
    <s v="S"/>
    <s v="N"/>
    <s v="S"/>
    <s v="N"/>
  </r>
  <r>
    <x v="4"/>
    <s v="020086"/>
    <s v="REGISTRO DE ORGANISMO NOTIFICADO U ORGANISMO DE CONTROL METROLOGICO"/>
    <s v="3 MESES"/>
    <x v="0"/>
    <x v="4"/>
    <x v="30"/>
    <s v="SJEG"/>
    <x v="900"/>
    <s v="S"/>
    <s v="N"/>
    <s v="S"/>
    <s v="N"/>
  </r>
  <r>
    <x v="4"/>
    <s v="020087"/>
    <s v="ACTUALIZACION DE LOS DATOS REGISTRALES DE ORGANISMO DE CONTROL METROLOGICO U ORGANISMO NOTIFICADO"/>
    <s v=""/>
    <x v="0"/>
    <x v="4"/>
    <x v="30"/>
    <s v="SJEH"/>
    <x v="901"/>
    <s v="S"/>
    <s v="N"/>
    <s v="S"/>
    <s v="N"/>
  </r>
  <r>
    <x v="4"/>
    <s v="020088"/>
    <s v="MODIFICACION DE LOS DATOS INSCRITOS EN EL REGISTRO AUTONOMICO DE INSTALACIONES DE PRODUCCION DE ENERGIA ELECTRICA"/>
    <s v="1 MES"/>
    <x v="0"/>
    <x v="4"/>
    <x v="30"/>
    <s v="SJ9Y"/>
    <x v="902"/>
    <s v="S"/>
    <s v="N"/>
    <s v="S"/>
    <s v="N"/>
  </r>
  <r>
    <x v="4"/>
    <s v="020089"/>
    <s v="INSCRIPCION PREVIA EN EL REGISTRO AUTONOMICO DE INSTALACIONES DE PRODUCCION DE ENERGIA ELECTRICA"/>
    <s v="1 MES"/>
    <x v="0"/>
    <x v="4"/>
    <x v="30"/>
    <s v="SJA1"/>
    <x v="903"/>
    <s v="S"/>
    <s v="N"/>
    <s v="S"/>
    <s v="N"/>
  </r>
  <r>
    <x v="4"/>
    <s v="020090"/>
    <s v="INSCRIPCION DEFINITIVA EN EL REGISTRO AUTONOMICO DE INSTALACIONES DE PRODUCCION DE ENERGIA ELECTRICA"/>
    <s v="1 MES"/>
    <x v="1"/>
    <x v="4"/>
    <x v="30"/>
    <s v="SJA0"/>
    <x v="904"/>
    <s v="S"/>
    <s v="N"/>
    <s v="S"/>
    <s v="N"/>
  </r>
  <r>
    <x v="4"/>
    <s v="020091"/>
    <s v="CANCELACION DE LA INSCRIPCION EN EL REGISTRO AUTONOMICO DE INSTALACIONES DE PRODUCCION DE ENERGIA ELECTRICA"/>
    <s v="3 MESES"/>
    <x v="0"/>
    <x v="4"/>
    <x v="30"/>
    <s v="SJ9Z"/>
    <x v="905"/>
    <s v="S"/>
    <s v="N"/>
    <s v="S"/>
    <s v="N"/>
  </r>
  <r>
    <x v="4"/>
    <s v="020101"/>
    <s v="REGISTRO ESPECIAL DE INSTALACIONES DE RADIOCOMUNICACION"/>
    <s v="3 MESES TRAS SU PRESENTACIÓN."/>
    <x v="0"/>
    <x v="4"/>
    <x v="34"/>
    <s v="SJX1"/>
    <x v="906"/>
    <s v="N"/>
    <s v="N"/>
    <s v="S"/>
    <s v="N"/>
  </r>
  <r>
    <x v="4"/>
    <s v="020144"/>
    <s v="COMUNICACION DE INICIO DE ACTIVIDADES DE PRODUCCION Y GESTION DE RESIDUOS. PRODUCTOR."/>
    <s v=""/>
    <x v="2"/>
    <x v="4"/>
    <x v="32"/>
    <s v="SE66"/>
    <x v="907"/>
    <s v="N"/>
    <s v="N"/>
    <s v="S"/>
    <s v="N"/>
  </r>
  <r>
    <x v="4"/>
    <s v="020145"/>
    <s v="COMUNICACION DE INICIO EN EL REGISTRO DE PRODUCCION Y GESTION DE RESIDUOS DE CASTILLA LA MANCHA. TRANSPORTISTA"/>
    <s v=""/>
    <x v="2"/>
    <x v="4"/>
    <x v="32"/>
    <s v="SI7Z"/>
    <x v="908"/>
    <s v="N"/>
    <s v="N"/>
    <s v="S"/>
    <s v="S"/>
  </r>
  <r>
    <x v="4"/>
    <s v="020149"/>
    <s v="NOTIFICACION ANUAL DE DATOS AL REGISTRO PRTR DE CASTILLA-LA MANCHA"/>
    <s v=""/>
    <x v="2"/>
    <x v="4"/>
    <x v="32"/>
    <s v="SJB9"/>
    <x v="909"/>
    <s v="N"/>
    <s v="N"/>
    <s v="S"/>
    <s v="N"/>
  </r>
  <r>
    <x v="4"/>
    <s v="020151"/>
    <s v="SOLICITUD DE INFORMACION AMBIENTAL"/>
    <s v="1 MES CON CARÁCTER GENERAL_x000d__x000a_2 MESES SI EL VOLUMEN Y COMPLEJIDAD DE LA INFORMACIÓN ES TAL QUE IMPIDE CUMPLIR EL PLAZO INDICADO."/>
    <x v="0"/>
    <x v="4"/>
    <x v="33"/>
    <s v="SJBC"/>
    <x v="910"/>
    <s v="S"/>
    <s v="N"/>
    <s v="S"/>
    <s v="N"/>
  </r>
  <r>
    <x v="4"/>
    <s v="020152"/>
    <s v="NOTIFICACION Y REGISTRO DE CENTROS EMISORES DE COVS"/>
    <s v=""/>
    <x v="2"/>
    <x v="4"/>
    <x v="32"/>
    <s v="SJBF"/>
    <x v="911"/>
    <s v="S"/>
    <s v="N"/>
    <s v="S"/>
    <s v="S"/>
  </r>
  <r>
    <x v="4"/>
    <s v="020173"/>
    <s v="REGISTRO DE INSTALACIONES PETROLIFERAS"/>
    <s v="INSTALACIÓN SIN DISTRIBUCIÓN AL POR MENOR: 3 MESES_x000d__x000a_INSTALACIÓN DE DISTRIBUCIÓN AL POR MENOR: INSCRIPCIÓN: 6 MESES; MODIFICACIÓN O AMPLIACIÓN: 1 MES; BAJA: 1 MES."/>
    <x v="0"/>
    <x v="4"/>
    <x v="30"/>
    <s v="SIM2"/>
    <x v="912"/>
    <s v="S"/>
    <s v="N"/>
    <s v="S"/>
    <s v="N"/>
  </r>
  <r>
    <x v="4"/>
    <s v="020174"/>
    <s v="DECLARACION RESPONSABLE DE EMPRESAS DE SERVICIOS EN MATERIA DE SEGURIDAD INDUSTRIAL"/>
    <s v=""/>
    <x v="2"/>
    <x v="4"/>
    <x v="30"/>
    <s v="SJDV"/>
    <x v="913"/>
    <s v="N"/>
    <s v="N"/>
    <s v="S"/>
    <s v="S"/>
  </r>
  <r>
    <x v="4"/>
    <s v="020175"/>
    <s v="REGISTRO DE LA INSTALACION DE UN ASCENSOR"/>
    <s v="3 MESES"/>
    <x v="0"/>
    <x v="4"/>
    <x v="30"/>
    <s v="SJE8"/>
    <x v="914"/>
    <s v="S"/>
    <s v="N"/>
    <s v="S"/>
    <s v="N"/>
  </r>
  <r>
    <x v="4"/>
    <s v="020177"/>
    <s v="INSTALACIONES DE LAVADO INTERIOR, DESGASIFICACION Y DESPRESURIZACION, REPARACION O MODIFICACION DE CISTERNAS DE MERCANCIAS PELIGROSAS (ALTA/BAJA Y MODIFICACION DE DATOS)"/>
    <s v=""/>
    <x v="2"/>
    <x v="4"/>
    <x v="30"/>
    <s v="SJNC"/>
    <x v="915"/>
    <s v="S"/>
    <s v="N"/>
    <s v="S"/>
    <s v="N"/>
  </r>
  <r>
    <x v="4"/>
    <s v="020196"/>
    <s v="REGISTRO DE ASOCIACIONES DE CONSERVACION DE LA NATURALEZA."/>
    <s v="3 MESES"/>
    <x v="0"/>
    <x v="4"/>
    <x v="31"/>
    <s v="SJSF"/>
    <x v="916"/>
    <s v="N"/>
    <s v="N"/>
    <s v="S"/>
    <s v="N"/>
  </r>
  <r>
    <x v="4"/>
    <s v="020197"/>
    <s v="REGISTRO DE EMPRESAS DE TURISMO EN LA NATURALEZA"/>
    <s v="3 MESES"/>
    <x v="0"/>
    <x v="4"/>
    <x v="31"/>
    <s v="SJSE"/>
    <x v="917"/>
    <s v="S"/>
    <s v="N"/>
    <s v="S"/>
    <s v="N"/>
  </r>
  <r>
    <x v="4"/>
    <s v="020200"/>
    <s v="DECLARACION DE ACTIVIDAD EN TALLER DE REPARACION DE VEHICULOS AUTOMOVILES"/>
    <s v=""/>
    <x v="0"/>
    <x v="4"/>
    <x v="30"/>
    <s v="SI86"/>
    <x v="918"/>
    <s v="S"/>
    <s v="N"/>
    <s v="S"/>
    <s v="S"/>
  </r>
  <r>
    <x v="4"/>
    <s v="020211"/>
    <s v="REGISTRO DE RADIO Y TELEVISION DE CASTILLA- LA MANCHA"/>
    <s v="3 MESES"/>
    <x v="0"/>
    <x v="4"/>
    <x v="34"/>
    <s v="SILA"/>
    <x v="919"/>
    <s v="S"/>
    <s v="N"/>
    <s v="S"/>
    <s v="N"/>
  </r>
  <r>
    <x v="4"/>
    <s v="020241"/>
    <s v="RECONOCIMIENTO DE LA CONDICION DE TITULAR PROFESIONAL CINEGETICO."/>
    <s v="3 MESES"/>
    <x v="1"/>
    <x v="4"/>
    <x v="31"/>
    <s v="SKPK"/>
    <x v="920"/>
    <s v="S"/>
    <s v="N"/>
    <s v="S"/>
    <s v="N"/>
  </r>
  <r>
    <x v="4"/>
    <s v="020245"/>
    <s v="REGISTRO DE EXPLOTACIONES CINEGETICAS EXTERIORES"/>
    <s v="3 MESES"/>
    <x v="1"/>
    <x v="4"/>
    <x v="31"/>
    <s v="SKQG"/>
    <x v="921"/>
    <s v="N"/>
    <s v="N"/>
    <s v="S"/>
    <s v="N"/>
  </r>
  <r>
    <x v="4"/>
    <s v="020251"/>
    <s v="REGISTRO DE INSTALACIONES DE PROTECCION CONTRA INCENDIOS EN (EXCEPTO EN ESTABLECIMIENTOS INDUSTRIALES)"/>
    <s v="3 MESES"/>
    <x v="0"/>
    <x v="4"/>
    <x v="30"/>
    <s v="SKWD"/>
    <x v="922"/>
    <s v="S"/>
    <s v="N"/>
    <s v="S"/>
    <s v="N"/>
  </r>
  <r>
    <x v="4"/>
    <s v="020277"/>
    <s v="COMUNICACION PARA LA INSCRIPCION EN EL REGISTRO ADMINISTRATIVO DE AUTOCONSUMO DE ENERGIA ELECTRICA."/>
    <s v="NO PROCEDE."/>
    <x v="2"/>
    <x v="4"/>
    <x v="30"/>
    <s v="MLG8"/>
    <x v="923"/>
    <s v="S"/>
    <s v="N"/>
    <s v="S"/>
    <s v="N"/>
  </r>
  <r>
    <x v="4"/>
    <s v="022954"/>
    <s v="REGISTRO DE OPERADORES-COLABORADORES DEL PROGRAMA DE EMISION DE BONOS DIGITALES PARA COLECTIVOS VULNERABLES, EN EL MARCO DEL PLAN DE RECUPERACION, TRANSFORMACION Y RESILIENCIA."/>
    <s v="3 MESES."/>
    <x v="1"/>
    <x v="4"/>
    <x v="34"/>
    <s v="SLVN"/>
    <x v="924"/>
    <s v="N"/>
    <s v="N"/>
    <s v="S"/>
    <s v="N"/>
  </r>
  <r>
    <x v="4"/>
    <s v="022957"/>
    <s v="REGISTRO DE ESPECIES CINEGETICAS EN CAUTIVIDAD (ALECTORIS)"/>
    <s v="3 MESES"/>
    <x v="1"/>
    <x v="4"/>
    <x v="31"/>
    <s v="SL3P"/>
    <x v="925"/>
    <s v="S"/>
    <s v="N"/>
    <s v="S"/>
    <s v="N"/>
  </r>
  <r>
    <x v="4"/>
    <s v="025143"/>
    <s v="INSCRIPCION, MODIFICACION Y/O BAJA EN EL REGISTRO DE AVES RAPACES Y DE CETRERIA."/>
    <s v="3 MESES"/>
    <x v="0"/>
    <x v="4"/>
    <x v="31"/>
    <s v="S265"/>
    <x v="926"/>
    <s v="N"/>
    <s v="N"/>
    <s v="S"/>
    <s v="N"/>
  </r>
  <r>
    <x v="4"/>
    <s v="025144"/>
    <s v="COMUNICACION DE CESION TEMPORAL O DEFINITIVA   EN EL REGISTRO DE AVES RAPACES Y DE CETRERIA."/>
    <s v="3 MESES"/>
    <x v="0"/>
    <x v="4"/>
    <x v="31"/>
    <s v="SK7Q"/>
    <x v="927"/>
    <s v="N"/>
    <s v="N"/>
    <s v="S"/>
    <s v="N"/>
  </r>
  <r>
    <x v="4"/>
    <s v="025145"/>
    <s v="COMUNICACION DE PERDIDA, SUSTRACCION, RECUPERACION Y MUERTE  EN EL REGISTRO DE AVES RAPACES Y DE CETRERIA."/>
    <s v="3 MESES"/>
    <x v="0"/>
    <x v="4"/>
    <x v="31"/>
    <s v="MK7P"/>
    <x v="928"/>
    <s v="N"/>
    <s v="N"/>
    <s v="S"/>
    <s v="N"/>
  </r>
  <r>
    <x v="4"/>
    <s v="025146"/>
    <s v="INSCRIPCION EN EL SISTEMA COMUNITARIO DE GESTION Y AUDITORIA MEDIOAMBIENTALES DE CASTILLA-LA MANCHA (REGISTRO EMAS)"/>
    <s v="3 MESES"/>
    <x v="0"/>
    <x v="4"/>
    <x v="32"/>
    <s v="SJBA"/>
    <x v="929"/>
    <s v="S"/>
    <s v="N"/>
    <s v="S"/>
    <s v="N"/>
  </r>
  <r>
    <x v="4"/>
    <s v="025147"/>
    <s v="RENOVACION EN EL SISTEMA COMUNITARIO DE GESTION Y AUDITORIA MEDIOAMBIENTALES  DE CASTILLA-LA MANCHA (REGISTRO EMAS)"/>
    <s v="3 MESES"/>
    <x v="0"/>
    <x v="4"/>
    <x v="32"/>
    <s v="SJBB"/>
    <x v="930"/>
    <s v="S"/>
    <s v="N"/>
    <s v="S"/>
    <s v="N"/>
  </r>
  <r>
    <x v="4"/>
    <s v="025148"/>
    <s v="COMUNICACION DE CAMBIOS SUSTANCIALES DE UNA ORGANIZACION INSCRITA EN EL SISTEMA COMUNITARIO DE GESTION Y AUDITORIA MEDIOAMBIENTALES DE CASTILLA-LA MANCHA (REGISTRO EMAS)."/>
    <s v="3 MESES"/>
    <x v="0"/>
    <x v="4"/>
    <x v="32"/>
    <s v="SK1X"/>
    <x v="931"/>
    <s v="S"/>
    <s v="N"/>
    <s v="S"/>
    <s v="N"/>
  </r>
  <r>
    <x v="4"/>
    <s v="025149"/>
    <s v="MANTENIMIENTO  EN EL SISTEMA COMUNITARIO DE GESTION Y AUDITORIA MEDIOAMBIENTALES  DE CASTILLA-LA MANCHA (REGISTRO EMAS)"/>
    <s v="3 MESES"/>
    <x v="0"/>
    <x v="4"/>
    <x v="32"/>
    <s v="SK1Y"/>
    <x v="932"/>
    <s v="S"/>
    <s v="N"/>
    <s v="S"/>
    <s v="N"/>
  </r>
  <r>
    <x v="4"/>
    <s v="025162"/>
    <s v="INSCRIPCION DE CERTIFICADOS DE EFICIENCIA ENERGETICA EN EL REGISTRO AUTONOMICO DE CERTIFICADOS DE EFICIENCIA ENERGETICA DE EDIFICIOS DE CASTILLA-LA MANCHA. (EDIFICIO TERMINADO)"/>
    <s v="3 MESES"/>
    <x v="0"/>
    <x v="4"/>
    <x v="30"/>
    <s v="SJM4"/>
    <x v="933"/>
    <s v="S"/>
    <s v="N"/>
    <s v="S"/>
    <s v="N"/>
  </r>
  <r>
    <x v="4"/>
    <s v="025163"/>
    <s v="INSCRIPCION DE CERTIFICADOS DE EFICIENCIA ENERGETICA EN EL REGISTRO AUTONOMICO DE CERTIFICADOS DE EFICIENCIA ENERGETICA DE EDIFICIOS DE CASTILLA-LA MANCHA. (FASE DE PROYECTO)"/>
    <s v="3 MESES"/>
    <x v="0"/>
    <x v="4"/>
    <x v="30"/>
    <s v="SJM3"/>
    <x v="934"/>
    <s v="S"/>
    <s v="N"/>
    <s v="S"/>
    <s v="N"/>
  </r>
  <r>
    <x v="4"/>
    <s v="025164"/>
    <s v="INSCRIPCION DE CERTIFICADOS DE EFICIENCIA ENERGETICA EN EL REGISTRO AUTONOMICO DE CERTIFICADOS DE EFICIENCIA ENERGETICA DE EDIFICIOS DE CASTILLA-LA MANCHA. (EDIFICIO EXISTENTE)"/>
    <s v="3 MESES"/>
    <x v="0"/>
    <x v="4"/>
    <x v="30"/>
    <s v="NK0W, SK0W"/>
    <x v="935"/>
    <s v="S"/>
    <s v="N"/>
    <s v="S"/>
    <s v="N"/>
  </r>
  <r>
    <x v="4"/>
    <s v="025588"/>
    <s v="INSCRIPCION  DE TECNICOS COMPETENTES PARA LA SUSCRIPCION DE CERTIFICACIONES DE EFICIENCIA ENERGETICA DE EDIFICIOS"/>
    <s v=""/>
    <x v="2"/>
    <x v="4"/>
    <x v="30"/>
    <s v="SJM2"/>
    <x v="936"/>
    <s v="N"/>
    <s v="N"/>
    <s v="S"/>
    <s v="N"/>
  </r>
  <r>
    <x v="4"/>
    <s v="025589"/>
    <s v="INSCRIPCION DE EMPRESAS QUE PROPORCIONAN SERVICIOS DE CERTIFICACION DE EFICIENCIA ENERGETICA DE EDIFICIOS"/>
    <s v=""/>
    <x v="2"/>
    <x v="4"/>
    <x v="30"/>
    <s v="SK9M"/>
    <x v="937"/>
    <s v="N"/>
    <s v="N"/>
    <s v="S"/>
    <s v="N"/>
  </r>
  <r>
    <x v="4"/>
    <s v="025590"/>
    <s v="CANCELACION DE INSCRIPCION EN LA SECCION PRIMERA DEL REGISTRO AUTONOMICO DE CERTIFICADOS DE EFICIENCIA ENERGETICA DE EDIFICIOS DE CASTILLA-LA MANCHA"/>
    <s v="TRES MESES"/>
    <x v="0"/>
    <x v="4"/>
    <x v="30"/>
    <s v="SK9O"/>
    <x v="938"/>
    <s v="S"/>
    <s v="N"/>
    <s v="S"/>
    <s v="N"/>
  </r>
  <r>
    <x v="4"/>
    <s v="025591"/>
    <s v="CANCELACION DE INSCRIPCION EN LA SECCION SEGUNDA DEL REGISTRO AUTONOMICO DE CERTIFICADOS DE EFICIENCIA ENERGETICA DE EDIFICIOS DE CASTILLA-LA MANCHA"/>
    <s v="TRES MESES"/>
    <x v="0"/>
    <x v="4"/>
    <x v="30"/>
    <s v="SK9P"/>
    <x v="939"/>
    <s v="N"/>
    <s v="N"/>
    <s v="S"/>
    <s v="N"/>
  </r>
  <r>
    <x v="4"/>
    <s v="030054"/>
    <s v="CONCESION O RENOVACION DE DISTINTIVOS A LAS MEJORES PRACTICAS EN MATERIA DE CONSUMO."/>
    <s v="3 MESES"/>
    <x v="0"/>
    <x v="4"/>
    <x v="35"/>
    <s v="SIQ4"/>
    <x v="940"/>
    <s v="S"/>
    <s v="N"/>
    <s v="S"/>
    <s v="N"/>
  </r>
  <r>
    <x v="4"/>
    <s v="030062"/>
    <s v="CONCURSO ESCOLAR CONSUMOPOLIS"/>
    <s v="2 M."/>
    <x v="1"/>
    <x v="4"/>
    <x v="35"/>
    <s v="SITU"/>
    <x v="941"/>
    <s v="S"/>
    <s v="N"/>
    <s v="S"/>
    <s v="N"/>
  </r>
  <r>
    <x v="4"/>
    <s v="030289"/>
    <s v="CURSOS DE FORMACION DE JOVENES PESCADORES(ESCUELA REGIONAL DE PESCA FLUVIAL)"/>
    <s v="0"/>
    <x v="1"/>
    <x v="4"/>
    <x v="31"/>
    <s v="S485"/>
    <x v="942"/>
    <s v="S"/>
    <s v="N"/>
    <s v="S"/>
    <s v="N"/>
  </r>
  <r>
    <x v="4"/>
    <s v="030305"/>
    <s v="DECLARACION/MODIFICACION/PERDIDA DE CONDICION DE MONTE PROTECTOR."/>
    <s v="1 AÑO"/>
    <x v="1"/>
    <x v="4"/>
    <x v="31"/>
    <s v="S496"/>
    <x v="943"/>
    <s v="S"/>
    <s v="N"/>
    <s v="S"/>
    <s v="N"/>
  </r>
  <r>
    <x v="4"/>
    <s v="030516"/>
    <s v="DECLARACION/MODIFICACION/PERDIDA DE CONDICION DE MONTE SINGULAR"/>
    <s v="1 AÑO"/>
    <x v="1"/>
    <x v="4"/>
    <x v="31"/>
    <s v="SJJJ"/>
    <x v="944"/>
    <s v="S"/>
    <s v="N"/>
    <s v="S"/>
    <s v="N"/>
  </r>
  <r>
    <x v="4"/>
    <s v="030719"/>
    <s v="MODIFICACION RESOLUCION AYUDA EN INVERSIONES EN TECNOLOGIAS FORESTALES Y EN LA TRANSFORMACION, MOVILIZACION Y COMERCIALIZACION DE PRODUCTOS FORESTALES"/>
    <s v="2 MESES"/>
    <x v="1"/>
    <x v="4"/>
    <x v="31"/>
    <s v="SKV3"/>
    <x v="945"/>
    <s v="N"/>
    <s v="N"/>
    <s v="S"/>
    <s v="N"/>
  </r>
  <r>
    <x v="4"/>
    <s v="030751"/>
    <s v="EXPRESION DE INTERES EN AHORRO Y EFICIENCIA ENERGETICA PARA ALUMBRADO PUBLICO EXTERIOR"/>
    <s v="4 MESES"/>
    <x v="1"/>
    <x v="4"/>
    <x v="30"/>
    <s v="SKZ4"/>
    <x v="946"/>
    <s v="N"/>
    <s v="N"/>
    <s v="S"/>
    <s v="N"/>
  </r>
  <r>
    <x v="4"/>
    <s v="030752"/>
    <s v="EXPRESION DE INTERES PARA AHORRO Y EFICIENCIA ENERGETICA EN EDIFICACIONES DE LA ADMINISTRACION LOCAL"/>
    <s v="4 MESES"/>
    <x v="1"/>
    <x v="4"/>
    <x v="30"/>
    <s v="SKZ5"/>
    <x v="947"/>
    <s v="N"/>
    <s v="N"/>
    <s v="S"/>
    <s v="N"/>
  </r>
  <r>
    <x v="4"/>
    <s v="030757"/>
    <s v="AYUDAS A CENTROS DOCENTES PARA LA REALIZACION DE VISITAS DE EDUCACION AMBIENTAL EN LA COMUNIDAD AUTONOMA DE CASTILLA-LA MANCHA"/>
    <s v="TRES MESES DESDE EL MOMENTO EN QUE FINALICE EL PLAZO DE SOLICITUD"/>
    <x v="1"/>
    <x v="4"/>
    <x v="33"/>
    <s v="SKZG"/>
    <x v="948"/>
    <s v="N"/>
    <s v="N"/>
    <s v="S"/>
    <s v="N"/>
  </r>
  <r>
    <x v="4"/>
    <s v="030789"/>
    <s v="SUBVENCIONES PARA LA PARTICIPACION DE LAS ASOCIACIONES DE PERSONAS CONSUMIDORAS EN EL DESARROLLO DE ACTIVIDADES EN MATERIA DE CONSUMO Y GESTION ORDINARIA DE LAS ASOCIACIONES DE PERSONAS CONSUMIDORAS."/>
    <s v="3 MESES"/>
    <x v="1"/>
    <x v="4"/>
    <x v="35"/>
    <s v="SL2X"/>
    <x v="949"/>
    <s v="N"/>
    <s v="N"/>
    <s v="S"/>
    <s v="N"/>
  </r>
  <r>
    <x v="4"/>
    <s v="030813"/>
    <s v="MODIFICACION RESOLUCION  DE LAS AYUDAS PARA LA EJECUCION DE TRATAMIENTOS SELVICOLAS EN  EL  MARCO  DEL  PROGRAMA  DE  DESARROLLO  RURAL  DE  CASTILLA-LA  MANCHA  2014-2020"/>
    <s v="2 MESES"/>
    <x v="1"/>
    <x v="4"/>
    <x v="31"/>
    <s v="SK64"/>
    <x v="950"/>
    <s v="N"/>
    <s v="N"/>
    <s v="S"/>
    <s v="N"/>
  </r>
  <r>
    <x v="4"/>
    <s v="030839"/>
    <s v="AYUDAS MOVES II"/>
    <s v="6 MESES"/>
    <x v="1"/>
    <x v="4"/>
    <x v="30"/>
    <s v="SL8R"/>
    <x v="951"/>
    <s v="S"/>
    <s v="N"/>
    <s v="S"/>
    <s v="N"/>
  </r>
  <r>
    <x v="4"/>
    <s v="030846"/>
    <s v="AYUDAS PARA ACTUACIONES DE EFICIENCIA ENERGETICA EN PYME Y GRAN EMPRESA DEL SECTOR INDUSTRIAL"/>
    <s v="6 MESES"/>
    <x v="1"/>
    <x v="4"/>
    <x v="30"/>
    <s v="SL9V"/>
    <x v="952"/>
    <s v="N"/>
    <s v="N"/>
    <s v="S"/>
    <s v="N"/>
  </r>
  <r>
    <x v="4"/>
    <s v="030979"/>
    <s v="PREMIO REGIONAL DE MEDIO AMBIENTE DE CASTILLA-LA MANCHA"/>
    <s v="6  MESES"/>
    <x v="1"/>
    <x v="4"/>
    <x v="33"/>
    <s v="SLKJ"/>
    <x v="953"/>
    <s v="S"/>
    <s v="N"/>
    <s v="S"/>
    <s v="N"/>
  </r>
  <r>
    <x v="4"/>
    <s v="031011"/>
    <s v="SUBVENCIONES PARA EL DESARROLLO DE PROYECTOS EN MATERIA DE CONSUMO RESPONSABLE REALIZADOS POR ENTIDADES SIN ANIMO DE LUCRO."/>
    <s v="2 MESES"/>
    <x v="1"/>
    <x v="4"/>
    <x v="35"/>
    <s v="SLNZ"/>
    <x v="954"/>
    <s v="N"/>
    <s v="N"/>
    <s v="S"/>
    <s v="N"/>
  </r>
  <r>
    <x v="4"/>
    <s v="031022"/>
    <s v="AYUDAS PARA ADAPTACION DE LINEAS ELECTRICAS DE ALTA TENSION A LOS REQUISITOS ESTABLECIDOS POR EL REAL DECRETO 1432/2008 PARA PERSONAS QUE NO TIENEN LA CONDICION DE EMPRESA DE DISTRIBUCION"/>
    <s v="6 MESES."/>
    <x v="1"/>
    <x v="4"/>
    <x v="31"/>
    <s v="SLOI"/>
    <x v="955"/>
    <s v="S"/>
    <s v="N"/>
    <s v="S"/>
    <s v="N"/>
  </r>
  <r>
    <x v="4"/>
    <s v="031039"/>
    <s v="REFUERZO DE LA CONECTIVIDAD DIGITAL PARA REDES DE BANDA ANCHA DE MUY ALTA VELOCIDAD EN POLIGONOS INDUSTRIALES, CENTROS LOGISTICOS, ZONAS DE ALTA CONCENTRACION EMPRESARIAL Y ZONAS DE INTERES ECONOMICO"/>
    <s v="6 MESES DESDE FINALIZACIÓN DE PLAZO DE PRESENTACIÓN DE SOLICITUDES"/>
    <x v="1"/>
    <x v="4"/>
    <x v="34"/>
    <s v="SLPP"/>
    <x v="956"/>
    <s v="N"/>
    <s v="N"/>
    <s v="S"/>
    <s v="N"/>
  </r>
  <r>
    <x v="4"/>
    <s v="031054"/>
    <s v="SUBVENCIONES PARA PROYECTOS DE IMPLANTACION DE NUEVAS RECOGIDAS DE RESIDUOS SEPARADAS Y MEJORA DE LAS EXISTENTES EN MUNICIPIOS DE CASTILLA-LA MANCHA."/>
    <s v="6 MESES."/>
    <x v="1"/>
    <x v="4"/>
    <x v="32"/>
    <s v="SLQO"/>
    <x v="957"/>
    <s v="N"/>
    <s v="N"/>
    <s v="S"/>
    <s v="N"/>
  </r>
  <r>
    <x v="4"/>
    <s v="031060"/>
    <s v="SUBVENCIONES PARA PROYECTOS DE CONSTRUCCION Y MEJORA DE INSTALACIONES ESPECIFICAS PARA EL TRATAMIENTO DE LOS BIORRESIDUOS RECOGIDOS SEPARADAMENTE EN MUNICIPIOS DE CASTILLA-LA MANCHA."/>
    <s v="6 MESES"/>
    <x v="1"/>
    <x v="4"/>
    <x v="32"/>
    <s v="SLQX"/>
    <x v="958"/>
    <s v="N"/>
    <s v="N"/>
    <s v="S"/>
    <s v="N"/>
  </r>
  <r>
    <x v="4"/>
    <s v="031085"/>
    <s v="SUBVENCIONES PARA ACTUACIONES DE CONSTRUCCION Y MEJORA DE INSTALACIONES DE RECOGIDA (PUNTOS LIMPIOS) EN MUNICIPIOS DE CASTILLA-LA MANCHA CON MAS DE 5.000 HABITANTES."/>
    <s v="SEIS MESES"/>
    <x v="1"/>
    <x v="4"/>
    <x v="32"/>
    <s v="SLRY"/>
    <x v="959"/>
    <s v="N"/>
    <s v="N"/>
    <s v="S"/>
    <s v="N"/>
  </r>
  <r>
    <x v="4"/>
    <s v="031088"/>
    <s v="SUBVENCIONES PARA PROYECTOS DE CONSTRUCCION DE NUEVAS INSTALACIONES DE PREPARACION PARA LA REUTILIZACION Y EL RECICLADO DE OTROS FLUJOS DE RESIDUOS RECOGIDOS SEPARADAMENTE."/>
    <s v="SEIS MESES"/>
    <x v="1"/>
    <x v="4"/>
    <x v="32"/>
    <s v="SLS2"/>
    <x v="960"/>
    <s v="S"/>
    <s v="N"/>
    <s v="S"/>
    <s v="N"/>
  </r>
  <r>
    <x v="4"/>
    <s v="031109"/>
    <s v="SUBVENCIONES DESTINADAS A LA IMPLEMENTACION DE PROYECTOS DE ECONOMIA CIRCULAR EN EL AMBITO DEL SECTOR TURISTICO DE CASTILLA-LA MANCHA"/>
    <s v="6 MESES"/>
    <x v="1"/>
    <x v="4"/>
    <x v="32"/>
    <s v="SLTP"/>
    <x v="961"/>
    <s v="N"/>
    <s v="N"/>
    <s v="S"/>
    <s v="N"/>
  </r>
  <r>
    <x v="4"/>
    <s v="031111"/>
    <s v="SUBVENCIONES PARA PROGRAMAS DE ACTIVIDADES EN MATERIA DE CONSUMO QUE SE REALICEN POR ENTIDADES LOCALES"/>
    <s v="3 MESES CONTADO DESDE LA FECHA DE FINALIZACIÓN DEL PLAZO DE PRESENTACIÓN DE SOLICITUDES"/>
    <x v="1"/>
    <x v="4"/>
    <x v="35"/>
    <s v="SLTV"/>
    <x v="962"/>
    <s v="N"/>
    <s v="N"/>
    <s v="S"/>
    <s v="N"/>
  </r>
  <r>
    <x v="4"/>
    <s v="031129"/>
    <s v="AYUDA EN AREAS DE INFLUENCIA SOCIOECONOMICA DE PARQUES NACIONALES EN EL MARCO DEL PLAN DE RECUPERACION, TRANSFORMACION Y RESILIENCIA, FINANCIADO POR LA UNION EUROPEA NEXT GENERATION EU"/>
    <s v="6 MESES"/>
    <x v="1"/>
    <x v="4"/>
    <x v="31"/>
    <s v="SLUL"/>
    <x v="963"/>
    <s v="S"/>
    <s v="N"/>
    <s v="S"/>
    <s v="N"/>
  </r>
  <r>
    <x v="4"/>
    <s v="031145"/>
    <s v="INSTALACION DE REDES INTERNAS DE COMUNICACIONES ELECTRONICAS DE ALTA VELOCIDAD EN FABRICAS, CENTROS Y DEPENDENCIAS SITAS EN POLIGONOS INDUSTRIALES, CENTROS LOGISTICOS Y OTRAS AREAS DE ALTA CONCENTRACION EMPRESARIAL"/>
    <s v="6 MESES DESDE FINALIZACIÓN DE PLAZO DE PRESENTACIÓN DE SOLICITUDES"/>
    <x v="1"/>
    <x v="4"/>
    <x v="34"/>
    <s v="SLVI"/>
    <x v="964"/>
    <s v="N"/>
    <s v="N"/>
    <s v="S"/>
    <s v="N"/>
  </r>
  <r>
    <x v="4"/>
    <s v="031152"/>
    <s v="PROGRAMAS DE INCENTIVOS PARA LA IMPLANTACION DE INSTALACIONES DE ENERGIAS RENOVABLES TERMICAS EN DIFERENTES SECTORES DE LA ECONOMIA"/>
    <s v="6 MESES A CONTAR DESDE LA FECHA DE PRESENTACIÓN DE LAS SOLICITUDES."/>
    <x v="1"/>
    <x v="4"/>
    <x v="30"/>
    <s v="SLVS"/>
    <x v="965"/>
    <s v="N"/>
    <s v="N"/>
    <s v="S"/>
    <s v="N"/>
  </r>
  <r>
    <x v="4"/>
    <s v="031180"/>
    <s v="SUBVENCIONES PARA EL DESARROLLO DE PROYECTOS DE SENSIBILIZACION Y FORMACION EN MATERIA DE AGENDA 2030 Y LOS OBJETIVOS DE DESARROLLO SOSTENIBLE"/>
    <s v="6 MESES"/>
    <x v="1"/>
    <x v="4"/>
    <x v="35"/>
    <s v="SLX4"/>
    <x v="966"/>
    <s v="N"/>
    <s v="N"/>
    <s v="S"/>
    <s v="N"/>
  </r>
  <r>
    <x v="4"/>
    <s v="031182"/>
    <s v="AYUDAS DEL PROGRAMA DE EMISION DE BONOS DIGITALES PARA COLECTIVOS VULNERABLES, EN EL MARCO DEL PLAN DE RECUPERACION, TRANSFORMACION Y RESILIENCIA"/>
    <s v="6 MESES"/>
    <x v="1"/>
    <x v="4"/>
    <x v="36"/>
    <s v="SLX7"/>
    <x v="967"/>
    <s v="N"/>
    <s v="N"/>
    <s v="S"/>
    <s v="N"/>
  </r>
  <r>
    <x v="4"/>
    <s v="035247"/>
    <s v="AYUDAS PARA EL FOMENTO DE LA ACUICULTURA EN CASTILLA LA MANCHA"/>
    <s v="2 MESES"/>
    <x v="1"/>
    <x v="4"/>
    <x v="31"/>
    <s v="S025"/>
    <x v="968"/>
    <s v="S"/>
    <s v="N"/>
    <s v="S"/>
    <s v="N"/>
  </r>
  <r>
    <x v="4"/>
    <s v="035248"/>
    <s v="PAGO DE LA AYUDA PARA EL FOMENTO DE LA ACUICULTURA EN CASTILLA LA MANCHA"/>
    <s v="2 MESES"/>
    <x v="1"/>
    <x v="4"/>
    <x v="31"/>
    <s v="SK6I"/>
    <x v="969"/>
    <s v="S"/>
    <s v="N"/>
    <s v="S"/>
    <s v="N"/>
  </r>
  <r>
    <x v="4"/>
    <s v="035249"/>
    <s v="MODIFICACION DE LA RESOLUCION DE LA CONCESION DE AYUDAS PARA EL FOMENTO DE LA ACUICULTURA EN LA COMUNIDAD AUTONOMA DE CASTILLA LA MANCHA."/>
    <s v="2 MESES"/>
    <x v="1"/>
    <x v="4"/>
    <x v="31"/>
    <s v="SKV5"/>
    <x v="970"/>
    <s v="S"/>
    <s v="N"/>
    <s v="S"/>
    <s v="N"/>
  </r>
  <r>
    <x v="4"/>
    <s v="035253"/>
    <s v="SOLICITUD DE PAGO DE LA AYUDA PARA LA EJECUCION DE TRATAMIENTOS SELVICOLAS."/>
    <s v="6 MESES"/>
    <x v="1"/>
    <x v="4"/>
    <x v="31"/>
    <s v="SK62"/>
    <x v="971"/>
    <s v="S"/>
    <s v="N"/>
    <s v="S"/>
    <s v="N"/>
  </r>
  <r>
    <x v="4"/>
    <s v="035254"/>
    <s v="COMUNICACION DE CAMBIO DE TITULARIDAD Y ACEPTACION EXPRESA POR EL NUEVO TITULAR DE LAS CONDICIONES DE LA AYUDA PARA LA EJECUCION DE TRATAMIENTOS SELVICOLAS."/>
    <s v="6 MESES"/>
    <x v="1"/>
    <x v="4"/>
    <x v="31"/>
    <s v="MK65"/>
    <x v="972"/>
    <s v="N"/>
    <s v="N"/>
    <s v="S"/>
    <s v="N"/>
  </r>
  <r>
    <x v="4"/>
    <s v="035255"/>
    <s v="AYUDAS PARA LA EJECUCION DE TRATAMIENTOS SELVICOLAS."/>
    <s v="6 MESES"/>
    <x v="1"/>
    <x v="4"/>
    <x v="31"/>
    <s v="SJ11"/>
    <x v="973"/>
    <s v="N"/>
    <s v="N"/>
    <s v="S"/>
    <s v="N"/>
  </r>
  <r>
    <x v="4"/>
    <s v="035276"/>
    <s v="APORTACION DE DOCUMENTACION EN EL TRAMITE DE AUDIENCIA"/>
    <s v="6 MESES"/>
    <x v="1"/>
    <x v="4"/>
    <x v="31"/>
    <s v="SJTG"/>
    <x v="974"/>
    <s v="S"/>
    <s v="N"/>
    <s v="S"/>
    <s v="N"/>
  </r>
  <r>
    <x v="4"/>
    <s v="035277"/>
    <s v="MODIFICACION DE LAS CONDICIONES DE TIEMPO O DE LA ESTRUCTURA DEL PROYECTO INICIAL APROBADO"/>
    <s v="6 MESES"/>
    <x v="1"/>
    <x v="4"/>
    <x v="31"/>
    <s v="SL34"/>
    <x v="975"/>
    <s v="S"/>
    <s v="N"/>
    <s v="S"/>
    <s v="N"/>
  </r>
  <r>
    <x v="4"/>
    <s v="035278"/>
    <s v="SOLICITUD DE ABONO DE AYUDAS EN AREAS DE INFLUENCIA SOCIOECONOMICA DE PARQUES NACIONALES EN CASTILLA-LA MANCHA"/>
    <s v="6 MESES"/>
    <x v="1"/>
    <x v="4"/>
    <x v="31"/>
    <s v="SJTH"/>
    <x v="976"/>
    <s v="S"/>
    <s v="N"/>
    <s v="S"/>
    <s v="N"/>
  </r>
  <r>
    <x v="4"/>
    <s v="035721"/>
    <s v="JUSTIFICACION DE UNA SUBVENCION A LA CONFEDERACION REGIONAL DE EMPRESARIOS DE CASTILLA-LA MANCHA PARA LA REALIZACION DE ACTUACIONES EN EL MARCO DEL PLAN INTEGRADO DE GESTION DE RESIDUOS DE CLM"/>
    <s v=""/>
    <x v="2"/>
    <x v="4"/>
    <x v="33"/>
    <s v="PKNV"/>
    <x v="977"/>
    <s v="N"/>
    <s v="N"/>
    <s v="S"/>
    <s v="N"/>
  </r>
  <r>
    <x v="4"/>
    <s v="035723"/>
    <s v="JUSTIFICACION DE SUBVENCION A COOPERATIVAS AGRO-ALIMENTARIAS DE CASTILLA-LA MANCHA PARA LA REALIZACION DE ACTUACIONES EN EL MARCO DEL PLAN INTEGRADO DE GESTION DE RESIDUOS DE CLM 2016-2022"/>
    <s v=""/>
    <x v="2"/>
    <x v="4"/>
    <x v="33"/>
    <s v="PKNX"/>
    <x v="978"/>
    <s v="N"/>
    <s v="N"/>
    <s v="S"/>
    <s v="N"/>
  </r>
  <r>
    <x v="4"/>
    <s v="035806"/>
    <s v="COMUNICACION DE CAMBIO DE TITULARIDAD Y ACEPTACION EXPRESA POR EL NUEVO TITULAR DE LAS CONDICIONES DE LA AYUDA PARA LA ELABORACION Y REVISION DE INSTRUMENTOS DE GESTION FORESTAL."/>
    <s v="6 MESES"/>
    <x v="1"/>
    <x v="4"/>
    <x v="31"/>
    <s v="MKUE"/>
    <x v="979"/>
    <s v="S"/>
    <s v="N"/>
    <s v="S"/>
    <s v="N"/>
  </r>
  <r>
    <x v="4"/>
    <s v="035821"/>
    <s v="CAMBIO DE TITULARIDAD Y ACEPTACION EXPRESA DE LAS CONDICIONES DE LA AYUDA EN INVERSIONES EN TEC. FORESTALES Y EN LA TRANSFORMACION, MOVILIZACION Y COMERCIALIZACION DE PRODUCTOS FORESTALES"/>
    <s v="6 MESES"/>
    <x v="1"/>
    <x v="4"/>
    <x v="31"/>
    <s v="MKV1"/>
    <x v="980"/>
    <s v="N"/>
    <s v="N"/>
    <s v="S"/>
    <s v="N"/>
  </r>
  <r>
    <x v="4"/>
    <s v="035822"/>
    <s v="SOLICITUD DE PAGO DE AYUDA EN INVERSIONES EN TECNOLOGIAS FORESTALES Y EN LA TRANSFORMACION, MOVILIZACION Y COMERCIALIZACION DE PRODUCTOS FORESTALES"/>
    <s v="6 MESES"/>
    <x v="1"/>
    <x v="4"/>
    <x v="31"/>
    <s v="PKV2"/>
    <x v="981"/>
    <s v="N"/>
    <s v="N"/>
    <s v="S"/>
    <s v="N"/>
  </r>
  <r>
    <x v="4"/>
    <s v="035823"/>
    <s v="SOLICITUD DE AYUDAS EN INVERSIONES EN TECNOLOGIAS FORESTALES Y EN LA TRANSFORMACION, MOVILIZACION Y COMERCIALIZACION DE PRODUCTOS FORESTALES"/>
    <s v="6 MESES"/>
    <x v="1"/>
    <x v="4"/>
    <x v="31"/>
    <s v="SKV0"/>
    <x v="982"/>
    <s v="N"/>
    <s v="N"/>
    <s v="S"/>
    <s v="N"/>
  </r>
  <r>
    <x v="4"/>
    <s v="035851"/>
    <s v="SOLICITUD MODIFICACION DE RESOLUCION DE AYUDAS DE PAGOS POR COMPROMISOS SILVOAMBIENTALES Y CLIMATICOS."/>
    <s v="2 MESES"/>
    <x v="1"/>
    <x v="4"/>
    <x v="31"/>
    <s v="SKWZ"/>
    <x v="983"/>
    <s v="S"/>
    <s v="N"/>
    <s v="S"/>
    <s v="N"/>
  </r>
  <r>
    <x v="4"/>
    <s v="035852"/>
    <s v="CAMBIO DE TITULARIDAD Y ACEPTACION EXPRESA DE LAS CONDICIONES DE LA AYUDA PARA LA SUBMEDIDA 15.1 DE PAGOS COMPENSATORIOS POR COMPROMISOS SILVOAMBIENTALES Y CLIMATICOS."/>
    <s v="2 MESES"/>
    <x v="1"/>
    <x v="4"/>
    <x v="31"/>
    <s v="MKX0"/>
    <x v="984"/>
    <s v="S"/>
    <s v="N"/>
    <s v="S"/>
    <s v="N"/>
  </r>
  <r>
    <x v="4"/>
    <s v="035874"/>
    <s v="SOLICITUD PARA LA CONVOCATORIA DE EXPRESIONES DE INTERES RELATIVA A ACTUACIONES DE MEJORA DE LA GESTION DE RESIDUOS EN EL MARCO DEL PO FEDER CLM 2014-2020."/>
    <s v="4 MESES"/>
    <x v="1"/>
    <x v="4"/>
    <x v="33"/>
    <s v="SKZ3"/>
    <x v="985"/>
    <s v="N"/>
    <s v="N"/>
    <s v="S"/>
    <s v="N"/>
  </r>
  <r>
    <x v="4"/>
    <s v="035913"/>
    <s v="SOLICITUD DE AYUDA PARA EL MANTENIMIENTO Y MEJORA DE LA BIODIVERSIDAD EN ACCIONES QUE REPERCUTEN EN EL ESTADO DE CONSERVACION DE LA RED NATURA 2000"/>
    <s v="6 MESES"/>
    <x v="1"/>
    <x v="4"/>
    <x v="31"/>
    <s v="SL25"/>
    <x v="986"/>
    <s v="S"/>
    <s v="N"/>
    <s v="S"/>
    <s v="N"/>
  </r>
  <r>
    <x v="4"/>
    <s v="035914"/>
    <s v="COMUNICACION DE CAMBIO DE TITULARIDAD Y ACEPTACION EXPRESA DE LAS CONDICIONES DE LAS AYUDAS PARA EL MANTENIMIENTO Y MEJORA DE LA BIODIVERSIDAD EN ACCIONES SOBRE RED NATURA 2000"/>
    <s v="6 MESES"/>
    <x v="1"/>
    <x v="4"/>
    <x v="31"/>
    <s v="ML26"/>
    <x v="987"/>
    <s v="S"/>
    <s v="N"/>
    <s v="S"/>
    <s v="N"/>
  </r>
  <r>
    <x v="4"/>
    <s v="035915"/>
    <s v="SOLICITUD DE PAGO AYUDAS PARA EL MANTENIMIENTO Y MEJORA DE LA BIODIVERSIDAD EN ACCIONES QUE REPERCUTEN EN EL ESTADO DE CONSERVACION DE LA RED NATURA 2000"/>
    <s v="6 MESES"/>
    <x v="1"/>
    <x v="4"/>
    <x v="31"/>
    <s v="PL27"/>
    <x v="988"/>
    <s v="S"/>
    <s v="N"/>
    <s v="S"/>
    <s v="N"/>
  </r>
  <r>
    <x v="4"/>
    <s v="035916"/>
    <s v="SOLICITUD MODIFICACION DE LA RESOLUCION DE LA AYUDA PARA EL MANTENIMIENTO Y MEJORA DE LA BIODIVERSIDAD EN ACCIONES QUE REPERCUTEN EN EL ESTADO DE CONSERVACION DE LA RED NATURA 2000."/>
    <s v="2 MESES"/>
    <x v="1"/>
    <x v="4"/>
    <x v="31"/>
    <s v="SL28"/>
    <x v="989"/>
    <s v="S"/>
    <s v="N"/>
    <s v="S"/>
    <s v="N"/>
  </r>
  <r>
    <x v="4"/>
    <s v="035917"/>
    <s v="SOLICITUD AMPLIACION DE PLAZO DE EJECUCION DE LAS AYUDAS PARA EL MANTENIMIENTO Y MEJORA DE LA BIODIVERSIDAD EN ACCIONES QUE REPERCUTEN EN EL ESTADO DE CONSERVACION DE LA RED NATURA 2000"/>
    <s v="2 MESES"/>
    <x v="1"/>
    <x v="4"/>
    <x v="31"/>
    <s v="SL29"/>
    <x v="990"/>
    <s v="S"/>
    <s v="N"/>
    <s v="S"/>
    <s v="N"/>
  </r>
  <r>
    <x v="4"/>
    <s v="035942"/>
    <s v="MODELO DE ACEPTACION/RENUNCIA PROPUESTA RESOLUCION."/>
    <s v="6 MESES"/>
    <x v="1"/>
    <x v="4"/>
    <x v="31"/>
    <s v="SL4S"/>
    <x v="991"/>
    <s v="N"/>
    <s v="N"/>
    <s v="S"/>
    <s v="N"/>
  </r>
  <r>
    <x v="4"/>
    <s v="035943"/>
    <s v="MODIFICACION DE LAS CONDICIONES DE TIEMPO O DE LA ESTRUCTURA DEL PROYECTO INICIAL APROBADO"/>
    <s v="6 MESES"/>
    <x v="1"/>
    <x v="4"/>
    <x v="31"/>
    <s v="SL4T"/>
    <x v="975"/>
    <s v="N"/>
    <s v="N"/>
    <s v="S"/>
    <s v="N"/>
  </r>
  <r>
    <x v="4"/>
    <s v="035944"/>
    <s v="SOLICITUD DE ABONO DE AYUDAS PARA AYUNTAMIENTOS EN AREAS DE INFLUENCIA SOCIOECONOMICA DE PARQUES NACIONALES EN CASTILLA-LA MANCHA"/>
    <s v="6 MESES"/>
    <x v="1"/>
    <x v="4"/>
    <x v="31"/>
    <s v="PL4U"/>
    <x v="992"/>
    <s v="N"/>
    <s v="N"/>
    <s v="S"/>
    <s v="N"/>
  </r>
  <r>
    <x v="4"/>
    <s v="035945"/>
    <s v="SUBVENCIONES EN REGIMEN DE CONCESION DIRECTA PARA AYUNTAMIENTOS EN AREAS DE INFLUENCIA SOCIOECONOMICA DE PARQUES NACIONALES EN CASTILLA-LA MANCHA"/>
    <s v="6 MESES"/>
    <x v="1"/>
    <x v="4"/>
    <x v="31"/>
    <s v="SL4R"/>
    <x v="993"/>
    <s v="N"/>
    <s v="N"/>
    <s v="S"/>
    <s v="N"/>
  </r>
  <r>
    <x v="4"/>
    <s v="035986"/>
    <s v="SUBVENCIONES PARA PROYECTOS Y ACTIVIDADES DE EDUCACION AMBIENTAL PROMOVIDOS POR ENTIDADES PRIVADAS SIN ANIMO DE LUCRO DE CASTILLA-LA MANCHA"/>
    <s v="3 MESES"/>
    <x v="1"/>
    <x v="4"/>
    <x v="33"/>
    <s v="SL92"/>
    <x v="994"/>
    <s v="N"/>
    <s v="N"/>
    <s v="S"/>
    <s v="N"/>
  </r>
  <r>
    <x v="4"/>
    <s v="036084"/>
    <s v="REMISION DE INFORME ANUAL DE ACTUACIONES DE LAS AYUDAS PIMA-CC PARA EL DISEÑO E IMPLANTACION DE ZONAS DE BAJAS EMISIONES EN MUNICIPIOS DE CASTILLA-LA MANCHA."/>
    <s v="6 MESES."/>
    <x v="1"/>
    <x v="4"/>
    <x v="32"/>
    <s v="BLL3"/>
    <x v="995"/>
    <s v="N"/>
    <s v="N"/>
    <s v="S"/>
    <s v="N"/>
  </r>
  <r>
    <x v="4"/>
    <s v="036085"/>
    <s v="ALEGACIONES Y ACEPTACION O RENUNCIA DE LA PROPUESTA DE RESOLUCION DE AYUDAS PIMA-CC PARA EL DISEÑO E IMPLANTACION DE ZONAS DE BAJAS EMISIONES EN MUNICIPIOS DE CASTILLA-LA MANCHA."/>
    <s v="6 MESES."/>
    <x v="1"/>
    <x v="4"/>
    <x v="32"/>
    <s v="SLL4"/>
    <x v="996"/>
    <s v="N"/>
    <s v="N"/>
    <s v="S"/>
    <s v="N"/>
  </r>
  <r>
    <x v="4"/>
    <s v="036086"/>
    <s v="MODIFICACION DE RESOLUCION DE CONCESION DE AYUDAS PIMA-CC PARA EL DISEÑO E IMPLANTACION DE ZONAS DE BAJAS EMISIONES EN MUNICIPIOS DE CASTILLA-LA MANCHA"/>
    <s v="6 MESES."/>
    <x v="1"/>
    <x v="4"/>
    <x v="32"/>
    <s v="SLL6"/>
    <x v="997"/>
    <s v="N"/>
    <s v="N"/>
    <s v="S"/>
    <s v="N"/>
  </r>
  <r>
    <x v="4"/>
    <s v="036087"/>
    <s v="AYUDAS PIMA-CC PARA EL DISEÑO E IMPLANTACION DE ZONAS DE BAJAS EMISIONES EN MUNICIPIOS DE CASTILLA-LA MANCHA."/>
    <s v="6 MESES."/>
    <x v="1"/>
    <x v="4"/>
    <x v="32"/>
    <s v="SLL2"/>
    <x v="998"/>
    <s v="N"/>
    <s v="N"/>
    <s v="S"/>
    <s v="N"/>
  </r>
  <r>
    <x v="4"/>
    <s v="036088"/>
    <s v="PRESENTACION MEMORIA TECNICA, ECONOMICA Y SOLICITUD DE PAGO FINAL DE ACTUACIONES DE AYUDAS PIMA-CC PARA EL DISEÑO E IMPLANTACION DE ZONAS DE BAJAS EMISIONES EN MUNICIPIOS DE CASTILLA-LA MANCHA."/>
    <s v="6 MESES."/>
    <x v="1"/>
    <x v="4"/>
    <x v="32"/>
    <s v="PLL5"/>
    <x v="999"/>
    <s v="N"/>
    <s v="N"/>
    <s v="S"/>
    <s v="N"/>
  </r>
  <r>
    <x v="4"/>
    <s v="036100"/>
    <s v="ALEGACIONES Y ACEPTACION O RENUNCIA DE LA PROPUESTA DE RESOLUCION DE AYUDAS  PARA ACTUACIONES PILOTO DE CARACTER INNOVADOR PARA ADAPTACION AL CAMBIO CLIMATICO EN ESPACIOS URBANOS Y PERIURBANOS."/>
    <s v="6 MESES"/>
    <x v="1"/>
    <x v="4"/>
    <x v="32"/>
    <s v="SLMA"/>
    <x v="1000"/>
    <s v="N"/>
    <s v="N"/>
    <s v="S"/>
    <s v="N"/>
  </r>
  <r>
    <x v="4"/>
    <s v="036101"/>
    <s v="REMISION DE INFORME ANUAL DE ACTUACIONES DE LAS AYUDAS PIMA-CC  PARA LA ADAPTACION AL CAMBIO CLIMATICO EN ESPACIOS URBANOS Y PERIURBANOS."/>
    <s v="6 MESES"/>
    <x v="1"/>
    <x v="4"/>
    <x v="32"/>
    <s v="BLMB"/>
    <x v="1001"/>
    <s v="N"/>
    <s v="N"/>
    <s v="S"/>
    <s v="N"/>
  </r>
  <r>
    <x v="4"/>
    <s v="036102"/>
    <s v="AYUDAS PIMA-CC PARA ACTUACIONES PILOTO DE CARACTER INNOVADOR PARA LA ADAPTACION AL CAMBIO CLIMATICO EN ESPACIOS URBANOS Y PERIURBANOS."/>
    <s v="6 MESES"/>
    <x v="1"/>
    <x v="4"/>
    <x v="32"/>
    <s v="SLM9"/>
    <x v="1002"/>
    <s v="N"/>
    <s v="N"/>
    <s v="S"/>
    <s v="N"/>
  </r>
  <r>
    <x v="4"/>
    <s v="036103"/>
    <s v="PRESENTACION MEMORIA TECNICA, ECONOMICA Y SOLICITUD DE PAGO FINAL DE ACTUACIONES DE AYUDAS PIMA-CC PARA LA ADAPTACION AL CAMBIO CLIMATICO EN ESPACIOS URBANOS Y PERIURBANOS."/>
    <s v="6 MESES"/>
    <x v="1"/>
    <x v="4"/>
    <x v="32"/>
    <s v="PLMC"/>
    <x v="1003"/>
    <s v="N"/>
    <s v="N"/>
    <s v="S"/>
    <s v="N"/>
  </r>
  <r>
    <x v="4"/>
    <s v="036104"/>
    <s v="MODIFICACION DE RESOLUCION DE CONCESION DE AYUDAS PIMA-CC PARA ACTUCACIONES PILOTO DE CARACTER INNOVADOR PARA LA ADAPTACION AL CAMBIO CLIMATICO DE ESPACIOS URBANOS Y PERIURBANOS."/>
    <s v="6 MESES"/>
    <x v="1"/>
    <x v="4"/>
    <x v="32"/>
    <s v="SLMD"/>
    <x v="1004"/>
    <s v="N"/>
    <s v="N"/>
    <s v="S"/>
    <s v="N"/>
  </r>
  <r>
    <x v="4"/>
    <s v="036119"/>
    <s v="SOLICITUD DE AYUDA MOVES III PARA ADQUISICION DE VEHICULOS ELECTRICOS"/>
    <s v="6 MESES"/>
    <x v="1"/>
    <x v="4"/>
    <x v="30"/>
    <s v="SLN5"/>
    <x v="1005"/>
    <s v="S"/>
    <s v="N"/>
    <s v="S"/>
    <s v="N"/>
  </r>
  <r>
    <x v="4"/>
    <s v="036120"/>
    <s v="SOLICITUD DE AYUDA MOVES III PARA IMPLANTACION DE INFRAESTRUCTURA DE RECARGA DE VEHICULOS ELECTRICOS"/>
    <s v="6 MESES"/>
    <x v="1"/>
    <x v="4"/>
    <x v="30"/>
    <s v="SLN6"/>
    <x v="1006"/>
    <s v="S"/>
    <s v="N"/>
    <s v="S"/>
    <s v="N"/>
  </r>
  <r>
    <x v="4"/>
    <s v="036142"/>
    <s v="CONVOCATORIA DE LOS PROGRAMAS DE INCENTIVOS 4 Y 5 PARA ACTUACIONES DE AUTOCONSUMO, CON FUENTES DE ENERGIAS RENOVABLES, EN EL SECTOR RESIDENCIAL, LAS ADMINISTRACIONES PUBLICAS Y EL TERCER SECTOR."/>
    <s v="6 MESES"/>
    <x v="1"/>
    <x v="4"/>
    <x v="30"/>
    <s v="SLPT"/>
    <x v="1007"/>
    <s v="N"/>
    <s v="N"/>
    <s v="S"/>
    <s v="N"/>
  </r>
  <r>
    <x v="4"/>
    <s v="036143"/>
    <s v="CONVOCATORIA DE LOS PROGRAMAS DE INCENTIVOS 1, 2 Y 3 PARA ACTUACIONES DE AUTOCONSUMO, CON FUENTES DE ENERGIAS RENOVABLES, PARA EL SECTOR SERVICIOS Y OTROS SECTORES PRODUCTIVOS."/>
    <s v="6 MESES"/>
    <x v="1"/>
    <x v="4"/>
    <x v="30"/>
    <s v="SLPS"/>
    <x v="1008"/>
    <s v="N"/>
    <s v="N"/>
    <s v="S"/>
    <s v="N"/>
  </r>
  <r>
    <x v="4"/>
    <s v="036144"/>
    <s v="CONVOCATORIA DEL PROGRAMA DE INCENTIVOS 6 PARA LA REALIZACION DE INSTALACIONES DE ENERGIAS RENOVABLES TERMICAS EN EL SECTOR RESIDENCIAL"/>
    <s v="6 MESES"/>
    <x v="1"/>
    <x v="4"/>
    <x v="30"/>
    <s v="SLPU"/>
    <x v="1009"/>
    <s v="N"/>
    <s v="N"/>
    <s v="S"/>
    <s v="N"/>
  </r>
  <r>
    <x v="4"/>
    <s v="040040"/>
    <s v="ADMISION A EXAMENES DE APTITUD PARA LA OBTENCION DEL CERTIFICADO DE CUALIFICACION INDIVIDUAL"/>
    <s v="3 MESES"/>
    <x v="0"/>
    <x v="4"/>
    <x v="30"/>
    <s v="S978"/>
    <x v="1010"/>
    <s v="S"/>
    <s v="N"/>
    <s v="S"/>
    <s v="S"/>
  </r>
  <r>
    <x v="4"/>
    <s v="040042"/>
    <s v="OBTENCION Y EXPEDICION DEL CERTIFICADO DE CUALIFICACION INDIVIDUAL"/>
    <s v="3 MESES"/>
    <x v="0"/>
    <x v="4"/>
    <x v="30"/>
    <s v="SJCH"/>
    <x v="1011"/>
    <s v="S"/>
    <s v="N"/>
    <s v="S"/>
    <s v="S"/>
  </r>
  <r>
    <x v="4"/>
    <s v="040046"/>
    <s v="OBTENCION DE CARNES DE PROFESIONALES EN MATERIA DE SEGURIDAD INDUSTRIAL"/>
    <s v="3 MESES"/>
    <x v="0"/>
    <x v="4"/>
    <x v="30"/>
    <s v="SJCZ"/>
    <x v="1012"/>
    <s v="S"/>
    <s v="N"/>
    <s v="S"/>
    <s v="N"/>
  </r>
  <r>
    <x v="4"/>
    <s v="040047"/>
    <s v="DECLARACION EN CONCRETO DE LA UTILIDAD PUBLICA DE INSTALACIONES ELECTRICAS"/>
    <s v="6 MESES"/>
    <x v="1"/>
    <x v="4"/>
    <x v="30"/>
    <s v="SI5Y"/>
    <x v="1013"/>
    <s v="S"/>
    <s v="N"/>
    <s v="S"/>
    <s v="N"/>
  </r>
  <r>
    <x v="4"/>
    <s v="040048"/>
    <s v="AUTORIZACION DE EXPLOTACION DE INSTALACIONES ELECTRICAS"/>
    <s v="1 MES"/>
    <x v="1"/>
    <x v="4"/>
    <x v="30"/>
    <s v="SJ9T"/>
    <x v="1014"/>
    <s v="S"/>
    <s v="N"/>
    <s v="S"/>
    <s v="N"/>
  </r>
  <r>
    <x v="4"/>
    <s v="040051"/>
    <s v="APROBACION DE PROYECTO DE EJECUCION DE INSTALACIONES GASISTAS DE COMPETENCIA AUTONOMICA."/>
    <s v="3 MESES"/>
    <x v="1"/>
    <x v="4"/>
    <x v="30"/>
    <s v="SJ9Q"/>
    <x v="1015"/>
    <s v="S"/>
    <s v="N"/>
    <s v="S"/>
    <s v="S"/>
  </r>
  <r>
    <x v="4"/>
    <s v="040052"/>
    <s v="AUTORIZACION DE EXPLOTACION  DE INSTALACIONES GASISTAS DE COMPETENCIA AUTONOMICA."/>
    <s v="1 MES"/>
    <x v="1"/>
    <x v="4"/>
    <x v="30"/>
    <s v="SJ9O"/>
    <x v="1016"/>
    <s v="S"/>
    <s v="N"/>
    <s v="S"/>
    <s v="S"/>
  </r>
  <r>
    <x v="4"/>
    <s v="040053"/>
    <s v="DECLARACION EN CONCRETO DE LA UTILIDAD PUBLICA DE INSTALACIONES GASISTAS DE COMPETENCIA AUTONOMICA"/>
    <s v="6 MESES"/>
    <x v="1"/>
    <x v="4"/>
    <x v="30"/>
    <s v="SJ9K"/>
    <x v="1017"/>
    <s v="S"/>
    <s v="N"/>
    <s v="S"/>
    <s v="N"/>
  </r>
  <r>
    <x v="4"/>
    <s v="040055"/>
    <s v="RECLASIFICACION DE RECURSOS MINERALES"/>
    <s v="3 MESES"/>
    <x v="1"/>
    <x v="4"/>
    <x v="30"/>
    <s v="SJ92"/>
    <x v="1018"/>
    <s v="S"/>
    <s v="N"/>
    <s v="S"/>
    <s v="N"/>
  </r>
  <r>
    <x v="4"/>
    <s v="040056"/>
    <s v="APROBACION DE PLAN DE LABORES"/>
    <s v="TRES MESES PARA CONCESIONES DE LAS SECCIONES C) Y D): DOS MESES PARA SECCIONES A) Y PERMISOS DE INVESTIGACIÓN"/>
    <x v="0"/>
    <x v="4"/>
    <x v="30"/>
    <s v="SI5Z"/>
    <x v="1019"/>
    <s v="S"/>
    <s v="N"/>
    <s v="S"/>
    <s v="N"/>
  </r>
  <r>
    <x v="4"/>
    <s v="040065"/>
    <s v="OTORGAMIENTO DE CONCESION DE APROVECHAMIENTO DE AGUAS  MINERALES O TERMALES"/>
    <s v="6 MESES"/>
    <x v="1"/>
    <x v="4"/>
    <x v="30"/>
    <s v="SJ8R"/>
    <x v="1020"/>
    <s v="S"/>
    <s v="N"/>
    <s v="S"/>
    <s v="S"/>
  </r>
  <r>
    <x v="4"/>
    <s v="040066"/>
    <s v="APROBACION DE PLAN ANUAL DE APROVECHAMIENTO DE AGUAS MINERALES O TERMALES"/>
    <s v="DOS MESES"/>
    <x v="0"/>
    <x v="4"/>
    <x v="30"/>
    <s v="SI7J"/>
    <x v="1021"/>
    <s v="S"/>
    <s v="N"/>
    <s v="S"/>
    <s v="N"/>
  </r>
  <r>
    <x v="4"/>
    <s v="040120"/>
    <s v="DECLARACION DE ASOCIACIONES DE PESCADORES COMO SOCIEDADES COLABORADORAS"/>
    <s v="3 MESES"/>
    <x v="0"/>
    <x v="4"/>
    <x v="31"/>
    <s v="SJFH"/>
    <x v="1022"/>
    <s v="N"/>
    <s v="N"/>
    <s v="S"/>
    <s v="N"/>
  </r>
  <r>
    <x v="4"/>
    <s v="040122"/>
    <s v="DESLINDE DE MONTES DEMANIALES"/>
    <s v="1 AÑO"/>
    <x v="1"/>
    <x v="4"/>
    <x v="31"/>
    <s v="S062"/>
    <x v="1023"/>
    <s v="S"/>
    <s v="N"/>
    <s v="S"/>
    <s v="N"/>
  </r>
  <r>
    <x v="4"/>
    <s v="040123"/>
    <s v="AMOJONAMIENTO DE MONTES DEMANIALES"/>
    <s v="6 MESES"/>
    <x v="1"/>
    <x v="4"/>
    <x v="31"/>
    <s v="SJFP"/>
    <x v="1024"/>
    <s v="S"/>
    <s v="N"/>
    <s v="S"/>
    <s v="N"/>
  </r>
  <r>
    <x v="4"/>
    <s v="040124"/>
    <s v="CATALOGACION DE MONTES PUBLICOS"/>
    <s v="6 MESES"/>
    <x v="1"/>
    <x v="4"/>
    <x v="31"/>
    <s v="SJMR"/>
    <x v="1025"/>
    <s v="S"/>
    <s v="N"/>
    <s v="S"/>
    <s v="N"/>
  </r>
  <r>
    <x v="4"/>
    <s v="040125"/>
    <s v="DESAFECTACION/DESCATALOGACION  DE MONTES DEMANIALES"/>
    <s v="3 MESES"/>
    <x v="1"/>
    <x v="4"/>
    <x v="31"/>
    <s v="SJMN"/>
    <x v="1026"/>
    <s v="S"/>
    <s v="N"/>
    <s v="S"/>
    <s v="N"/>
  </r>
  <r>
    <x v="4"/>
    <s v="040127"/>
    <s v="EJERCICIO DE LA ACCION DE ADQUISICION PREFERENTE (TANTEO Y RETRACTO)"/>
    <s v="3 MESES"/>
    <x v="1"/>
    <x v="4"/>
    <x v="31"/>
    <s v="SJKS"/>
    <x v="1027"/>
    <s v="S"/>
    <s v="N"/>
    <s v="S"/>
    <s v="N"/>
  </r>
  <r>
    <x v="4"/>
    <s v="040128"/>
    <s v="DECLARACION DE PREVALENCIA DE UTILIDAD PUBLICA"/>
    <s v="3 MESES"/>
    <x v="1"/>
    <x v="4"/>
    <x v="31"/>
    <s v="SJMO"/>
    <x v="1028"/>
    <s v="S"/>
    <s v="N"/>
    <s v="S"/>
    <s v="N"/>
  </r>
  <r>
    <x v="4"/>
    <s v="040132"/>
    <s v="DESLINDE/DELIMITACION DE VIA PECUARIA"/>
    <s v="2 AÑOS"/>
    <x v="1"/>
    <x v="4"/>
    <x v="31"/>
    <s v="SJNF"/>
    <x v="1029"/>
    <s v="S"/>
    <s v="N"/>
    <s v="S"/>
    <s v="N"/>
  </r>
  <r>
    <x v="4"/>
    <s v="040133"/>
    <s v="AMOJONAMIENTO DE VIA PECUARIA"/>
    <s v="2 AÑOS"/>
    <x v="1"/>
    <x v="4"/>
    <x v="31"/>
    <s v="SJNG"/>
    <x v="1030"/>
    <s v="S"/>
    <s v="N"/>
    <s v="S"/>
    <s v="N"/>
  </r>
  <r>
    <x v="4"/>
    <s v="040136"/>
    <s v="AUTORIZACION PARA EL ACONDICIONAMIENTO, MANTENIMIENTO Y MEJORA DE VIA PECUARIA"/>
    <s v="3 MESES"/>
    <x v="1"/>
    <x v="4"/>
    <x v="31"/>
    <s v="SJNI"/>
    <x v="1031"/>
    <s v="S"/>
    <s v="N"/>
    <s v="S"/>
    <s v="N"/>
  </r>
  <r>
    <x v="4"/>
    <s v="040137"/>
    <s v="AUTORIZACION/DECLARACION RESPONSABLE DE USOS COMPATIBLES/COMPLEMENTARIOS EN VIAS PECUARIAS"/>
    <s v="3 MESES"/>
    <x v="1"/>
    <x v="4"/>
    <x v="31"/>
    <s v="SJNK"/>
    <x v="1032"/>
    <s v="S"/>
    <s v="N"/>
    <s v="S"/>
    <s v="N"/>
  </r>
  <r>
    <x v="4"/>
    <s v="040138"/>
    <s v="AUTORIZACION DE APROVECHAMIENTOS SOBRANTES EN VIAS PECUARIAS"/>
    <s v="3 MESES"/>
    <x v="1"/>
    <x v="4"/>
    <x v="31"/>
    <s v="SJNL"/>
    <x v="1033"/>
    <s v="S"/>
    <s v="N"/>
    <s v="S"/>
    <s v="N"/>
  </r>
  <r>
    <x v="4"/>
    <s v="040147"/>
    <s v="MEMORIAS DE RESIDUOS"/>
    <s v="1 AÑO"/>
    <x v="2"/>
    <x v="4"/>
    <x v="32"/>
    <s v="SJLD"/>
    <x v="1034"/>
    <s v="N"/>
    <s v="N"/>
    <s v="S"/>
    <s v="N"/>
  </r>
  <r>
    <x v="4"/>
    <s v="040148"/>
    <s v="CONVALIDACION POR INVERSION DE CARACTER MEDIOAMBIENTAL"/>
    <s v="3 MESES"/>
    <x v="1"/>
    <x v="4"/>
    <x v="33"/>
    <s v="SI84"/>
    <x v="1035"/>
    <s v="N"/>
    <s v="N"/>
    <s v="S"/>
    <s v="N"/>
  </r>
  <r>
    <x v="4"/>
    <s v="040150"/>
    <s v="AUTORIZACION ADMINISTRATIVA DE ACTIVIDADES POTENCIALMENTE CONTAMINADORAS DE LA ATMOSFERA."/>
    <s v="9 MESES"/>
    <x v="1"/>
    <x v="4"/>
    <x v="32"/>
    <s v="SJBD"/>
    <x v="1036"/>
    <s v="S"/>
    <s v="N"/>
    <s v="S"/>
    <s v="N"/>
  </r>
  <r>
    <x v="4"/>
    <s v="040152"/>
    <s v="EVALUACION AMBIENTAL ESTRATEGICA DE PLANES Y PROGRAMAS"/>
    <s v="VER EN &quot;INFORMACIÓN ADICIONAL&quot;."/>
    <x v="1"/>
    <x v="4"/>
    <x v="32"/>
    <s v="SIY3"/>
    <x v="1037"/>
    <s v="N"/>
    <s v="N"/>
    <s v="S"/>
    <s v="N"/>
  </r>
  <r>
    <x v="4"/>
    <s v="040153"/>
    <s v="EVALUACION DE IMPACTO AMBIENTAL DE PROYECTOS"/>
    <s v="VER REQUISITOS."/>
    <x v="1"/>
    <x v="4"/>
    <x v="32"/>
    <s v="S478"/>
    <x v="1038"/>
    <s v="S"/>
    <s v="N"/>
    <s v="S"/>
    <s v="S"/>
  </r>
  <r>
    <x v="4"/>
    <s v="040179"/>
    <s v="DECLARACION DE AGUA MINERAL, MODIFICACION O AMPLIACION DE UNA DECLARACION"/>
    <s v="12 MESES"/>
    <x v="1"/>
    <x v="4"/>
    <x v="30"/>
    <s v="SJ8X"/>
    <x v="1039"/>
    <s v="S"/>
    <s v="N"/>
    <s v="S"/>
    <s v="N"/>
  </r>
  <r>
    <x v="4"/>
    <s v="040181"/>
    <s v="CERTIFICADO DE EMPRESA PARA LA MANIPULACION DE GASES FLUORADOS"/>
    <s v=""/>
    <x v="2"/>
    <x v="4"/>
    <x v="30"/>
    <s v="SJNT"/>
    <x v="1040"/>
    <s v="S"/>
    <s v="N"/>
    <s v="S"/>
    <s v="N"/>
  </r>
  <r>
    <x v="4"/>
    <s v="040182"/>
    <s v="CERTIFICADO PERSONAL PARA LA MANIPULACION DE GASES FLUORADOS"/>
    <s v="1 MES"/>
    <x v="1"/>
    <x v="4"/>
    <x v="30"/>
    <s v="SJNU"/>
    <x v="1041"/>
    <s v="S"/>
    <s v="N"/>
    <s v="S"/>
    <s v="N"/>
  </r>
  <r>
    <x v="4"/>
    <s v="040233"/>
    <s v="HOMOLOGACION DE TROFEOS DE CAZA"/>
    <s v="3 MESES"/>
    <x v="1"/>
    <x v="4"/>
    <x v="31"/>
    <s v="SJX9"/>
    <x v="1042"/>
    <s v="S"/>
    <s v="N"/>
    <s v="S"/>
    <s v="N"/>
  </r>
  <r>
    <x v="4"/>
    <s v="040237"/>
    <s v="COMUNICACION DE APORTACION DE ACTAS O CERTIFICADOS DE INSPECCION, REVISION O CONTROL, DE INSTALACIONES O ESTABLECIMIENTOS SOMETIDOS A REGLAMENTACION DE SEGURIDAD INDUSTRIAL"/>
    <s v=""/>
    <x v="0"/>
    <x v="4"/>
    <x v="30"/>
    <s v="SJYR"/>
    <x v="1043"/>
    <s v="S"/>
    <s v="N"/>
    <s v="S"/>
    <s v="N"/>
  </r>
  <r>
    <x v="4"/>
    <s v="040246"/>
    <s v="VALIDACION DE INFORMES ANUALES DE EMISION DE GASES DE GASES DE EFECTO INVERNADERO"/>
    <s v=""/>
    <x v="2"/>
    <x v="4"/>
    <x v="32"/>
    <s v="SK2C"/>
    <x v="1044"/>
    <s v="N"/>
    <s v="N"/>
    <s v="S"/>
    <s v="N"/>
  </r>
  <r>
    <x v="4"/>
    <s v="040280"/>
    <s v="DESIGNACION COMO VOCAL DEL CONSEJO REGIONAL DE PESCA Y DE LOS CONSEJOS PROVINCIALES DE PESCA"/>
    <s v="3 MESES"/>
    <x v="1"/>
    <x v="4"/>
    <x v="31"/>
    <s v="SKBO"/>
    <x v="1045"/>
    <s v="S"/>
    <s v="N"/>
    <s v="S"/>
    <s v="N"/>
  </r>
  <r>
    <x v="4"/>
    <s v="040283"/>
    <s v="APROBACION DE INFORME DE MEJORAS DE INSTALACIONES INCLUIDAS EN EL REGIMEN DE COMERCIO DE GASES DE EFECTO INVERNADERO"/>
    <s v="3 MESES"/>
    <x v="0"/>
    <x v="4"/>
    <x v="32"/>
    <s v="SKD7"/>
    <x v="1046"/>
    <s v="N"/>
    <s v="N"/>
    <s v="S"/>
    <s v="N"/>
  </r>
  <r>
    <x v="4"/>
    <s v="040288"/>
    <s v="REMISION DE INFORMACION DE INSTALACIONES DE PRODUCCION DE ENERGIA ELECTRICA CON REGIMEN RETRIBUTIVO ESPECIFICO"/>
    <s v=""/>
    <x v="2"/>
    <x v="4"/>
    <x v="30"/>
    <s v="SKE6"/>
    <x v="1047"/>
    <s v="S"/>
    <s v="N"/>
    <s v="S"/>
    <s v="N"/>
  </r>
  <r>
    <x v="4"/>
    <s v="040291"/>
    <s v="PRUEBAS DE APTITUD PARA OBTENER POR PRIMERA VEZ LA LICENCIA DE CAZA DE CASTILLA-LA MANCHA"/>
    <s v="3 MESES"/>
    <x v="1"/>
    <x v="4"/>
    <x v="31"/>
    <s v="SKFR"/>
    <x v="1048"/>
    <s v="S"/>
    <s v="N"/>
    <s v="S"/>
    <s v="N"/>
  </r>
  <r>
    <x v="4"/>
    <s v="040292"/>
    <s v="DECLARACION RESPONSABLE DEL NUMERO DE INSPECCIONES ITV REALIZADAS Y LIQUIDACION DE LA TASA CORRESPONDIENTE"/>
    <s v=""/>
    <x v="2"/>
    <x v="4"/>
    <x v="30"/>
    <s v="SKG5"/>
    <x v="1049"/>
    <s v="N"/>
    <s v="N"/>
    <s v="S"/>
    <s v="N"/>
  </r>
  <r>
    <x v="4"/>
    <s v="040296"/>
    <s v="DECLARACION DE ACTIVIDADES LABORALES EN LAS QUE EXISTAN FUENTES NATURALES DE RADIACION"/>
    <s v="3 MESES"/>
    <x v="0"/>
    <x v="4"/>
    <x v="30"/>
    <s v="DKGQ"/>
    <x v="1050"/>
    <s v="S"/>
    <s v="N"/>
    <s v="S"/>
    <s v="N"/>
  </r>
  <r>
    <x v="4"/>
    <s v="040299"/>
    <s v="DECLARACION RESPONSABLE PARA TALLERES DE TAXIDERMIA QUE TRABAJEN CON ESPECIES CINEGETICAS"/>
    <s v=""/>
    <x v="2"/>
    <x v="4"/>
    <x v="31"/>
    <s v="SA88"/>
    <x v="1051"/>
    <s v="S"/>
    <s v="N"/>
    <s v="S"/>
    <s v="N"/>
  </r>
  <r>
    <x v="4"/>
    <s v="040303"/>
    <s v="DECLARACION RESPONSABLE PARA PERSONAS FISICAS O JURIDICAS QUE ACTUAN COMO AGENTES A LOS EFECTOS DEL REGLAMENTO (UE) N.º 995/2010"/>
    <s v=""/>
    <x v="2"/>
    <x v="4"/>
    <x v="31"/>
    <s v="DKKP"/>
    <x v="1052"/>
    <s v="S"/>
    <s v="N"/>
    <s v="S"/>
    <s v="N"/>
  </r>
  <r>
    <x v="4"/>
    <s v="040322"/>
    <s v="CERTIFICACION ACREDITATIVA DE LA CUALIFICACION COMO OPERARIO CUALIFICADO EN LA INSTALACION Y/O MANTENIMIENTO DE SISTEMAS DE PROTECCION CONTRA INCENDIOS"/>
    <s v="3 MESES"/>
    <x v="0"/>
    <x v="4"/>
    <x v="30"/>
    <s v="SKWE"/>
    <x v="1053"/>
    <s v="S"/>
    <s v="N"/>
    <s v="S"/>
    <s v="N"/>
  </r>
  <r>
    <x v="4"/>
    <s v="040326"/>
    <s v="INFORME EN RELACION A LOS PRECIOS DE LOS SERVICIOS PUBLICOS MUNICIPALES  SUJETOS A INTERVENCION POR PARTE DE LA JUNTA DE COMUNIDADES DE CASTILLA-LA MANCHA"/>
    <s v="2 MESES"/>
    <x v="0"/>
    <x v="4"/>
    <x v="35"/>
    <s v="SJSH"/>
    <x v="1054"/>
    <s v="N"/>
    <s v="N"/>
    <s v="S"/>
    <s v="N"/>
  </r>
  <r>
    <x v="4"/>
    <s v="040331"/>
    <s v="DECLARACION RESPONSABLE DE HABER CONSTITUIDO LA GARANTIA FINANCIERA OBLIGATORIA O, EN SU CASO, DE QUEDAR EXENTOS DE SU CONSTITUCION"/>
    <s v=""/>
    <x v="2"/>
    <x v="4"/>
    <x v="32"/>
    <s v="DL3T"/>
    <x v="1055"/>
    <s v="S"/>
    <s v="N"/>
    <s v="S"/>
    <s v="N"/>
  </r>
  <r>
    <x v="4"/>
    <s v="040335"/>
    <s v="INFORMACION SOBRE EL CARACTER AGRICOLA O FORESTAL DE UN TERRENO."/>
    <s v="UN MES CON CARÁCTER GENERAL, Y DOS MESES SI EL VOLUMEN Y COMPLEJIDAD DE LA INFORMACIÓN ES TAL QUE IMPIDE CUMPLIR EL PLAZO INDICADO."/>
    <x v="2"/>
    <x v="4"/>
    <x v="31"/>
    <s v="SL54"/>
    <x v="1056"/>
    <s v="S"/>
    <s v="N"/>
    <s v="S"/>
    <s v="N"/>
  </r>
  <r>
    <x v="4"/>
    <s v="040338"/>
    <s v="INSTRUMENTOS DE GESTION FORESTAL SOSTENIBLE"/>
    <s v="6 MESES"/>
    <x v="1"/>
    <x v="4"/>
    <x v="31"/>
    <s v="SL5L"/>
    <x v="1057"/>
    <s v="S"/>
    <s v="N"/>
    <s v="S"/>
    <s v="N"/>
  </r>
  <r>
    <x v="4"/>
    <s v="040350"/>
    <s v="ACTUALIZACION DEL INVENTARIO DE LINEAS ELECTRICAS DE ALTA TENSION EN ZONAS DE PROTECCION QUE NO SE AJUSTAN AL REAL DECRETO 1432/2008"/>
    <s v=""/>
    <x v="2"/>
    <x v="4"/>
    <x v="30"/>
    <s v="SLCU"/>
    <x v="1058"/>
    <s v="S"/>
    <s v="N"/>
    <s v="S"/>
    <s v="N"/>
  </r>
  <r>
    <x v="4"/>
    <s v="040351"/>
    <s v="INFORME FAVORABLE DE PLANES DE INVERSION DE EMPRESAS DISTRIBUIDORAS DE ENERGIA ELECTRICA"/>
    <s v="HASTA EL 1 DE MAYO PARA LAS SOLICITUDES RECIBIDAS ANTES DEL 1 DE MARZO Y EL 20 DE OCT. PARA LAS NUEVOS PLANES QUE TENGAN QUE PRESENTARSE DESPUÉS POR NO HABER SIDO APROBADOS (ANTES DEL 10 DE OCT.)"/>
    <x v="2"/>
    <x v="4"/>
    <x v="30"/>
    <s v="SLD4"/>
    <x v="1059"/>
    <s v="N"/>
    <s v="N"/>
    <s v="S"/>
    <s v="N"/>
  </r>
  <r>
    <x v="4"/>
    <s v="040361"/>
    <s v="DESIGNACION DE VOCALES DE LOS CONSEJOS PROVINCIALES Y DEL CONSEJO REGIONAL DE CAZA."/>
    <s v="3 MESES."/>
    <x v="1"/>
    <x v="4"/>
    <x v="31"/>
    <s v="SLNS"/>
    <x v="1060"/>
    <s v="S"/>
    <s v="N"/>
    <s v="S"/>
    <s v="N"/>
  </r>
  <r>
    <x v="4"/>
    <s v="040362"/>
    <s v="BONO SOCIAL TERMICO. APORTACION DE DATOS PARA EL ABONO DEL BONO SOCIAL TERMICO O RENUNCIA A LA CONDICION DE PERSONA BENEFICIARIA DEL BONO SOCIAL TERMICO."/>
    <s v=""/>
    <x v="2"/>
    <x v="4"/>
    <x v="35"/>
    <s v="SLOJ"/>
    <x v="1061"/>
    <s v="S"/>
    <s v="N"/>
    <s v="S"/>
    <s v="N"/>
  </r>
  <r>
    <x v="4"/>
    <s v="040370"/>
    <s v="OBTENCION O RENOVACION DEL CERTIFICADO DE APTITUD DE PERSONA OPERADORA DE MAQUINARIA MOVIL MINERA"/>
    <s v="3 MESES"/>
    <x v="0"/>
    <x v="4"/>
    <x v="30"/>
    <s v="SLQD"/>
    <x v="1062"/>
    <s v="S"/>
    <s v="N"/>
    <s v="S"/>
    <s v="N"/>
  </r>
  <r>
    <x v="4"/>
    <s v="040373"/>
    <s v="PRUEBAS DE CONOCIMIENTOS ESPECIFICOS PARA OBTENER LA ACREDITACION DE VIGILANTE DE PESCA"/>
    <s v="3 MESES"/>
    <x v="1"/>
    <x v="4"/>
    <x v="36"/>
    <s v="SLRL"/>
    <x v="1063"/>
    <s v="S"/>
    <s v="N"/>
    <s v="S"/>
    <s v="N"/>
  </r>
  <r>
    <x v="4"/>
    <s v="045325"/>
    <s v="APROBACION DE PLANES TERRITORIALES PARA EL DESPLIEGUE DE REDES E INSTALACIONES DE RADIOCOMUNICACION DE OPERADORES."/>
    <s v="3 MESES TRAS PRESENTACIÓN DE LOS PLANES."/>
    <x v="0"/>
    <x v="4"/>
    <x v="34"/>
    <s v="SJQU"/>
    <x v="1064"/>
    <s v="N"/>
    <s v="N"/>
    <s v="S"/>
    <s v="N"/>
  </r>
  <r>
    <x v="4"/>
    <s v="045326"/>
    <s v="COMUNICACION DE MODIFICACION DE PLANES TERRITORIALES PARA EL DESPLIEGUE DE REDES E INSTALACIONES DE RADIOCOMUNICACION DE OPERADORES."/>
    <s v="3 MESES TRAS PRESENTACIÓN DE LOS PLANES."/>
    <x v="0"/>
    <x v="4"/>
    <x v="34"/>
    <s v="SJQV"/>
    <x v="1065"/>
    <s v="N"/>
    <s v="N"/>
    <s v="S"/>
    <s v="N"/>
  </r>
  <r>
    <x v="4"/>
    <s v="045334"/>
    <s v="SOLICITUD DE CONSTITUCION DE COTO DE CAZA O ZONA COLECTIVA DE CAZA."/>
    <s v="3 MESES."/>
    <x v="1"/>
    <x v="4"/>
    <x v="31"/>
    <s v="SA82"/>
    <x v="1066"/>
    <s v="N"/>
    <s v="N"/>
    <s v="S"/>
    <s v="S"/>
  </r>
  <r>
    <x v="4"/>
    <s v="045335"/>
    <s v="SOLICITUD DE MODIFICACION DE COTO DE CAZA O ZONA COLECTIVA DE CAZA."/>
    <s v="3 MESES."/>
    <x v="1"/>
    <x v="4"/>
    <x v="31"/>
    <s v="SKT8"/>
    <x v="1067"/>
    <s v="N"/>
    <s v="N"/>
    <s v="S"/>
    <s v="N"/>
  </r>
  <r>
    <x v="4"/>
    <s v="045336"/>
    <s v="SOLICITUD DE CAMBIO DE TITULAR DE COTO DE CAZA O ZONA COLECTIVA DE CAZA"/>
    <s v="3 MESES."/>
    <x v="1"/>
    <x v="4"/>
    <x v="31"/>
    <s v="SKT7"/>
    <x v="1068"/>
    <s v="N"/>
    <s v="N"/>
    <s v="S"/>
    <s v="N"/>
  </r>
  <r>
    <x v="4"/>
    <s v="045582"/>
    <s v="DECLARACION PARA OBTENER LA CUALIFICACION DE ESPECIALISTA ACREDITADO/A PARA LA UTILIZACION DE METODOS DE CAPTURA DE DEPREDADORES EN CASTILLA-LA MANCHA"/>
    <s v="3 MESES"/>
    <x v="1"/>
    <x v="4"/>
    <x v="31"/>
    <s v="DK8Q"/>
    <x v="1069"/>
    <s v="S"/>
    <s v="N"/>
    <s v="S"/>
    <s v="N"/>
  </r>
  <r>
    <x v="4"/>
    <s v="045583"/>
    <s v="PRUEBAS DE CONOCIMIENTOS ESPECIFICOS PARA ACCEDER A LA CUALIFICACION DE ESPECIALISTA ACREDITADO/A PARA EL USO DE METODOS HOMOLOGADOS DE CAPTURA DE DEPREDADORES"/>
    <s v="3 MESES"/>
    <x v="1"/>
    <x v="4"/>
    <x v="31"/>
    <s v="SK8P"/>
    <x v="1070"/>
    <s v="S"/>
    <s v="N"/>
    <s v="S"/>
    <s v="N"/>
  </r>
  <r>
    <x v="4"/>
    <s v="050005"/>
    <s v="EXPROPIACION FORZOSA PARA EL ESTABLECIMIENTO DE INSTALACIONES Y LA IMPOSICION DE SERVIDUMBRES DE PASO POR INSTALACIONES ENERGETICAS DECLARADAS DE UTILIDAD PUBLICA"/>
    <s v="3 MESES"/>
    <x v="1"/>
    <x v="4"/>
    <x v="30"/>
    <s v="SLR5"/>
    <x v="1071"/>
    <s v="S"/>
    <s v="N"/>
    <s v="S"/>
    <s v="N"/>
  </r>
  <r>
    <x v="4"/>
    <s v="070019"/>
    <s v="PROCEDIMIENTO SANCIONADOR DE LA CONSEJERIA DE DESARROLLO SOSTENIBLE"/>
    <s v="EL ESTABLECIDO EN SU NORMATIVA ESPECÍFICA."/>
    <x v="3"/>
    <x v="4"/>
    <x v="36"/>
    <s v="NLE6, SLE6"/>
    <x v="1072"/>
    <s v="S"/>
    <s v="N"/>
    <s v="S"/>
    <s v="N"/>
  </r>
  <r>
    <x v="4"/>
    <s v="070021"/>
    <s v="ACTUACIONES DE INSPECCION Y CONTROL EN MATERIA DE CONSUMO"/>
    <s v="EL ESTABLECIDO EN SU NORMATIVA ESPECÍFICA."/>
    <x v="3"/>
    <x v="4"/>
    <x v="35"/>
    <s v="SLHP"/>
    <x v="1073"/>
    <s v="S"/>
    <s v="N"/>
    <s v="S"/>
    <s v="N"/>
  </r>
  <r>
    <x v="4"/>
    <s v="080001"/>
    <s v="ADHESION AL SISTEMA ARBITRAL DE CONSUMO"/>
    <s v="6 MESES"/>
    <x v="1"/>
    <x v="4"/>
    <x v="35"/>
    <s v="S610"/>
    <x v="1074"/>
    <s v="S"/>
    <s v="N"/>
    <s v="S"/>
    <s v="N"/>
  </r>
  <r>
    <x v="4"/>
    <s v="080002"/>
    <s v="RESOLUCION ARBITRAL DE CONFLICTOS EN MATERIA DE CONSUMO"/>
    <s v="9 MESES"/>
    <x v="1"/>
    <x v="4"/>
    <x v="35"/>
    <s v="S735"/>
    <x v="1075"/>
    <s v="S"/>
    <s v="N"/>
    <s v="S"/>
    <s v="N"/>
  </r>
  <r>
    <x v="4"/>
    <s v="080009"/>
    <s v="RESOLUCION EXTRAJUDICIAL DE CONFLICTOS EN MATERIA DE TRANSPORTES TERRESTRES."/>
    <s v="6 MESES"/>
    <x v="1"/>
    <x v="4"/>
    <x v="35"/>
    <s v="SLRI"/>
    <x v="1076"/>
    <s v="S"/>
    <s v="N"/>
    <s v="S"/>
    <s v="N"/>
  </r>
  <r>
    <x v="4"/>
    <s v="090005"/>
    <s v="HOJAS DE RECLAMACIONES DE ESTABLECIMIENTOS Y CENTROS"/>
    <s v="3 MESES"/>
    <x v="1"/>
    <x v="4"/>
    <x v="35"/>
    <s v="S653"/>
    <x v="1077"/>
    <s v="S"/>
    <s v="N"/>
    <s v="S"/>
    <s v="S"/>
  </r>
  <r>
    <x v="4"/>
    <s v="090013"/>
    <s v="INFORMACION SOBRE EL SOMETIMIENTO AL PROCEDIMIENTO DE EVALUACION AMBIENTAL"/>
    <s v=""/>
    <x v="2"/>
    <x v="4"/>
    <x v="32"/>
    <s v="SLEE"/>
    <x v="1078"/>
    <s v="S"/>
    <s v="N"/>
    <s v="S"/>
    <s v="N"/>
  </r>
  <r>
    <x v="4"/>
    <s v="090014"/>
    <s v="CONSULTAS EN MATERIA DE CONSUMO"/>
    <s v="3 MESES"/>
    <x v="1"/>
    <x v="4"/>
    <x v="35"/>
    <s v="SLHU"/>
    <x v="1079"/>
    <s v="S"/>
    <s v="N"/>
    <s v="S"/>
    <s v="N"/>
  </r>
  <r>
    <x v="4"/>
    <s v="090015"/>
    <s v="QUEJAS, RECLAMACIONES Y DENUNCIAS EN MATERIA DE CONSUMO"/>
    <s v="3 MESES"/>
    <x v="1"/>
    <x v="4"/>
    <x v="35"/>
    <s v="SLHV"/>
    <x v="1080"/>
    <s v="S"/>
    <s v="N"/>
    <s v="S"/>
    <s v="N"/>
  </r>
  <r>
    <x v="4"/>
    <s v="115954"/>
    <s v="CONVOCATORIA  PROCESO  SELECTIVO PARA EL INGRESO POR EL SISTEMA GENERAL DE ACCESO LIBRE , EN EL CUERPO DE AGENTES  MEDIOAMBIENTALES."/>
    <s v="SEGÚN CONVOCATORIA"/>
    <x v="1"/>
    <x v="4"/>
    <x v="37"/>
    <s v="SL5Z"/>
    <x v="1081"/>
    <s v="S"/>
    <s v="N"/>
    <s v="S"/>
    <s v="N"/>
  </r>
  <r>
    <x v="4"/>
    <s v="115955"/>
    <s v="SOLICITUD DE DESTINO PARA EL INGRESO POR EL SISTEMA GENERAL DE ACCESO LIBRE EN EL CUERPO DE AGENTES MEDIOAMBIENTALES"/>
    <s v="SEGÚN CONVOCATORIA"/>
    <x v="1"/>
    <x v="4"/>
    <x v="37"/>
    <s v="SLHE"/>
    <x v="1082"/>
    <s v="N"/>
    <s v="N"/>
    <s v="S"/>
    <s v="N"/>
  </r>
  <r>
    <x v="4"/>
    <s v="130005"/>
    <s v="RECLAMACION DE RESPONSABILIDAD PATRIMONIAL DE LA CONSEJERIA DE DESARROLLO SOSTENIBLE"/>
    <s v="6 MESES. EN CASO DE  TRAMITACIÓN SIMPLIFICADA 30 DÍAS."/>
    <x v="1"/>
    <x v="4"/>
    <x v="37"/>
    <s v="SLF4"/>
    <x v="1083"/>
    <s v="S"/>
    <s v="N"/>
    <s v="S"/>
    <s v="N"/>
  </r>
  <r>
    <x v="4"/>
    <s v="140001"/>
    <s v="RECLAMACION  DE CONTROVERSIAS ELECTRICAS"/>
    <s v="3 M., CON LAS EXCEPCIONES ESTABLECIDAS EN EL RD 1699/2011, DE 18 DE NOVIEMBRE"/>
    <x v="2"/>
    <x v="4"/>
    <x v="30"/>
    <s v="SJ9W"/>
    <x v="1084"/>
    <s v="S"/>
    <s v="N"/>
    <s v="S"/>
    <s v="N"/>
  </r>
  <r>
    <x v="4"/>
    <s v="140002"/>
    <s v="RECLAMACION  DE CONTROVERSIAS GASISTICAS"/>
    <s v="3 MESES, Y 20 DIAS  LAS RELATIVAS A ACOMETIDAS DEMÁS ACTUACIONES NECESARIAS PARA ATENDER EL SUMINISTRO"/>
    <x v="2"/>
    <x v="4"/>
    <x v="30"/>
    <s v="SJ9C"/>
    <x v="1085"/>
    <s v="S"/>
    <s v="N"/>
    <s v="S"/>
    <s v="N"/>
  </r>
  <r>
    <x v="4"/>
    <s v="150006"/>
    <s v="REGIMEN A APLICAR A LOS CONSORCIOS Y CONVENIOS DE REPOBLACION FORESTAL"/>
    <s v="6 MESES"/>
    <x v="1"/>
    <x v="4"/>
    <x v="31"/>
    <s v="SJJS"/>
    <x v="1086"/>
    <s v="S"/>
    <s v="N"/>
    <s v="S"/>
    <s v="N"/>
  </r>
  <r>
    <x v="4"/>
    <s v="150016"/>
    <s v="NOMBRAMIENTO DE ENTIDAD COLABORADORA PARA LA TRAMITACION DE LICENCIAS DE CAZA Y PESCA"/>
    <s v="TRES MESES"/>
    <x v="1"/>
    <x v="4"/>
    <x v="31"/>
    <s v="SJYM"/>
    <x v="1087"/>
    <s v="N"/>
    <s v="N"/>
    <s v="S"/>
    <s v="N"/>
  </r>
  <r>
    <x v="4"/>
    <s v="150018"/>
    <s v="MODIFICACION DE CARACTERISTICAS DE LOS CONSORCIOS Y CONVENIOS DE REPOBLACION FORESTAL"/>
    <s v="6 MESES"/>
    <x v="1"/>
    <x v="4"/>
    <x v="31"/>
    <s v="SJKU"/>
    <x v="1088"/>
    <s v="S"/>
    <s v="N"/>
    <s v="S"/>
    <s v="N"/>
  </r>
  <r>
    <x v="4"/>
    <s v="160001"/>
    <s v="DEVOLUCION DE FIANZAS  RELATIVAS A PARQUES EOLICOS"/>
    <s v="3 MESES"/>
    <x v="1"/>
    <x v="4"/>
    <x v="30"/>
    <s v="SJ9A"/>
    <x v="1089"/>
    <s v="S"/>
    <s v="N"/>
    <s v="S"/>
    <s v="N"/>
  </r>
  <r>
    <x v="4"/>
    <s v="160003"/>
    <s v="DEVOLUCION DE FIANZA O GARANTIA DEPOSITADA PARA LA EJECUCION DE INSTALACIONES GASISTAS."/>
    <s v="3 MES"/>
    <x v="1"/>
    <x v="4"/>
    <x v="30"/>
    <s v="SJ9N"/>
    <x v="1090"/>
    <s v="N"/>
    <s v="N"/>
    <s v="S"/>
    <s v="N"/>
  </r>
  <r>
    <x v="4"/>
    <s v="165376"/>
    <s v="DEVOLUCION DE GARANTIA DEPOSITADA PARA TRAMITAR LA SOLICITUD DE ACCESO A LA RED TRANSPORTE O DISTRIBUCION DE INSTALACIONES DE PRODUCCION DE ENERGIA ELECTRICA"/>
    <s v="3 MESES"/>
    <x v="1"/>
    <x v="4"/>
    <x v="30"/>
    <s v="SJ9V"/>
    <x v="1091"/>
    <s v="S"/>
    <s v="N"/>
    <s v="S"/>
    <s v="N"/>
  </r>
  <r>
    <x v="4"/>
    <s v="165377"/>
    <s v="PRESENTACION DEL RESGUARDO DE DEPOSITO DE GARANTIA PARA TRAMITAR LA SOLICITUD DE ACCESO A LAS REDES DE TRANSPORTE O DISTRIBUCION DE INSTALACIONES DE PRODUCCION DE ENERGIA ELECTRICA."/>
    <s v="3 MESES"/>
    <x v="1"/>
    <x v="4"/>
    <x v="30"/>
    <s v="SLG0"/>
    <x v="1092"/>
    <s v="S"/>
    <s v="N"/>
    <s v="S"/>
    <s v="N"/>
  </r>
  <r>
    <x v="4"/>
    <s v="170011"/>
    <s v="DECLARACION ALTA, MODIFICACION, BAJA CANON EOLICO"/>
    <s v=""/>
    <x v="2"/>
    <x v="4"/>
    <x v="30"/>
    <s v="SJNB"/>
    <x v="1093"/>
    <s v="N"/>
    <s v="N"/>
    <s v="S"/>
    <s v="N"/>
  </r>
  <r>
    <x v="4"/>
    <s v="170012"/>
    <s v="AUTOLIQUIDACION CANON EOLICO"/>
    <s v=""/>
    <x v="2"/>
    <x v="4"/>
    <x v="30"/>
    <s v="SJPJ"/>
    <x v="1094"/>
    <s v="N"/>
    <s v="N"/>
    <s v="S"/>
    <s v="N"/>
  </r>
  <r>
    <x v="4"/>
    <s v="180093"/>
    <s v="CONCURSO SINGULARIZADO DE MERITOS PARA LA PROVISION DE PUESTOS DE TRABAJO VACANTES EN EL CUERPO DE AGENTES MEDIOAMBIENTALES DE LA ADMINISTRACION DE LA JUNTA DE COMUNIDADES DE CASTILLA-LA MANCHA."/>
    <s v="4 MESES"/>
    <x v="1"/>
    <x v="4"/>
    <x v="37"/>
    <s v="RJWZ, SJWZ"/>
    <x v="1095"/>
    <s v="N"/>
    <s v="N"/>
    <s v="S"/>
    <s v="N"/>
  </r>
  <r>
    <x v="4"/>
    <s v="180182"/>
    <s v="PROVISION POR EL PROCEDIMIENTO DE LIBRE DESIGNACION DE PUESTOS DE TRABAJO VACANTES EN LA CONSEJERIA DE DESARROLLO SOSTENIBLE DE LA JUNTA DE COMUNIDADES DE CASTILLA-LA MANCHA."/>
    <s v="2 MESES."/>
    <x v="1"/>
    <x v="4"/>
    <x v="37"/>
    <s v="SLCJ"/>
    <x v="1096"/>
    <s v="N"/>
    <s v="N"/>
    <s v="S"/>
    <s v="N"/>
  </r>
  <r>
    <x v="4"/>
    <s v="180222"/>
    <s v="CONCURSO GENERAL DE MERITOS (CGM AAMM F1/2021), PARA LA PROVISION DE PUESTOS DE TRABAJO, ADSDRITOS AL CUERPO DE AGENTES MEDIOAMBIENTALES, EN LA ADMINISTRACION DE LA JUNTA DE COMUNIDADES DE CASTILLA-LA MANCHA."/>
    <s v="OCHO MESES DESDE LA PUBLICACIÓN DE LA CONVOCATORIA."/>
    <x v="1"/>
    <x v="4"/>
    <x v="37"/>
    <s v="RLPX, SLPX"/>
    <x v="1097"/>
    <s v="N"/>
    <s v="N"/>
    <s v="S"/>
    <s v="N"/>
  </r>
  <r>
    <x v="4"/>
    <s v="180242"/>
    <s v="CONCURSO SINGULARIZADO DE MERITOS (CSM DS 1/2022), PARA LA PROVISION DE PUESTOS DE TRABAJO VACANTES EN LA ADMINISTRACION DE LA JUNTA DE COMUNIDADES DE CASTILLA-LA MANCHA."/>
    <s v="6 MESES (4 MESES Y APLIADO 2 MAS )"/>
    <x v="1"/>
    <x v="4"/>
    <x v="37"/>
    <s v="SLW0"/>
    <x v="1098"/>
    <s v="N"/>
    <s v="N"/>
    <s v="S"/>
    <s v="N"/>
  </r>
  <r>
    <x v="4"/>
    <s v="190002"/>
    <s v="PERMUTAS DE MONTES DEMANIALES"/>
    <s v="2 AÑOS"/>
    <x v="1"/>
    <x v="4"/>
    <x v="31"/>
    <s v="SJMP"/>
    <x v="1099"/>
    <s v="S"/>
    <s v="N"/>
    <s v="S"/>
    <s v="N"/>
  </r>
  <r>
    <x v="4"/>
    <s v="180182"/>
    <s v="PROVISION POR EL PROCEDIMIENTO DE LIBRE DESIGNACION DE PUESTOS DE TRABAJO VACANTES EN LA CONSEJERIA DE DESARROLLO SOSTENIBLE DE LA JUNTA DE COMUNIDADES DE CASTILLA-LA MANCHA."/>
    <s v="2 MESES."/>
    <x v="1"/>
    <x v="4"/>
    <x v="37"/>
    <s v="SLCJ"/>
    <x v="1096"/>
    <s v="N"/>
    <s v="N"/>
    <s v="S"/>
    <s v="N"/>
  </r>
  <r>
    <x v="4"/>
    <s v="180222"/>
    <s v="CONCURSO GENERAL DE MERITOS (CGM AAMM F1/2021), PARA LA PROVISION DE PUESTOS DE TRABAJO, ADSDRITOS AL CUERPO DE AGENTES MEDIOAMBIENTALES, EN LA ADMINISTRACION DE LA JUNTA DE COMUNIDADES DE CASTILLA-LA MANCHA."/>
    <s v="OCHO MESES DESDE LA PUBLICACIÓN DE LA CONVOCATORIA."/>
    <x v="1"/>
    <x v="4"/>
    <x v="37"/>
    <s v="RLPX, SLPX"/>
    <x v="1097"/>
    <s v="N"/>
    <s v="N"/>
    <s v="S"/>
    <s v="N"/>
  </r>
  <r>
    <x v="4"/>
    <s v="180242"/>
    <s v="CONCURSO SINGULARIZADO DE MERITOS (CSM DS 1/2022), PARA LA PROVISION DE PUESTOS DE TRABAJO VACANTES EN LA ADMINISTRACION DE LA JUNTA DE COMUNIDADES DE CASTILLA-LA MANCHA."/>
    <s v="4 MESES"/>
    <x v="1"/>
    <x v="4"/>
    <x v="37"/>
    <s v="SLW0"/>
    <x v="1098"/>
    <s v="N"/>
    <s v="N"/>
    <s v="S"/>
    <s v="N"/>
  </r>
  <r>
    <x v="4"/>
    <s v="190002"/>
    <s v="PERMUTAS DE MONTES DEMANIALES"/>
    <s v="2 AÑOS"/>
    <x v="1"/>
    <x v="4"/>
    <x v="31"/>
    <s v="SJMP"/>
    <x v="1099"/>
    <s v="S"/>
    <s v="N"/>
    <s v="S"/>
    <s v="N"/>
  </r>
  <r>
    <x v="5"/>
    <s v="036161"/>
    <s v="SOLICITUD DE PAGO Y JUSTIFICACION DE LA AYUDA DE PROYECTOS RELATIVOS A LA MEJORA DEL ABASTECIMIENTO Y REDUCCION DE PERDIDAS EN REDES DE AGUA POTABLE MUNICIPIOS MENORES DE 20.000 HABITANTES PRTR"/>
    <s v=""/>
    <x v="2"/>
    <x v="5"/>
    <x v="38"/>
    <s v="PLSP"/>
    <x v="1100"/>
    <s v="S"/>
    <s v="N"/>
    <s v="S"/>
    <s v="N"/>
  </r>
  <r>
    <x v="5"/>
    <s v="036162"/>
    <s v="SOLICITUD AYUDA PARA LA SELECCION Y EJECUCION DE PROYECTOS RELATIVOS A LA MEJORA DEL ABASTECIMIENTO Y REDUCCION DE PERDIDAS EN REDES DE AGUA POTABLE MUNICIPIOS MENORES DE 20.000 HABITANTES PRTR"/>
    <s v=""/>
    <x v="2"/>
    <x v="5"/>
    <x v="38"/>
    <s v="SLSO"/>
    <x v="1101"/>
    <s v="S"/>
    <s v="N"/>
    <s v="S"/>
    <s v="N"/>
  </r>
  <r>
    <x v="5"/>
    <s v="180194"/>
    <s v="PROVISION, POR EL PROCEDIMIENTO DE LIBRE DESIGNACION DE PUESTOS DE TRABAJO VACANTES EN LA AGENCIA DEL AGUA DE CASTILLA-LA MANCHA"/>
    <s v="2 MESES"/>
    <x v="1"/>
    <x v="5"/>
    <x v="38"/>
    <s v="SLJ9"/>
    <x v="1102"/>
    <s v="N"/>
    <s v="N"/>
    <s v="S"/>
    <s v="N"/>
  </r>
  <r>
    <x v="5"/>
    <s v="180235"/>
    <s v="PROVISION, POR EL PROCEDIMIENTO DE LIBRE DESIGNACION DE PUESTO DE TRABAJO VACANTE EN LA ADMINISTRACION DE LA JUNTA DE COMUNIDADES DE CASTILLA-LA MANCHA."/>
    <s v="DOS MESES"/>
    <x v="1"/>
    <x v="5"/>
    <x v="38"/>
    <s v="SLU2"/>
    <x v="1103"/>
    <s v="N"/>
    <s v="N"/>
    <s v="S"/>
    <s v="N"/>
  </r>
  <r>
    <x v="5"/>
    <s v="010458"/>
    <s v="COMUNICACION DE REALIZACION DE ACCIONES EXCEPCIONALES PARA EL CONTROL DE DAÑOS PRODUCIDOS POR ESPECIES CINEGETICAS AUTORIZADAS EN LA RESOLUCION APROBATORIA DEL PLAN DE ORDENACION CINEGETICA"/>
    <s v=""/>
    <x v="2"/>
    <x v="4"/>
    <x v="31"/>
    <s v="SJF3"/>
    <x v="823"/>
    <s v="N"/>
    <s v="N"/>
    <s v="S"/>
    <s v="N"/>
  </r>
  <r>
    <x v="6"/>
    <s v="010189"/>
    <s v="AUTORIZACION PARA SEGREGACION DE FINCAS RUSTICAS"/>
    <s v="3 MESES"/>
    <x v="1"/>
    <x v="6"/>
    <x v="39"/>
    <s v="S258"/>
    <x v="1104"/>
    <s v="S"/>
    <s v="N"/>
    <s v="S"/>
    <s v="N"/>
  </r>
  <r>
    <x v="6"/>
    <s v="010192"/>
    <s v="AUTORIZACION DE TRANSMISIONES DE FINCAS RUSTICAS EN ZONAS CUYA TRANSFORMACION EN REGADIO HAYA SIDO DECLARADA DE INTERES REGIONAL O NACIONAL"/>
    <s v="3 MESES"/>
    <x v="0"/>
    <x v="6"/>
    <x v="39"/>
    <s v="SJF8"/>
    <x v="1105"/>
    <s v="S"/>
    <s v="N"/>
    <s v="S"/>
    <s v="N"/>
  </r>
  <r>
    <x v="6"/>
    <s v="010193"/>
    <s v="AUTORIZACION DE PERMUTA DE FINCAS DE REEMPLAZO ENTRE PROPIETARIOS EN CONCENTRACIONES PARCELARIAS PUBLICAS"/>
    <s v="3 MESES"/>
    <x v="0"/>
    <x v="6"/>
    <x v="39"/>
    <s v="S247"/>
    <x v="1106"/>
    <s v="S"/>
    <s v="N"/>
    <s v="S"/>
    <s v="N"/>
  </r>
  <r>
    <x v="6"/>
    <s v="010252"/>
    <s v="AUTORIZACION DE VETERINARIOS PARA LA EXPEDICION DE CERTIFICADOS O DOCUMENTOS DE ACOMPAÑAMIENTO"/>
    <s v="2 MESES"/>
    <x v="0"/>
    <x v="6"/>
    <x v="40"/>
    <s v="SE19"/>
    <x v="1107"/>
    <s v="S"/>
    <s v="N"/>
    <s v="S"/>
    <s v="N"/>
  </r>
  <r>
    <x v="6"/>
    <s v="010253"/>
    <s v="AUTORIZACION PARA EXPEDICION DE PASAPORTES FITOSANITARIOS"/>
    <s v="6 MESES"/>
    <x v="0"/>
    <x v="6"/>
    <x v="40"/>
    <s v="SJ6T"/>
    <x v="1108"/>
    <s v="N"/>
    <s v="N"/>
    <s v="S"/>
    <s v="N"/>
  </r>
  <r>
    <x v="6"/>
    <s v="010299"/>
    <s v="AUTORIZACION DE PRODUCTOR DE SEMILLAS E INCLUSION EN REGISTRO DE PRODUCTORES DE SEMILLAS DE CASTILLA-LA MANCHA"/>
    <s v="3 MESES"/>
    <x v="0"/>
    <x v="6"/>
    <x v="40"/>
    <s v="SJGL"/>
    <x v="1109"/>
    <s v="S"/>
    <s v="N"/>
    <s v="S"/>
    <s v="N"/>
  </r>
  <r>
    <x v="6"/>
    <s v="010301"/>
    <s v="ACTIVIDADES DE ACONDICIONAMIENTO DE GRANO DESTINADO A LA SIEMBRA"/>
    <s v="3 MESES"/>
    <x v="0"/>
    <x v="6"/>
    <x v="40"/>
    <s v="SJGN"/>
    <x v="1110"/>
    <s v="S"/>
    <s v="N"/>
    <s v="S"/>
    <s v="N"/>
  </r>
  <r>
    <x v="6"/>
    <s v="010303"/>
    <s v="AUTORIZACION PARA LA REALIZACION DE CERTAMENES GANADEROS"/>
    <s v="3 MESES"/>
    <x v="0"/>
    <x v="6"/>
    <x v="40"/>
    <s v="SJIA"/>
    <x v="1111"/>
    <s v="S"/>
    <s v="N"/>
    <s v="S"/>
    <s v="S"/>
  </r>
  <r>
    <x v="6"/>
    <s v="010353"/>
    <s v="BAJA DE ANIMAL DE LA ESPECIE BOVINA POR MUERTE EN LA EXPLOTACIÓN"/>
    <s v=""/>
    <x v="2"/>
    <x v="6"/>
    <x v="40"/>
    <s v="SJMK"/>
    <x v="1112"/>
    <s v="N"/>
    <s v="N"/>
    <s v="S"/>
    <s v="N"/>
  </r>
  <r>
    <x v="6"/>
    <s v="010355"/>
    <s v="ALTA DE ANIMAL DE LA ESPECIE BOVINA"/>
    <s v=""/>
    <x v="2"/>
    <x v="6"/>
    <x v="40"/>
    <s v="SJOG"/>
    <x v="1113"/>
    <s v="N"/>
    <s v="N"/>
    <s v="S"/>
    <s v="N"/>
  </r>
  <r>
    <x v="6"/>
    <s v="010356"/>
    <s v="ACCESO A UNIDAD GANADERA VIRTUAL"/>
    <s v="0"/>
    <x v="2"/>
    <x v="6"/>
    <x v="40"/>
    <s v="SJOH"/>
    <x v="1114"/>
    <s v="N"/>
    <s v="N"/>
    <s v="S"/>
    <s v="N"/>
  </r>
  <r>
    <x v="6"/>
    <s v="010392"/>
    <s v="AUTORIZACION DE COSECHA EN VERDE DE PLANTACIONES ILEGALES"/>
    <s v="ANTES DEL 31 DE MAYO DE LA CAMPAÑA A LA QUE SE REFIERA LA SOLICITUD."/>
    <x v="0"/>
    <x v="6"/>
    <x v="40"/>
    <s v="SJTY"/>
    <x v="1115"/>
    <s v="S"/>
    <s v="N"/>
    <s v="S"/>
    <s v="N"/>
  </r>
  <r>
    <x v="6"/>
    <s v="010396"/>
    <s v="CONCENTRACION DE CANIDOS, FELIDOS Y HURONES PARA SU VACUNACION DE RABIA"/>
    <s v=""/>
    <x v="2"/>
    <x v="6"/>
    <x v="40"/>
    <s v="DJV4"/>
    <x v="1116"/>
    <s v="S"/>
    <s v="N"/>
    <s v="S"/>
    <s v="N"/>
  </r>
  <r>
    <x v="6"/>
    <s v="010400"/>
    <s v="SOLICITUD DE AUTORIZACIÓN PARA CENTROS Y ACTIVIDADES DE REPRODUCCIÓN ANIMAL"/>
    <s v="3 MESES"/>
    <x v="0"/>
    <x v="6"/>
    <x v="40"/>
    <s v="SJVU"/>
    <x v="1117"/>
    <s v="S"/>
    <s v="N"/>
    <s v="S"/>
    <s v="N"/>
  </r>
  <r>
    <x v="6"/>
    <s v="010402"/>
    <s v="NOTIFICACION DE ENSAYOS CON PRODUCTOS FITOSANITARIOS"/>
    <s v=""/>
    <x v="2"/>
    <x v="6"/>
    <x v="40"/>
    <s v="NJW7"/>
    <x v="1118"/>
    <s v="S"/>
    <s v="N"/>
    <s v="S"/>
    <s v="N"/>
  </r>
  <r>
    <x v="6"/>
    <s v="010410"/>
    <s v="ENAJENACION O PERMUTA DE FINCAS DE MASA COMUN EN ZONAS DE CONCENTRACION PARCELARIA"/>
    <s v="3 MESES"/>
    <x v="0"/>
    <x v="6"/>
    <x v="39"/>
    <s v="S871"/>
    <x v="1119"/>
    <s v="S"/>
    <s v="N"/>
    <s v="S"/>
    <s v="N"/>
  </r>
  <r>
    <x v="6"/>
    <s v="010412"/>
    <s v="AUTORIZACION DE VACIO SANITARIO POR MOTIVOS EPIDEMIOLOGICOS"/>
    <s v="1 MES"/>
    <x v="1"/>
    <x v="6"/>
    <x v="40"/>
    <s v="SJWM"/>
    <x v="1120"/>
    <s v="S"/>
    <s v="N"/>
    <s v="S"/>
    <s v="N"/>
  </r>
  <r>
    <x v="6"/>
    <s v="010420"/>
    <s v="AUTORIZACION MATADEROS PARA EL SACRIFICIO DE ANIMALES REACCIONANTES POSITIVOS EN CAMPAÑAS DE SANEAMIENTO GANADERO"/>
    <s v="1 MES"/>
    <x v="0"/>
    <x v="6"/>
    <x v="40"/>
    <s v="SJXB"/>
    <x v="1121"/>
    <s v="S"/>
    <s v="N"/>
    <s v="S"/>
    <s v="N"/>
  </r>
  <r>
    <x v="6"/>
    <s v="010421"/>
    <s v="AUTORIZACIÓN DE ESTABLECIMIENTOS, TRANSPORTISTAS Y USUARIOS ESPECÍFICOS DE SUBPRODUCTOS ANIMALES NO DESTINADOS A CONSUMO HUMANO (SANDACH)"/>
    <s v="3 MESES"/>
    <x v="1"/>
    <x v="6"/>
    <x v="40"/>
    <s v="SJXC"/>
    <x v="1122"/>
    <s v="S"/>
    <s v="N"/>
    <s v="S"/>
    <s v="N"/>
  </r>
  <r>
    <x v="6"/>
    <s v="010423"/>
    <s v="APROBACIÓN DE PLIEGOS DE CONDICIONES DE ETIQUETADO FACULTATIVO CONDICIONADO A LA AUTORIZACIÓN DEL ORGANISMO INDEPENDIENTE DE CONTROL"/>
    <s v="3 MESES"/>
    <x v="1"/>
    <x v="6"/>
    <x v="41"/>
    <s v="SJXE"/>
    <x v="1123"/>
    <s v="S"/>
    <s v="N"/>
    <s v="S"/>
    <s v="N"/>
  </r>
  <r>
    <x v="6"/>
    <s v="010424"/>
    <s v="SOLICITUD PARA DESIGNAR ORGANISMOS, INSTITUCIONES Y ENTIDADES ORGANIZADORAS DE CURSOS DE MANIPULADOR DE PRODUCTOS FITOSANITARIOS Y SUS MODIFICACIONES."/>
    <s v="3 MESES"/>
    <x v="0"/>
    <x v="6"/>
    <x v="40"/>
    <s v="SJXF"/>
    <x v="1124"/>
    <s v="N"/>
    <s v="N"/>
    <s v="S"/>
    <s v="N"/>
  </r>
  <r>
    <x v="6"/>
    <s v="010447"/>
    <s v="SOLICITUD DE ACREDITACIÓN DE ASESOR EN GESTIÓN INTEGRADA DE PLAGAS"/>
    <s v="3 MESES"/>
    <x v="0"/>
    <x v="6"/>
    <x v="40"/>
    <s v="SJZG"/>
    <x v="1125"/>
    <s v="S"/>
    <s v="N"/>
    <s v="S"/>
    <s v="N"/>
  </r>
  <r>
    <x v="6"/>
    <s v="010452"/>
    <s v="SOLICITUD GUÍA DE ORIGEN Y SANIDAD PECUARIA"/>
    <s v="5 DÍAS"/>
    <x v="1"/>
    <x v="6"/>
    <x v="40"/>
    <s v="SJZZ"/>
    <x v="1126"/>
    <s v="N"/>
    <s v="N"/>
    <s v="S"/>
    <s v="N"/>
  </r>
  <r>
    <x v="6"/>
    <s v="010464"/>
    <s v="SOLICITUD PARA AUTORIZACIÓN DE TRATAMIENTOS AÉREOS CON PRODUCTOS FITOSANITARIOS"/>
    <s v="6 MESES"/>
    <x v="0"/>
    <x v="6"/>
    <x v="40"/>
    <s v="SK18"/>
    <x v="1127"/>
    <s v="S"/>
    <s v="N"/>
    <s v="S"/>
    <s v="N"/>
  </r>
  <r>
    <x v="6"/>
    <s v="010465"/>
    <s v="AUTORIZACIÓN A VETERINARIOS Y TERCEROS PARA REALIZAR TRÁMITES EN LA UNIDAD GANADERA VIRTUAL."/>
    <s v="30 DÍAS."/>
    <x v="1"/>
    <x v="6"/>
    <x v="40"/>
    <s v="SK1D"/>
    <x v="1128"/>
    <s v="N"/>
    <s v="N"/>
    <s v="S"/>
    <s v="N"/>
  </r>
  <r>
    <x v="6"/>
    <s v="010473"/>
    <s v="AUTORIZACION DE LOS ORGANOS HABILITADOS PARA LA EVALUACION DE PROYECTOS DE INVESTIGACION QUE UTILICEN ANIMALES CON FINES EXPERIMENTALES"/>
    <s v="3 MESES."/>
    <x v="0"/>
    <x v="6"/>
    <x v="40"/>
    <s v="SK3C"/>
    <x v="1129"/>
    <s v="S"/>
    <s v="N"/>
    <s v="S"/>
    <s v="N"/>
  </r>
  <r>
    <x v="6"/>
    <s v="010474"/>
    <s v="AUTORIZACION DE PROYECTOS DE INVESTIGACION QUE UTILICEN ANIMALES CON FINES EXPERIMENTALES"/>
    <s v="CUARENTA DIAS HABILES, PUDIENDO AMPLIAR ESTE PLAZO UNA VEZ POR UN PERIODO ADICIONAL DE 15 DIAS HABILES: LA AMPLIACION Y SU DURACION DEBEN MOTIVARSE DEBIDAMENTE Y SE NOTIFICARA AL SOLICITANTE ANTES DE QUE FINALICE EL PLAZO"/>
    <x v="0"/>
    <x v="6"/>
    <x v="40"/>
    <s v="SK3D"/>
    <x v="1130"/>
    <s v="S"/>
    <s v="N"/>
    <s v="S"/>
    <s v="N"/>
  </r>
  <r>
    <x v="6"/>
    <s v="010475"/>
    <s v="CESIÓN DE LOS DERECHOS DE COBRO DE SUBVENCIONES CUYO PAGO COMPETE AL ORGANISMO PAGADOR DE CASTILLA-LA MANCHA."/>
    <s v=""/>
    <x v="2"/>
    <x v="6"/>
    <x v="42"/>
    <s v="SK3F"/>
    <x v="1131"/>
    <s v="S"/>
    <s v="N"/>
    <s v="S"/>
    <s v="N"/>
  </r>
  <r>
    <x v="6"/>
    <s v="010496"/>
    <s v="CONCESION DE AYUDAS A LOS PLANES DE REESTRUCTURACION Y RECONVERSION DE VIÑEDO DE CASTILLA LA MANCHA"/>
    <s v="6 MESES"/>
    <x v="1"/>
    <x v="6"/>
    <x v="40"/>
    <s v="MK5N"/>
    <x v="1132"/>
    <s v="N"/>
    <s v="N"/>
    <s v="S"/>
    <s v="N"/>
  </r>
  <r>
    <x v="6"/>
    <s v="010497"/>
    <s v="COMUNICACION DE LAS EDICIONES DE CURSOS DE MANIPULADOR DE PRODUCTOS FITOSANITARIOS Y SUS MODIFICACIONES"/>
    <s v=""/>
    <x v="2"/>
    <x v="6"/>
    <x v="40"/>
    <s v="MK5Z"/>
    <x v="1133"/>
    <s v="N"/>
    <s v="N"/>
    <s v="S"/>
    <s v="N"/>
  </r>
  <r>
    <x v="6"/>
    <s v="010499"/>
    <s v="AUTORIZACION/RENOVACION DE ENTIDADES DE CONTROL DE PRODUCTOS AGROALIMENTARIOS DE CASTILLA-LA MANCHA"/>
    <s v="1 AÑO"/>
    <x v="1"/>
    <x v="6"/>
    <x v="41"/>
    <s v="SK7G"/>
    <x v="1134"/>
    <s v="N"/>
    <s v="N"/>
    <s v="S"/>
    <s v="N"/>
  </r>
  <r>
    <x v="6"/>
    <s v="010502"/>
    <s v="AUTORIZACION Y CONTROL OFICIAL DE SISTEMAS DE HIDROLISIS CADAVERICA EN LAS EXPLOTACIONES GANADERAS DE CASTILLA-LA MANCHA."/>
    <s v="6 MESES"/>
    <x v="0"/>
    <x v="6"/>
    <x v="40"/>
    <s v="SK9V"/>
    <x v="1135"/>
    <s v="S"/>
    <s v="N"/>
    <s v="S"/>
    <s v="N"/>
  </r>
  <r>
    <x v="6"/>
    <s v="010503"/>
    <s v="COMUNICACION PREVIA DE RECOGIDA DE MATERIAL DENTRO DEL SISTEMAS DE HIDROLISIS CADAVERICA EN LAS EXPLOTACIONES GANADERAS DE CASTILLA-LA MANCHA."/>
    <s v=""/>
    <x v="2"/>
    <x v="6"/>
    <x v="40"/>
    <s v="MK9W"/>
    <x v="1136"/>
    <s v="S"/>
    <s v="N"/>
    <s v="S"/>
    <s v="N"/>
  </r>
  <r>
    <x v="6"/>
    <s v="010507"/>
    <s v="AUTORIZACION DE ACCESO A SIEMBRA WEB"/>
    <s v="1 MES"/>
    <x v="1"/>
    <x v="6"/>
    <x v="40"/>
    <s v="SKAK"/>
    <x v="1137"/>
    <s v="N"/>
    <s v="N"/>
    <s v="S"/>
    <s v="N"/>
  </r>
  <r>
    <x v="6"/>
    <s v="010509"/>
    <s v="PRUEBAS PARA EL DIAGNOSTICO DE LA LEISHMANIOSIS"/>
    <s v="15 DÍAS HÁBILES"/>
    <x v="0"/>
    <x v="6"/>
    <x v="40"/>
    <s v="SKB0"/>
    <x v="1138"/>
    <s v="S"/>
    <s v="N"/>
    <s v="S"/>
    <s v="N"/>
  </r>
  <r>
    <x v="6"/>
    <s v="010520"/>
    <s v="AUTORIZACION DE LA ACTIVIDAD DE INSPECCION Y/O ALTA EN EL REGISTRO OFICIAL DE ESTACIONES DE INSPECCION TECNICA DE EQUIPOS DE APLICACION DE PRODUCTOS FITOSANITARIOS"/>
    <s v="6 MESES"/>
    <x v="0"/>
    <x v="6"/>
    <x v="40"/>
    <s v="SKEY"/>
    <x v="1139"/>
    <s v="N"/>
    <s v="N"/>
    <s v="S"/>
    <s v="N"/>
  </r>
  <r>
    <x v="6"/>
    <s v="010524"/>
    <s v="COMUNICACION DE DATOS PARA LA INSCRIPCION EN EL REGISTRO GENERAL DE LA PRODUCCION AGRICOLA (REGEPA)"/>
    <s v=""/>
    <x v="2"/>
    <x v="6"/>
    <x v="40"/>
    <s v="MKGY"/>
    <x v="1140"/>
    <s v="N"/>
    <s v="N"/>
    <s v="S"/>
    <s v="N"/>
  </r>
  <r>
    <x v="6"/>
    <s v="010526"/>
    <s v="COMUNICACION ANUAL DE DOCUMENTACION AL REGISTRO DE EAPIR DE CLM"/>
    <s v=""/>
    <x v="2"/>
    <x v="6"/>
    <x v="41"/>
    <s v="MKHA"/>
    <x v="1141"/>
    <s v="N"/>
    <s v="N"/>
    <s v="S"/>
    <s v="N"/>
  </r>
  <r>
    <x v="6"/>
    <s v="010534"/>
    <s v="AUTORIZACION PARA NUEVAS PLANTACIONES DE VIÑEDO"/>
    <s v="SEIS MESES"/>
    <x v="1"/>
    <x v="6"/>
    <x v="40"/>
    <s v="SKJX"/>
    <x v="1142"/>
    <s v="S"/>
    <s v="N"/>
    <s v="S"/>
    <s v="N"/>
  </r>
  <r>
    <x v="6"/>
    <s v="010536"/>
    <s v="RENUNCIA A AUTORIZACION PARA NUEVAS PLANTACIONES DE VIÑEDO"/>
    <s v="3 MESES"/>
    <x v="0"/>
    <x v="6"/>
    <x v="40"/>
    <s v="MKK9"/>
    <x v="1143"/>
    <s v="S"/>
    <s v="N"/>
    <s v="S"/>
    <s v="N"/>
  </r>
  <r>
    <x v="6"/>
    <s v="010537"/>
    <s v="CONCESION DE AYUDAS A LOS PLANES DE REESTRUCTURACION Y RECONVERSION DE VIÑEDO DE CASTILLA LA MANCHA"/>
    <s v="2 MESES"/>
    <x v="1"/>
    <x v="6"/>
    <x v="40"/>
    <s v="MKL4"/>
    <x v="1144"/>
    <s v="S"/>
    <s v="N"/>
    <s v="S"/>
    <s v="N"/>
  </r>
  <r>
    <x v="6"/>
    <s v="010538"/>
    <s v="PROGRAMAS DE TRASLADO DE COLMENAS."/>
    <s v=""/>
    <x v="2"/>
    <x v="6"/>
    <x v="40"/>
    <s v="MKLC"/>
    <x v="1145"/>
    <s v="S"/>
    <s v="N"/>
    <s v="N"/>
    <s v="N"/>
  </r>
  <r>
    <x v="6"/>
    <s v="010566"/>
    <s v="SOLICITUD DE AUTORIZACION PROGRAMA RETIRADA DE SUBPRODUCTOS BAJO CONTROL"/>
    <s v="6 MESES"/>
    <x v="0"/>
    <x v="6"/>
    <x v="41"/>
    <s v="SKW1"/>
    <x v="1146"/>
    <s v="N"/>
    <s v="N"/>
    <s v="S"/>
    <s v="N"/>
  </r>
  <r>
    <x v="6"/>
    <s v="010579"/>
    <s v="NOTIFICACION DE CASOS DE ABORTOS EN GANADO BOVINO, OVINO Y CAPRINO POR PARTE DEL VETERINARIO DE EXPLOTACION"/>
    <s v=""/>
    <x v="2"/>
    <x v="6"/>
    <x v="40"/>
    <s v="NKZB"/>
    <x v="1147"/>
    <s v="S"/>
    <s v="N"/>
    <s v="S"/>
    <s v="N"/>
  </r>
  <r>
    <x v="6"/>
    <s v="010590"/>
    <s v="CONCESION DE LA EXENCION  DE MARCADO HUEVOS"/>
    <s v="3 MESES"/>
    <x v="0"/>
    <x v="6"/>
    <x v="41"/>
    <s v="SL20"/>
    <x v="1148"/>
    <s v="S"/>
    <s v="N"/>
    <s v="S"/>
    <s v="N"/>
  </r>
  <r>
    <x v="6"/>
    <s v="010607"/>
    <s v="COMUNICACION DE RECINTOS EN LOS QUE SE SOLICITA LA AYUDA A LA AGRICULTURA ECOLOGICA TRATADOS CON PRODUCTOS FITOSANITARIOS."/>
    <s v=""/>
    <x v="2"/>
    <x v="6"/>
    <x v="43"/>
    <s v="ML75"/>
    <x v="1149"/>
    <s v="S"/>
    <s v="N"/>
    <s v="S"/>
    <s v="N"/>
  </r>
  <r>
    <x v="6"/>
    <s v="010608"/>
    <s v="AUTORIZACION EXCEPCIONAL USO PRODUCTOS FITOSANITARIOS"/>
    <s v=""/>
    <x v="2"/>
    <x v="6"/>
    <x v="40"/>
    <s v="SL7D"/>
    <x v="1150"/>
    <s v="N"/>
    <s v="N"/>
    <s v="S"/>
    <s v="N"/>
  </r>
  <r>
    <x v="6"/>
    <s v="010621"/>
    <s v="COMUNICACION DESINFECCION DE SUELOS CON PRODUCTOS FITOSANITARIOS FORMULADOS A BASE DE 1,3 DICLOROPROPENO"/>
    <s v="."/>
    <x v="2"/>
    <x v="6"/>
    <x v="40"/>
    <s v="MLC9"/>
    <x v="1151"/>
    <s v="S"/>
    <s v="N"/>
    <s v="S"/>
    <s v="N"/>
  </r>
  <r>
    <x v="6"/>
    <s v="010630"/>
    <s v="COMUNICACION DE TRATAMIENTO CON FOSFURO DE ALUMINIO"/>
    <s v=""/>
    <x v="2"/>
    <x v="6"/>
    <x v="40"/>
    <s v="MLE9"/>
    <x v="1152"/>
    <s v="N"/>
    <s v="N"/>
    <s v="S"/>
    <s v="N"/>
  </r>
  <r>
    <x v="6"/>
    <s v="010635"/>
    <s v="DESAFECTACION DE PARCELAS DE USO RUSTICO DECLARADAS DE INTERES GENERAL O REGIONAL"/>
    <s v="6 MESES"/>
    <x v="1"/>
    <x v="6"/>
    <x v="39"/>
    <s v="SLEY"/>
    <x v="1153"/>
    <s v="S"/>
    <s v="N"/>
    <s v="S"/>
    <s v="N"/>
  </r>
  <r>
    <x v="6"/>
    <s v="010636"/>
    <s v="AUTORIZACIONES EXPRESAS DEL REGLAMENTO (CE) Nº 834/2007"/>
    <s v="3 MESES"/>
    <x v="0"/>
    <x v="6"/>
    <x v="41"/>
    <s v="SLEZ"/>
    <x v="1154"/>
    <s v="N"/>
    <s v="N"/>
    <s v="S"/>
    <s v="N"/>
  </r>
  <r>
    <x v="6"/>
    <s v="010637"/>
    <s v="DESIGNACION DE LABORATORIO PARA CONTROL OFICIAL PROGRAMAS PRODUCCION ECOLOGICA Y CALIDAD DIFERENCIADA"/>
    <s v="3 MESES"/>
    <x v="0"/>
    <x v="6"/>
    <x v="41"/>
    <s v="SLFB"/>
    <x v="1155"/>
    <s v="N"/>
    <s v="N"/>
    <s v="S"/>
    <s v="N"/>
  </r>
  <r>
    <x v="6"/>
    <s v="010638"/>
    <s v="ALTA COMO REPRESENTANTE EN UVITI."/>
    <s v="3 MESES."/>
    <x v="0"/>
    <x v="6"/>
    <x v="40"/>
    <s v="SLFJ"/>
    <x v="1156"/>
    <s v="N"/>
    <s v="N"/>
    <s v="S"/>
    <s v="N"/>
  </r>
  <r>
    <x v="6"/>
    <s v="010640"/>
    <s v="SOLICITUD DE RECONOCIMIENTO E INSCRIPCION, MODIFICACION Y BAJA EN EL REGISTRO DE EXPLOTACION CON VENTA DIRECTA DE PRODUCTOS LIGADOS A LA ACTIVIDAD AGRICOLA Y GANADERA (PRODUCTOS TRANSFORMADOS SIN RGSEAA)"/>
    <s v="6 MESES"/>
    <x v="0"/>
    <x v="6"/>
    <x v="41"/>
    <s v="SLG7"/>
    <x v="1157"/>
    <s v="S"/>
    <s v="N"/>
    <s v="S"/>
    <s v="N"/>
  </r>
  <r>
    <x v="6"/>
    <s v="010642"/>
    <s v="SOLICITUD DE AUTORIZACION PARA RECIBIR FRUTAS Y HORTALIZAS PROCEDENTES DE RETIRADAS DEL MERCADO CON DESTINO A LA ALIMENTACION ANIMAL"/>
    <s v="10 DIAS"/>
    <x v="1"/>
    <x v="6"/>
    <x v="44"/>
    <s v="SLHT"/>
    <x v="1158"/>
    <s v="S"/>
    <s v="N"/>
    <s v="S"/>
    <s v="N"/>
  </r>
  <r>
    <x v="6"/>
    <s v="010645"/>
    <s v="AUTORIZACION CONCENTRACION PARCELARIA CASTILLA-LA MANCHA"/>
    <s v="6 MESES."/>
    <x v="1"/>
    <x v="6"/>
    <x v="39"/>
    <s v="SLK4"/>
    <x v="1159"/>
    <s v="S"/>
    <s v="N"/>
    <s v="S"/>
    <s v="N"/>
  </r>
  <r>
    <x v="6"/>
    <s v="010648"/>
    <s v="COMUNICACION DE EDICIONES DE CURSOS DE BIENESTAR ANIMAL, BIOSEGURIDAD, HIGIENE Y SANIDAD ANIMAL Y SUS MODIFICACIONES."/>
    <s v="CADA UNA DE LAS EDICIONES DE LOS CURSOS QUE SE VAYAN A IMPARTIR DEBERÁN COMUNICARSE CON UN PLAZO DE ANTELACIÓN DE AL MENOS 20 DÍAS."/>
    <x v="0"/>
    <x v="6"/>
    <x v="40"/>
    <s v="MKFH"/>
    <x v="1160"/>
    <s v="N"/>
    <s v="N"/>
    <s v="S"/>
    <s v="N"/>
  </r>
  <r>
    <x v="6"/>
    <s v="010649"/>
    <s v="EXPEDICION DEL CERTIFICADO DE COMPETENCIA, RENOVACION O DUPLICADO  EN MATERIA DE BIENESTAR ANIMAL, BIOSEGURIDAD, HIGIENE Y SANIDAD ANIMAL"/>
    <s v=""/>
    <x v="2"/>
    <x v="6"/>
    <x v="40"/>
    <s v="SKFG"/>
    <x v="1161"/>
    <s v="S"/>
    <s v="N"/>
    <s v="S"/>
    <s v="N"/>
  </r>
  <r>
    <x v="6"/>
    <s v="010650"/>
    <s v="SOLICITUD DE ACOGIMIENTO A LA EXCEPCION DEL ARTICULO 4.4.A DEL REAL DECRETO 306/2020, DE 11 DE FEBRERO, RELATIVA A LA CERTIFICACION DE COMPETENCIA EN GANADO PORCINO."/>
    <s v=""/>
    <x v="2"/>
    <x v="6"/>
    <x v="40"/>
    <s v="SLL9"/>
    <x v="1162"/>
    <s v="S"/>
    <s v="N"/>
    <s v="S"/>
    <s v="N"/>
  </r>
  <r>
    <x v="6"/>
    <s v="010655"/>
    <s v="CATEGORIZACION DE ESPACIOS EN LOS QUE ESTEN PRESENTES ESPECIES CINEGETICAS QUE ACTUAN COMO RESERVORIO DE LA TUBERCULOSIS (JABALI Y OTROS SUIDOS SILVESTRES Y SUS HIBRIDACIONES, CIERVO Y GAMO)"/>
    <s v="6 MESES"/>
    <x v="0"/>
    <x v="6"/>
    <x v="40"/>
    <s v="SLLZ"/>
    <x v="1163"/>
    <s v="S"/>
    <s v="N"/>
    <s v="S"/>
    <s v="N"/>
  </r>
  <r>
    <x v="6"/>
    <s v="010657"/>
    <s v="INFORMACION RELATIVA A LA TRAZABILIDAD DE MATERIAS PRIMAS Y PRODUCTOS TERMINADOS A DESTILERIAS."/>
    <s v=""/>
    <x v="2"/>
    <x v="6"/>
    <x v="41"/>
    <s v="MLN9"/>
    <x v="1164"/>
    <s v="N"/>
    <s v="N"/>
    <s v="S"/>
    <s v="N"/>
  </r>
  <r>
    <x v="6"/>
    <s v="010658"/>
    <s v="AUTORIZACION DEL USO DE LA MARCA DE GARANTIA &quot;CAMPO Y ALMA&quot;."/>
    <s v="3 MESES."/>
    <x v="1"/>
    <x v="6"/>
    <x v="41"/>
    <s v="SLO4"/>
    <x v="1165"/>
    <s v="N"/>
    <s v="N"/>
    <s v="S"/>
    <s v="N"/>
  </r>
  <r>
    <x v="6"/>
    <s v="010673"/>
    <s v="DECLARACION OPERADORES PRODUCCION ECOLOGICA"/>
    <s v=""/>
    <x v="2"/>
    <x v="6"/>
    <x v="41"/>
    <s v="MLVM"/>
    <x v="1166"/>
    <s v="S"/>
    <s v="N"/>
    <s v="S"/>
    <s v="N"/>
  </r>
  <r>
    <x v="6"/>
    <s v="010678"/>
    <s v="SOLICITUD DE AUTORIZACION PARA LA QUEMA DE RESIDUOS AGRICOLAS POR MOTIVOS FITOSANITARIOS"/>
    <s v="10 DÍAS"/>
    <x v="0"/>
    <x v="6"/>
    <x v="40"/>
    <s v="SLYI"/>
    <x v="1167"/>
    <s v="N"/>
    <s v="N"/>
    <s v="S"/>
    <s v="N"/>
  </r>
  <r>
    <x v="6"/>
    <s v="015126"/>
    <s v="DECLARACION DEL CENSO DE ANIMALES DE NUCLEOS ZOOLOGICOS"/>
    <s v=""/>
    <x v="2"/>
    <x v="6"/>
    <x v="40"/>
    <s v="DL2K"/>
    <x v="1168"/>
    <s v="S"/>
    <s v="N"/>
    <s v="S"/>
    <s v="N"/>
  </r>
  <r>
    <x v="6"/>
    <s v="015127"/>
    <s v="DECLARACION DEL CENSO DE ANIMALES DE LA EXPLOTACION GANADERA"/>
    <s v=""/>
    <x v="2"/>
    <x v="6"/>
    <x v="40"/>
    <s v="SJOF"/>
    <x v="1169"/>
    <s v="S"/>
    <s v="N"/>
    <s v="S"/>
    <s v="N"/>
  </r>
  <r>
    <x v="6"/>
    <s v="015576"/>
    <s v="OBTENCION ELEMENTOS DE IDENTIFICACION ANIMAL"/>
    <s v=""/>
    <x v="2"/>
    <x v="6"/>
    <x v="40"/>
    <s v="SK70"/>
    <x v="1170"/>
    <s v="S"/>
    <s v="N"/>
    <s v="S"/>
    <s v="N"/>
  </r>
  <r>
    <x v="6"/>
    <s v="015577"/>
    <s v="OBTENCION DUPLICADOS DE ELEMENTOS DE IDENTIFICACION ANIMAL"/>
    <s v=""/>
    <x v="2"/>
    <x v="6"/>
    <x v="40"/>
    <s v="SK71"/>
    <x v="1171"/>
    <s v="S"/>
    <s v="N"/>
    <s v="S"/>
    <s v="N"/>
  </r>
  <r>
    <x v="6"/>
    <s v="015632"/>
    <s v="COMUNICACION DE INICIO DE ACTIVIDAD DE ITEAF AUTORIZADA FUERA DE CASTILLA  LA MANCHA"/>
    <s v=""/>
    <x v="2"/>
    <x v="6"/>
    <x v="40"/>
    <s v="MKEZ"/>
    <x v="1172"/>
    <s v="N"/>
    <s v="N"/>
    <s v="S"/>
    <s v="N"/>
  </r>
  <r>
    <x v="6"/>
    <s v="015633"/>
    <s v="COMUNICACION DE CAMBIOS EN LAS CONDICIONES Y/O REQUISITOS DE LA AUTORIZACION DE ITEAF"/>
    <s v=""/>
    <x v="2"/>
    <x v="6"/>
    <x v="40"/>
    <s v="MKF0"/>
    <x v="1173"/>
    <s v="N"/>
    <s v="N"/>
    <s v="S"/>
    <s v="N"/>
  </r>
  <r>
    <x v="6"/>
    <s v="015634"/>
    <s v="COMUNICACION DEL CALENDARIO DE INSPECCIONES A REALIZAR POR LA ITEAF."/>
    <s v=""/>
    <x v="2"/>
    <x v="6"/>
    <x v="40"/>
    <s v="MKF1"/>
    <x v="1174"/>
    <s v="N"/>
    <s v="N"/>
    <s v="S"/>
    <s v="N"/>
  </r>
  <r>
    <x v="6"/>
    <s v="015666"/>
    <s v="AUTORIZACION PARA LA CONVERSION DE DERECHOS DE PLANTACION EN AUTORIZACION DE PLANTACION DE VIÑEDO"/>
    <s v="3 MESES"/>
    <x v="0"/>
    <x v="6"/>
    <x v="40"/>
    <s v="SKIS"/>
    <x v="1175"/>
    <s v="S"/>
    <s v="N"/>
    <s v="S"/>
    <s v="N"/>
  </r>
  <r>
    <x v="6"/>
    <s v="015667"/>
    <s v="AUTORIZACION DE REPLANTACION DE PARCELAS DE VIÑEDO"/>
    <s v="3 MESES"/>
    <x v="0"/>
    <x v="6"/>
    <x v="40"/>
    <s v="SKJZ"/>
    <x v="1176"/>
    <s v="S"/>
    <s v="N"/>
    <s v="S"/>
    <s v="N"/>
  </r>
  <r>
    <x v="6"/>
    <s v="015668"/>
    <s v="TRANSFERENCIA DE AUTORIZACIONES DE PLANTACION Y/O DERECHOS DE PLANTACION"/>
    <s v="3 MESES"/>
    <x v="0"/>
    <x v="6"/>
    <x v="40"/>
    <s v="SKK1"/>
    <x v="1177"/>
    <s v="S"/>
    <s v="N"/>
    <s v="S"/>
    <s v="N"/>
  </r>
  <r>
    <x v="6"/>
    <s v="015669"/>
    <s v="MODIFICACION DE LA LOCALIZACION DE LA AUTORIZACION DE PLANTACION DE PARCELAS DE VIÑEDO"/>
    <s v="3 MESES"/>
    <x v="0"/>
    <x v="6"/>
    <x v="40"/>
    <s v="SKKA"/>
    <x v="1178"/>
    <s v="S"/>
    <s v="N"/>
    <s v="S"/>
    <s v="N"/>
  </r>
  <r>
    <x v="6"/>
    <s v="015670"/>
    <s v="REPOSICION DE MARRAS EN PARCELAS DE VIÑEDO"/>
    <s v="3 MESES"/>
    <x v="0"/>
    <x v="6"/>
    <x v="40"/>
    <s v="SKKB"/>
    <x v="1179"/>
    <s v="S"/>
    <s v="N"/>
    <s v="S"/>
    <s v="N"/>
  </r>
  <r>
    <x v="6"/>
    <s v="015671"/>
    <s v="AUTORIZACION PARA REPLANTACION ANTICIPADA DE PARCELAS DE VIÑEDO"/>
    <s v="3 MESES"/>
    <x v="0"/>
    <x v="6"/>
    <x v="40"/>
    <s v="SL2D"/>
    <x v="1180"/>
    <s v="S"/>
    <s v="N"/>
    <s v="S"/>
    <s v="N"/>
  </r>
  <r>
    <x v="6"/>
    <s v="015672"/>
    <s v="COMUNICACION DE PLANTACION DE VIÑEDO"/>
    <s v="6 MESES"/>
    <x v="0"/>
    <x v="6"/>
    <x v="40"/>
    <s v="MKJV"/>
    <x v="1181"/>
    <s v="S"/>
    <s v="N"/>
    <s v="S"/>
    <s v="N"/>
  </r>
  <r>
    <x v="6"/>
    <s v="015673"/>
    <s v="COMUNICACION DE PLANTACIONES PARA AUTOCONSUMO"/>
    <s v="6 MESES"/>
    <x v="0"/>
    <x v="6"/>
    <x v="40"/>
    <s v="MKJW"/>
    <x v="1182"/>
    <s v="S"/>
    <s v="N"/>
    <s v="S"/>
    <s v="N"/>
  </r>
  <r>
    <x v="6"/>
    <s v="015674"/>
    <s v="COMUNICACION DE PLANTACIONES EXPERIMENTALES"/>
    <s v="6 MESES"/>
    <x v="0"/>
    <x v="6"/>
    <x v="40"/>
    <s v="MKJU"/>
    <x v="1183"/>
    <s v="S"/>
    <s v="N"/>
    <s v="S"/>
    <s v="N"/>
  </r>
  <r>
    <x v="6"/>
    <s v="015681"/>
    <s v="COMUNICACION DE ARRANQUE DE VIÑEDO"/>
    <s v="6 MESES"/>
    <x v="0"/>
    <x v="6"/>
    <x v="40"/>
    <s v="MKIT"/>
    <x v="1184"/>
    <s v="S"/>
    <s v="N"/>
    <s v="S"/>
    <s v="N"/>
  </r>
  <r>
    <x v="6"/>
    <s v="015682"/>
    <s v="AUTORIZACION DE ARRANQUE DE VIÑEDO"/>
    <s v="6 MESES"/>
    <x v="0"/>
    <x v="6"/>
    <x v="40"/>
    <s v="SKJY"/>
    <x v="1185"/>
    <s v="S"/>
    <s v="N"/>
    <s v="S"/>
    <s v="N"/>
  </r>
  <r>
    <x v="6"/>
    <s v="015835"/>
    <s v="COMUNICACION DE VARIACIONES EN LA DESTILERIA AUTORIZADA PARA SOLICITAR AYUDAS A LA DESTILACION DE SUBPRODUCTOS DE LA VINIFICACION"/>
    <s v="6 MESES"/>
    <x v="0"/>
    <x v="6"/>
    <x v="41"/>
    <s v="MKW3"/>
    <x v="1186"/>
    <s v="N"/>
    <s v="N"/>
    <s v="S"/>
    <s v="N"/>
  </r>
  <r>
    <x v="6"/>
    <s v="015836"/>
    <s v="COMUNICACION DE LA CONTINUACION O SUSPENSION  DE LA ACTIVIDAD PARA SOLICITAR LAS AYUDAS A LA DESTILACION"/>
    <s v="6 MESES"/>
    <x v="0"/>
    <x v="6"/>
    <x v="41"/>
    <s v="MKW2"/>
    <x v="1187"/>
    <s v="N"/>
    <s v="N"/>
    <s v="S"/>
    <s v="N"/>
  </r>
  <r>
    <x v="6"/>
    <s v="015837"/>
    <s v="SOLICITUD DE AUTORIZACION DE LOS DESTILADORES PARA SOLICITAR AYUDAS A LA DESTILACION DE SUBPRODUCTOS DE LA VINIFICACION"/>
    <s v="6 MESES"/>
    <x v="0"/>
    <x v="6"/>
    <x v="41"/>
    <s v="SJ34"/>
    <x v="1188"/>
    <s v="N"/>
    <s v="N"/>
    <s v="S"/>
    <s v="N"/>
  </r>
  <r>
    <x v="6"/>
    <s v="015838"/>
    <s v="PRESENTACION CERTIFICADOS DE ENTREGAS DE SUBPRODUCTOS"/>
    <s v=""/>
    <x v="2"/>
    <x v="6"/>
    <x v="41"/>
    <s v="SKW4"/>
    <x v="1189"/>
    <s v="N"/>
    <s v="N"/>
    <s v="S"/>
    <s v="N"/>
  </r>
  <r>
    <x v="6"/>
    <s v="015839"/>
    <s v="PRESENTACION DE DOCUMENTACION DE MATERIAS PRIMAS DESTILADAS Y ALCOHOL OBTENIDO"/>
    <s v=""/>
    <x v="2"/>
    <x v="6"/>
    <x v="41"/>
    <s v="SKW5"/>
    <x v="1190"/>
    <s v="N"/>
    <s v="N"/>
    <s v="S"/>
    <s v="N"/>
  </r>
  <r>
    <x v="6"/>
    <s v="015972"/>
    <s v="SOLICITUD DE CESE COMO LABORATORIO AUTORIZADO PARA REALIZAR CONTROLES ANALITICOS DE SALMONELLA EN EL MARCO DE LOS PROGRAMAS DE AUTOCONTROL"/>
    <s v="3 MESES"/>
    <x v="0"/>
    <x v="6"/>
    <x v="40"/>
    <s v="SL85"/>
    <x v="1191"/>
    <s v="N"/>
    <s v="N"/>
    <s v="S"/>
    <s v="N"/>
  </r>
  <r>
    <x v="6"/>
    <s v="015973"/>
    <s v="SOLICITUD DE MODIFICACION DE DATOS EN LOS LABORATORIOS AUTORIZADOS PARA REALIZAR CONTROLES ANALITICOS DE SALMONELLA EN EL MARCO DE LOS PROGRAMAS DE AUTOCONTROL"/>
    <s v="3 MESES"/>
    <x v="0"/>
    <x v="6"/>
    <x v="40"/>
    <s v="SL84"/>
    <x v="1192"/>
    <s v="N"/>
    <s v="N"/>
    <s v="S"/>
    <s v="N"/>
  </r>
  <r>
    <x v="6"/>
    <s v="015974"/>
    <s v="SOLICITUD DE REGISTRO DE LABORATORIOS PARA REALIZAR CONTROLES ANALITICOS DE SALMONELLA EN EL MARCO DE LOS PROGRAMAS DE AUTOCONTROL"/>
    <s v="3 MESES"/>
    <x v="0"/>
    <x v="6"/>
    <x v="40"/>
    <s v="SL83"/>
    <x v="1193"/>
    <s v="N"/>
    <s v="N"/>
    <s v="S"/>
    <s v="N"/>
  </r>
  <r>
    <x v="6"/>
    <s v="016095"/>
    <s v="COMUNICACION PREVIA A LA GESTION DE RESTOS CINEGETICOS."/>
    <s v=""/>
    <x v="2"/>
    <x v="6"/>
    <x v="40"/>
    <s v="MLLU"/>
    <x v="1194"/>
    <s v="S"/>
    <s v="N"/>
    <s v="S"/>
    <s v="N"/>
  </r>
  <r>
    <x v="6"/>
    <s v="016096"/>
    <s v="COMUNICACION PREVIA AL FUNCIONAMIENTO DE UN PUNTO DE DEPOSITO DE RESTOS CINEGETICOS."/>
    <s v=""/>
    <x v="2"/>
    <x v="6"/>
    <x v="40"/>
    <s v="MLLV"/>
    <x v="1195"/>
    <s v="S"/>
    <s v="N"/>
    <s v="S"/>
    <s v="N"/>
  </r>
  <r>
    <x v="6"/>
    <s v="020121"/>
    <s v="RECONOCIMIENTO Y REGISTRO DE ORGANIZACIONES INTERPROFESIONALES AGROALIMENTARIAS"/>
    <s v="6 MESES"/>
    <x v="1"/>
    <x v="6"/>
    <x v="41"/>
    <s v="SJHO"/>
    <x v="1196"/>
    <s v="N"/>
    <s v="N"/>
    <s v="S"/>
    <s v="N"/>
  </r>
  <r>
    <x v="6"/>
    <s v="020122"/>
    <s v="RECONOCIMIENTO Y REGISTRO DE AGRUPACIONES DE PRODUCTORES DEL SECTOR VITIVINICOLA"/>
    <s v="3 MESES"/>
    <x v="1"/>
    <x v="6"/>
    <x v="41"/>
    <s v="SJHR"/>
    <x v="1197"/>
    <s v="N"/>
    <s v="N"/>
    <s v="S"/>
    <s v="N"/>
  </r>
  <r>
    <x v="6"/>
    <s v="020125"/>
    <s v="TRAMITES ADMINISTRATIVOS DEL REGISTRO DE SOCIEDADES AGRARIAS DE TRANSFORMACION (S.A.T)"/>
    <s v="6 MESES"/>
    <x v="0"/>
    <x v="6"/>
    <x v="41"/>
    <s v="S720"/>
    <x v="1198"/>
    <s v="N"/>
    <s v="N"/>
    <s v="S"/>
    <s v="N"/>
  </r>
  <r>
    <x v="6"/>
    <s v="020126"/>
    <s v="REGISTRO DE ENTIDADES DE CONTROL DE PRODUCTOS AGROALIMENTARIOS DE CASTILLA-LA MANCHA"/>
    <s v="6 MESES"/>
    <x v="0"/>
    <x v="6"/>
    <x v="41"/>
    <s v="SJ6Q"/>
    <x v="1199"/>
    <s v="N"/>
    <s v="N"/>
    <s v="S"/>
    <s v="N"/>
  </r>
  <r>
    <x v="6"/>
    <s v="020127"/>
    <s v="REGISTRO DE INDUSTRIAS AGROALIMENTARIAS"/>
    <s v="1 MES"/>
    <x v="0"/>
    <x v="6"/>
    <x v="41"/>
    <s v="S707"/>
    <x v="1200"/>
    <s v="S"/>
    <s v="N"/>
    <s v="S"/>
    <s v="S"/>
  </r>
  <r>
    <x v="6"/>
    <s v="020134"/>
    <s v="REGISTRO DE EMPRESAS Y ESTABLECIMIENTOS PARA ALIMENTACION (PIENSOS)"/>
    <s v="3 MESES"/>
    <x v="0"/>
    <x v="6"/>
    <x v="40"/>
    <s v="SJ6W"/>
    <x v="1201"/>
    <s v="S"/>
    <s v="N"/>
    <s v="S"/>
    <s v="S"/>
  </r>
  <r>
    <x v="6"/>
    <s v="020136"/>
    <s v="ALTA/MODIFICACION EN EL REGISTRO DE EXPLOTACIONES GANADERAS Y NUCLEOS ZOOLOGICOS"/>
    <s v="2 MESES"/>
    <x v="1"/>
    <x v="6"/>
    <x v="40"/>
    <s v="SJ6V"/>
    <x v="1202"/>
    <s v="S"/>
    <s v="N"/>
    <s v="S"/>
    <s v="N"/>
  </r>
  <r>
    <x v="6"/>
    <s v="020137"/>
    <s v="INSCRIPCION EN EL REGISTRO DE EMPRESAS DE TRANSPORTE DE ANIMALES VIVOS"/>
    <s v="3 MESES"/>
    <x v="0"/>
    <x v="6"/>
    <x v="40"/>
    <s v="S161"/>
    <x v="1203"/>
    <s v="S"/>
    <s v="N"/>
    <s v="S"/>
    <s v="S"/>
  </r>
  <r>
    <x v="6"/>
    <s v="020138"/>
    <s v="REGISTRO DE CENTROS DE LIMPIEZA Y DESINFECCION DE VEHICULOS DESTINADOS AL TRANSPORTE DE GANADO"/>
    <s v="3 MESES"/>
    <x v="0"/>
    <x v="6"/>
    <x v="40"/>
    <s v="SIO1"/>
    <x v="1204"/>
    <s v="S"/>
    <s v="N"/>
    <s v="S"/>
    <s v="N"/>
  </r>
  <r>
    <x v="6"/>
    <s v="020139"/>
    <s v="DISPOSICIONES DE APLICACION RELATIVAS A LOS REGISTROS QUE SE HAN DE LLEVAR EN EL SECTOR VITIVINICOLA"/>
    <s v="3 MESES"/>
    <x v="0"/>
    <x v="6"/>
    <x v="41"/>
    <s v="SJIT"/>
    <x v="1205"/>
    <s v="S"/>
    <s v="N"/>
    <s v="S"/>
    <s v="N"/>
  </r>
  <r>
    <x v="6"/>
    <s v="020140"/>
    <s v="REGISTRO OFICIAL DE MAQUINARIA AGRICOLA"/>
    <s v="3 MESES"/>
    <x v="1"/>
    <x v="6"/>
    <x v="40"/>
    <s v="SJO6"/>
    <x v="1206"/>
    <s v="S"/>
    <s v="N"/>
    <s v="S"/>
    <s v="N"/>
  </r>
  <r>
    <x v="6"/>
    <s v="020141"/>
    <s v="SOLICITUD DE INSCRIPCION EN EL REGISTRO OFICIAL DE PRODUCTORES Y OPERADORES DE MEDIOS DE DEFENSA FITOSANITARIOS"/>
    <s v="3 MESES"/>
    <x v="0"/>
    <x v="6"/>
    <x v="40"/>
    <s v="S717"/>
    <x v="1207"/>
    <s v="S"/>
    <s v="N"/>
    <s v="S"/>
    <s v="S"/>
  </r>
  <r>
    <x v="6"/>
    <s v="020198"/>
    <s v="REGISTRO DE TITULARIDAD COMPARTIDA DE EXPLOTACIONES AGRARIAS DE CASTILLA LA MANCHA"/>
    <s v="3 MESES"/>
    <x v="0"/>
    <x v="6"/>
    <x v="42"/>
    <s v="SJSJ"/>
    <x v="1208"/>
    <s v="S"/>
    <s v="N"/>
    <s v="S"/>
    <s v="N"/>
  </r>
  <r>
    <x v="6"/>
    <s v="020203"/>
    <s v="ACTUALIZACION DE DATOS DE REGISTRO VITICOLA"/>
    <s v="6 MESES"/>
    <x v="1"/>
    <x v="6"/>
    <x v="40"/>
    <s v="SJTR"/>
    <x v="1209"/>
    <s v="S"/>
    <s v="N"/>
    <s v="S"/>
    <s v="N"/>
  </r>
  <r>
    <x v="6"/>
    <s v="020204"/>
    <s v="SANDACH PARA ALIMENTACION DE NECROFAGAS EN MULADARES O COMEDEROS Y DE EXPLOTACIONES GANADERAS"/>
    <s v="6 MESES"/>
    <x v="1"/>
    <x v="6"/>
    <x v="40"/>
    <s v="SJUB"/>
    <x v="1210"/>
    <s v="S"/>
    <s v="N"/>
    <s v="S"/>
    <s v="N"/>
  </r>
  <r>
    <x v="6"/>
    <s v="020210"/>
    <s v="REGISTRO DE MERCADOS AMBULANTES (MERCADILLOS) DE AMBITO MUNICIPAL PARA LA VENTA DE ANIMALES"/>
    <s v="2 MESES"/>
    <x v="1"/>
    <x v="6"/>
    <x v="40"/>
    <s v="SJWY"/>
    <x v="1211"/>
    <s v="S"/>
    <s v="N"/>
    <s v="S"/>
    <s v="N"/>
  </r>
  <r>
    <x v="6"/>
    <s v="020233"/>
    <s v="ENTIDADES ASOCIATIVAS PRIORITARIAS DE INTERES REGIONAL - EAPIR"/>
    <s v="6 MESES"/>
    <x v="0"/>
    <x v="6"/>
    <x v="41"/>
    <s v="SKH9"/>
    <x v="1212"/>
    <s v="N"/>
    <s v="N"/>
    <s v="S"/>
    <s v="N"/>
  </r>
  <r>
    <x v="6"/>
    <s v="020234"/>
    <s v="REGISTRO DE PRIMEROS COMPRADORES DE LECHE DE VACA, OVEJA Y CABRA."/>
    <s v="3 MESES"/>
    <x v="0"/>
    <x v="6"/>
    <x v="41"/>
    <s v="SKI0"/>
    <x v="1213"/>
    <s v="S"/>
    <s v="N"/>
    <s v="S"/>
    <s v="N"/>
  </r>
  <r>
    <x v="6"/>
    <s v="020235"/>
    <s v="ALTA, BAJA O MODIFICACION DEL REGISTRO GENERAL DE OPERADORES E INSTALACIONES DEL SECTOR VITIVINICOLA (REOVI)"/>
    <s v="3 MESES"/>
    <x v="0"/>
    <x v="6"/>
    <x v="41"/>
    <s v="SKIW"/>
    <x v="1214"/>
    <s v="S"/>
    <s v="N"/>
    <s v="S"/>
    <s v="N"/>
  </r>
  <r>
    <x v="6"/>
    <s v="020237"/>
    <s v="INSCRIPCION, BAJA Y MODIFICACION  DE EXPLOTACIONES APICOLAS"/>
    <s v="2 MESES"/>
    <x v="1"/>
    <x v="6"/>
    <x v="40"/>
    <s v="SKLB"/>
    <x v="1215"/>
    <s v="S"/>
    <s v="N"/>
    <s v="S"/>
    <s v="N"/>
  </r>
  <r>
    <x v="6"/>
    <s v="020249"/>
    <s v="REGISTRO DE AGRUPACIONES DE PRODUCTORES DE PRODUCTOS AGROALIMENTARIOS"/>
    <s v="6 MESES"/>
    <x v="1"/>
    <x v="6"/>
    <x v="41"/>
    <s v="SKS1"/>
    <x v="1216"/>
    <s v="N"/>
    <s v="N"/>
    <s v="S"/>
    <s v="N"/>
  </r>
  <r>
    <x v="6"/>
    <s v="020253"/>
    <s v="CATALOGO DE EXPLOTACIONES PRIORITARIAS"/>
    <s v="3 MESES"/>
    <x v="0"/>
    <x v="6"/>
    <x v="39"/>
    <s v="SKZH"/>
    <x v="1217"/>
    <s v="S"/>
    <s v="N"/>
    <s v="S"/>
    <s v="N"/>
  </r>
  <r>
    <x v="6"/>
    <s v="020259"/>
    <s v="PROGRAMA SANITARIO VOLUNTARIO DE PREVENCION Y CONTROL DE LA RINOTRAQUEITIS INFECCIOSA BOVINA Y LA DIARREA VIRICA BOVINA EN LA COMUNIDAD AUTONOMA DE CASTILLA LA MANCHA"/>
    <s v="3 MESES."/>
    <x v="0"/>
    <x v="6"/>
    <x v="40"/>
    <s v="SL1O"/>
    <x v="1218"/>
    <s v="S"/>
    <s v="N"/>
    <s v="S"/>
    <s v="N"/>
  </r>
  <r>
    <x v="6"/>
    <s v="020260"/>
    <s v="REALIZACION DE PRUEBAS DE TUBERCULOSIS CAPRINA EN EXPLOTACIONES NO INCLUIDAS EN EL PROGRAMA NACIONAL DE ERRADICACION DE TUBERCULOSIS BOVINA"/>
    <s v="3 MESES."/>
    <x v="0"/>
    <x v="6"/>
    <x v="40"/>
    <s v="SL2A"/>
    <x v="1219"/>
    <s v="S"/>
    <s v="N"/>
    <s v="S"/>
    <s v="N"/>
  </r>
  <r>
    <x v="6"/>
    <s v="020266"/>
    <s v="INACTIVACION/REACTIVACION/BAJA EN EL REGISTRO DE EXPLOTACIONES GANADERAS Y NUCLEOS ZOOLOGICOS"/>
    <s v="2 MESES"/>
    <x v="0"/>
    <x v="6"/>
    <x v="40"/>
    <s v="SL4K"/>
    <x v="1220"/>
    <s v="S"/>
    <s v="N"/>
    <s v="S"/>
    <s v="N"/>
  </r>
  <r>
    <x v="6"/>
    <s v="020268"/>
    <s v="INSCRIPCION, MODIFICACION Y BAJA EN EL CENSO DE INSTALACIONES Y OPERADORES OLEICOLAS"/>
    <s v="3 MESES"/>
    <x v="0"/>
    <x v="6"/>
    <x v="41"/>
    <s v="SL6B"/>
    <x v="1221"/>
    <s v="S"/>
    <s v="N"/>
    <s v="S"/>
    <s v="N"/>
  </r>
  <r>
    <x v="6"/>
    <s v="020269"/>
    <s v="COMUNICACION DE MODIFICACIONES EN LAS AGRUPACIONES DE DEFENSA SANITARIA GANADERA."/>
    <s v="30 DÍAS CONTADOS DESDE EL REGISTRO DE LA SOLICITUD."/>
    <x v="0"/>
    <x v="6"/>
    <x v="40"/>
    <s v="ML6P"/>
    <x v="1222"/>
    <s v="N"/>
    <s v="N"/>
    <s v="S"/>
    <s v="N"/>
  </r>
  <r>
    <x v="6"/>
    <s v="020270"/>
    <s v="SOLICITUD DE PERDIDA DE LA CONDICION DE ADSG Y CANCELACION DE LA INSCRIPCION EN EL REGISTRO REGIONAL DE AGRUPACIONES DE DEFENSA SANITARIA GANADERA."/>
    <s v="3 MESES"/>
    <x v="0"/>
    <x v="6"/>
    <x v="40"/>
    <s v="SL6Q"/>
    <x v="1223"/>
    <s v="N"/>
    <s v="N"/>
    <s v="S"/>
    <s v="N"/>
  </r>
  <r>
    <x v="6"/>
    <s v="020273"/>
    <s v="REGISTRO OFICIAL DE OPERADORES PROFESIONALES DE VEGETALES EN CASTILLA-LA MANCHA"/>
    <s v="3 MESES"/>
    <x v="1"/>
    <x v="6"/>
    <x v="40"/>
    <s v="SLDV"/>
    <x v="1224"/>
    <s v="N"/>
    <s v="N"/>
    <s v="S"/>
    <s v="N"/>
  </r>
  <r>
    <x v="6"/>
    <s v="020282"/>
    <s v="RECONOCIMIENTO COMO ORGANIZACION DE PRODUCTORES DE FRUTAS Y HORTALIZAS"/>
    <s v="4 MESES"/>
    <x v="1"/>
    <x v="6"/>
    <x v="41"/>
    <s v="SLK6"/>
    <x v="1225"/>
    <s v="N"/>
    <s v="N"/>
    <s v="S"/>
    <s v="N"/>
  </r>
  <r>
    <x v="6"/>
    <s v="020283"/>
    <s v="RECONOCIMIENTO COMO LONJA DE REFERENCIA"/>
    <s v="6 MESES"/>
    <x v="0"/>
    <x v="6"/>
    <x v="41"/>
    <s v="SLL7"/>
    <x v="1226"/>
    <s v="N"/>
    <s v="N"/>
    <s v="S"/>
    <s v="N"/>
  </r>
  <r>
    <x v="6"/>
    <s v="022955"/>
    <s v="AUTORIZACION Y REGISTRO DE OPERADORES PRODUCTORES DE BROTES"/>
    <s v=""/>
    <x v="1"/>
    <x v="6"/>
    <x v="44"/>
    <s v="SLWB"/>
    <x v="1227"/>
    <s v="S"/>
    <s v="N"/>
    <s v="S"/>
    <s v="N"/>
  </r>
  <r>
    <x v="6"/>
    <s v="022956"/>
    <s v="INSCRIPCION/BAJA/DUPLICADO TANQUE DE LECHE"/>
    <s v="TRES MESES"/>
    <x v="0"/>
    <x v="6"/>
    <x v="44"/>
    <s v="SLWS"/>
    <x v="1228"/>
    <s v="S"/>
    <s v="N"/>
    <s v="S"/>
    <s v="N"/>
  </r>
  <r>
    <x v="6"/>
    <s v="022958"/>
    <s v="PRESENTACION DE EJERCICIOS ECONOMICOS ANUALES AL REGISTRO DE SOCIEDADES AGRARIAS DE TRANSFORMACION (S.A.T.)"/>
    <s v="6 MESES"/>
    <x v="0"/>
    <x v="6"/>
    <x v="44"/>
    <s v="SLYZ"/>
    <x v="1229"/>
    <s v="N"/>
    <s v="N"/>
    <s v="S"/>
    <s v="N"/>
  </r>
  <r>
    <x v="6"/>
    <s v="025141"/>
    <s v="SOLICITUD DE INSCRIPCION EN EL REGISTRO DE EMBOTELLADORES Y ENVASADORES DE VINO DE CASTILLA-LA MANCHA"/>
    <s v="3 MESES"/>
    <x v="1"/>
    <x v="6"/>
    <x v="41"/>
    <s v="S698"/>
    <x v="1230"/>
    <s v="S"/>
    <s v="N"/>
    <s v="S"/>
    <s v="S"/>
  </r>
  <r>
    <x v="6"/>
    <s v="025142"/>
    <s v="SOLICITUD DE MODIFICACION EN EL REGISTRO DE EMBOTELLADORES Y ENVASADORES DE VINO DE CASTILLA-LA MANCHA."/>
    <s v="3 MESES"/>
    <x v="1"/>
    <x v="6"/>
    <x v="41"/>
    <s v="SLJL"/>
    <x v="1231"/>
    <s v="S"/>
    <s v="N"/>
    <s v="S"/>
    <s v="N"/>
  </r>
  <r>
    <x v="6"/>
    <s v="025782"/>
    <s v="RECONOCIMIENTO E INSCRIPCION EN EL REGISTRO DE AGRUPACIONES DE PRODUCTORES DE PRODUCTOS AGROALIMENTARIOS (APPAA)"/>
    <s v="6 MESES"/>
    <x v="1"/>
    <x v="6"/>
    <x v="41"/>
    <s v="SKT9"/>
    <x v="1232"/>
    <s v="N"/>
    <s v="N"/>
    <s v="S"/>
    <s v="N"/>
  </r>
  <r>
    <x v="6"/>
    <s v="025783"/>
    <s v="MODIFICACION Y/O BAJA EN EL REGISTRO DE AGRUPACIONES DE PRODUCTORES DE PRODUCTOS AGROALIMENTARIOS (APPAA)"/>
    <s v="6 MESES"/>
    <x v="1"/>
    <x v="6"/>
    <x v="44"/>
    <s v="SLW1"/>
    <x v="1233"/>
    <s v="N"/>
    <s v="N"/>
    <s v="S"/>
    <s v="N"/>
  </r>
  <r>
    <x v="6"/>
    <s v="025784"/>
    <s v="COMUNICACION MANTENIMIENTO CONDICION DE AGRUPACION DE PRODUCTORES DE PRODUCTOS AGROALIMENTARIAS"/>
    <s v="6 MESES"/>
    <x v="1"/>
    <x v="6"/>
    <x v="44"/>
    <s v="MLW2"/>
    <x v="1234"/>
    <s v="N"/>
    <s v="N"/>
    <s v="S"/>
    <s v="N"/>
  </r>
  <r>
    <x v="6"/>
    <s v="025904"/>
    <s v="COMUNICACION DE ANIMALES PRESENTES EN LA EXPLOTACION."/>
    <s v="3 MESES"/>
    <x v="0"/>
    <x v="6"/>
    <x v="40"/>
    <s v="ML1I"/>
    <x v="1235"/>
    <s v="S"/>
    <s v="N"/>
    <s v="S"/>
    <s v="N"/>
  </r>
  <r>
    <x v="6"/>
    <s v="025905"/>
    <s v="SOLICITUD DE INCORPORACION AL PROGRAMA SANITARIO DE CONTROL DE AGALAXIA CONTAGIOSA."/>
    <s v="3 MESES"/>
    <x v="0"/>
    <x v="6"/>
    <x v="40"/>
    <s v="SL1H"/>
    <x v="1236"/>
    <s v="S"/>
    <s v="N"/>
    <s v="S"/>
    <s v="N"/>
  </r>
  <r>
    <x v="6"/>
    <s v="030320"/>
    <s v="AYUDA A LAS AGRUPACIONES DE DEFENSA SANITARIA GANADERAS."/>
    <s v="2 MESES."/>
    <x v="1"/>
    <x v="6"/>
    <x v="40"/>
    <s v="S787"/>
    <x v="1237"/>
    <s v="N"/>
    <s v="N"/>
    <s v="S"/>
    <s v="N"/>
  </r>
  <r>
    <x v="6"/>
    <s v="030342"/>
    <s v="AYUDAS A LAS ORGANIZACIONES PROFESIONALES AGRARIAS Y A LAS ENTIDADES ASOCIATIVAS SIN ANIMO DE LUCRO REPRESENTATIVAS DE LAS COOPERATIVAS AGRARIAS DE CASTILLA-LA MANCHA"/>
    <s v="1 MES"/>
    <x v="1"/>
    <x v="6"/>
    <x v="42"/>
    <s v="SITN"/>
    <x v="1238"/>
    <s v="N"/>
    <s v="N"/>
    <s v="S"/>
    <s v="N"/>
  </r>
  <r>
    <x v="6"/>
    <s v="030347"/>
    <s v="AYUDAS EN REGIMEN DE MINIMIS PARA PALIAR LOS DAÑOS PRODUCIDOS POR AVES NECROFAGAS AL GANADO DOMESTICO EN CASTILLA-LA MANCHA"/>
    <s v="3 MESES"/>
    <x v="1"/>
    <x v="6"/>
    <x v="43"/>
    <s v="SJ3G"/>
    <x v="1239"/>
    <s v="S"/>
    <s v="N"/>
    <s v="S"/>
    <s v="N"/>
  </r>
  <r>
    <x v="6"/>
    <s v="030369"/>
    <s v="CONCURSO OFICIAL GRAN SELECCION."/>
    <s v=""/>
    <x v="2"/>
    <x v="6"/>
    <x v="41"/>
    <s v="SIID"/>
    <x v="1240"/>
    <s v="N"/>
    <s v="N"/>
    <s v="S"/>
    <s v="N"/>
  </r>
  <r>
    <x v="6"/>
    <s v="030539"/>
    <s v="PRESENTACION JUSTIFICANTES DEL DESTINO DEL ALCOHOL"/>
    <s v="3 MESES"/>
    <x v="1"/>
    <x v="6"/>
    <x v="41"/>
    <s v="SK4D"/>
    <x v="1241"/>
    <s v="N"/>
    <s v="N"/>
    <s v="S"/>
    <s v="N"/>
  </r>
  <r>
    <x v="6"/>
    <s v="030544"/>
    <s v="CONCESION DE AYUDAS A LAS SOLICITUDES DE REESTRUCTURACION Y RECONVERSION DE VIÑEDO DE CASTILLA LA MANCHA"/>
    <s v="6 MESES"/>
    <x v="1"/>
    <x v="6"/>
    <x v="40"/>
    <s v="PK5S"/>
    <x v="1242"/>
    <s v="N"/>
    <s v="N"/>
    <s v="S"/>
    <s v="N"/>
  </r>
  <r>
    <x v="6"/>
    <s v="030597"/>
    <s v="AYUDAS  EN REGIMEN DE MINIMIS PARA PALIAR LOS DAÑOS RELACIONADOS CON ATAQUES DE LOBO IBERICO (CANIS LUPUS SIGNATUS) AL GANADO DOMESTICO EN CASTILLA-LA MANCHA"/>
    <s v="3 MESES"/>
    <x v="1"/>
    <x v="6"/>
    <x v="43"/>
    <s v="SKG0"/>
    <x v="1243"/>
    <s v="S"/>
    <s v="N"/>
    <s v="S"/>
    <s v="N"/>
  </r>
  <r>
    <x v="6"/>
    <s v="030624"/>
    <s v="SELECCION DE GRUPOS DE ACCION LOCAL Y ESTRATEGIAS DE DESARROLLO LOCAL PARTICIPATIVO, DE ACUERDO CON LA MEDIDA 19 ¿APOYO AL DESARROLLO LOCAL DE LEADER¿ DEL PDR 2014/2020"/>
    <s v="3 MESES"/>
    <x v="1"/>
    <x v="6"/>
    <x v="39"/>
    <s v="SKKM"/>
    <x v="1244"/>
    <s v="S"/>
    <s v="N"/>
    <s v="S"/>
    <s v="N"/>
  </r>
  <r>
    <x v="6"/>
    <s v="030724"/>
    <s v="MODIFICACION SOLICITUD AYUDA A LA MODERNIZACION Y TRANSFORMACION DE REGADIOS EN EL AMBITO TERRITORIAL DE CASTILLA - LA MANCHA, EN EL MARCO DEL PROGRAMA DE DESARROLLO RURAL DE CASTILLA - LA MANCHA 2014-2020."/>
    <s v="30 DIAS"/>
    <x v="1"/>
    <x v="6"/>
    <x v="39"/>
    <s v="SKVH"/>
    <x v="1245"/>
    <s v="N"/>
    <s v="N"/>
    <s v="S"/>
    <s v="N"/>
  </r>
  <r>
    <x v="6"/>
    <s v="030731"/>
    <s v="AYUDAS PARA EL SUMINISTRO Y DISTRIBUCION DE FRUTAS Y HORTALIZAS, Y LECHE Y PRODUCTOS LACTEOS EN LOS CENTROS ESCOLARES DE CASTILLA-LA MANCHA PARA EL CURSO ESCOLAR"/>
    <s v="3 MESES"/>
    <x v="1"/>
    <x v="6"/>
    <x v="41"/>
    <s v="SKWH"/>
    <x v="1246"/>
    <s v="N"/>
    <s v="N"/>
    <s v="S"/>
    <s v="N"/>
  </r>
  <r>
    <x v="6"/>
    <s v="030732"/>
    <s v="SOLICITUD DE PAGO DE LAS AYUDAS PARA EL SUMINISTRO Y DISTRIBUCION DE FRUTAS Y HORTALIZAS, Y LECHE Y PRODUCTOS LACTEOS EN LOS CENTROS ESCOLARES DE CASTILLA-LA MANCHA PARA EL CURSO ESCOLAR"/>
    <s v="1 MES"/>
    <x v="1"/>
    <x v="6"/>
    <x v="41"/>
    <s v="PKWI"/>
    <x v="1247"/>
    <s v="N"/>
    <s v="N"/>
    <s v="S"/>
    <s v="N"/>
  </r>
  <r>
    <x v="6"/>
    <s v="030739"/>
    <s v="AYUDAS PARA LA SUBMEDIDA 12.1 PARA DE PAGOS COMPENSATORIOS POR ZONAS AGRICOLAS DE LA RED NATURA 2000  EN EL MARCO DEL PROGRAMA DE DESARROLLO RURAL DE CASTILLA-LA MANCHA 2014-2020"/>
    <s v=""/>
    <x v="2"/>
    <x v="6"/>
    <x v="43"/>
    <s v="MKYD"/>
    <x v="1248"/>
    <s v="N"/>
    <s v="N"/>
    <s v="S"/>
    <s v="N"/>
  </r>
  <r>
    <x v="6"/>
    <s v="030743"/>
    <s v="AYUDAS EN ESPECIE CONSISTENTES EN LA EJECUCION DE ACTUACIONES DE MEJORA Y ACONDICIONAMIENTO DE CAMINOS RURALES"/>
    <s v="3 MESES"/>
    <x v="1"/>
    <x v="6"/>
    <x v="39"/>
    <s v="SKYV"/>
    <x v="1249"/>
    <s v="N"/>
    <s v="N"/>
    <s v="S"/>
    <s v="N"/>
  </r>
  <r>
    <x v="6"/>
    <s v="030744"/>
    <s v="AYUDAS PARA LA SUBMEDIDA 12.1 PARA DE PAGOS COMPENSATORIOS POR ZONAS AGRICOLAS DE LA RED NATURA 2000  EN EL MARCO DEL PROGRAMA DE DESARROLLO RURAL DE CASTILLA-LA MANCHA 2014-2020 CORRESPONDIENTES A LA 1ª AMPLIACION DE LA ZONA A DE LAS ZEPA DE AMBIENTES ES"/>
    <s v=""/>
    <x v="2"/>
    <x v="6"/>
    <x v="43"/>
    <s v="MKYW"/>
    <x v="1250"/>
    <s v="N"/>
    <s v="N"/>
    <s v="S"/>
    <s v="N"/>
  </r>
  <r>
    <x v="6"/>
    <s v="030756"/>
    <s v="SOLICITUD DE INDEMNIZACION POR SACRIFICIO OBLIGATORIO DE ANIMALES POSITIVOS A ENFERMEDADES OBJETO DE PROGRAMAS DE ERRADICACION"/>
    <s v=""/>
    <x v="2"/>
    <x v="6"/>
    <x v="40"/>
    <s v="SKZC"/>
    <x v="1251"/>
    <s v="S"/>
    <s v="N"/>
    <s v="S"/>
    <s v="N"/>
  </r>
  <r>
    <x v="6"/>
    <s v="030759"/>
    <s v="CONCURSO MEJOR EMPRESA ECOLOGICA"/>
    <s v=""/>
    <x v="2"/>
    <x v="6"/>
    <x v="41"/>
    <s v="SKZR"/>
    <x v="1252"/>
    <s v="S"/>
    <s v="N"/>
    <s v="S"/>
    <s v="N"/>
  </r>
  <r>
    <x v="6"/>
    <s v="030770"/>
    <s v="MODIFICACION DE LOS PROYECTOS PILOTO INNOVADORES EN  LA PRODUCCION PRIMARIA AGRICOLA Y GANADERA."/>
    <s v="2 MESES CONTADOS DESDE LA FECHA DE PRESENTACIÓN_x000d__x000a_DE LA COMUNICACIÓN DE MODIFICACIÓN."/>
    <x v="1"/>
    <x v="6"/>
    <x v="40"/>
    <s v="SL0Y"/>
    <x v="1253"/>
    <s v="N"/>
    <s v="N"/>
    <s v="S"/>
    <s v="N"/>
  </r>
  <r>
    <x v="6"/>
    <s v="030773"/>
    <s v="AYUDAS DESTINADAS A PROMOVER LA COOPERACION INNOVADORA MEDIANTE LA CONSTITUCION Y FUNCIONAMIENTO DE GRUPOS OPERATIVOS DE INNOVACION Y LA REALIZACION DE PROYECTOS PILOTO INNOVADORES EN EL SECTOR AGROALIMENTARIO EN EL MARCO DEL PROGRAMA DE DESARROLLO RURAL "/>
    <s v="6 MESES."/>
    <x v="1"/>
    <x v="6"/>
    <x v="41"/>
    <s v="SL14"/>
    <x v="1254"/>
    <s v="N"/>
    <s v="N"/>
    <s v="S"/>
    <s v="N"/>
  </r>
  <r>
    <x v="6"/>
    <s v="030812"/>
    <s v="MODIFICACION DE LAS AYUDAS PARA LA COOPERACION ENTRE LOS AGENTES DE LA CADENA DE SUMINISTRO PARA LA CREACION Y EL DESARROLLO DE CADENAS DE DISTRIBUCION CORTAS Y MERCADOS LOCALES EN EL MARCO DEL PROGRAMA DE DESARROLLO RURAL DE CASTILLA-LA MANCHA PARA EL PE"/>
    <s v="2 MESES"/>
    <x v="1"/>
    <x v="6"/>
    <x v="41"/>
    <s v="SL5Q"/>
    <x v="1255"/>
    <s v="S"/>
    <s v="N"/>
    <s v="S"/>
    <s v="N"/>
  </r>
  <r>
    <x v="6"/>
    <s v="030867"/>
    <s v="CONCESION DIRECTA DE UNA SUBVENCION A LA RED CASTELLANO MANCHEGA DE DESARROLLO RURAL"/>
    <s v=""/>
    <x v="2"/>
    <x v="6"/>
    <x v="39"/>
    <s v="PLD7"/>
    <x v="1256"/>
    <s v="N"/>
    <s v="N"/>
    <s v="S"/>
    <s v="N"/>
  </r>
  <r>
    <x v="6"/>
    <s v="030890"/>
    <s v="ASIGNACION EXTRAORDINARIA A LOS GRUPOS DE ACCION LOCAL POR COVID-19"/>
    <s v="6 M."/>
    <x v="1"/>
    <x v="6"/>
    <x v="39"/>
    <s v="SLF9"/>
    <x v="1257"/>
    <s v="N"/>
    <s v="N"/>
    <s v="S"/>
    <s v="N"/>
  </r>
  <r>
    <x v="6"/>
    <s v="030895"/>
    <s v="SUBVENCION CERDO IBERICO AÑO 2020"/>
    <s v="6 MESES"/>
    <x v="1"/>
    <x v="6"/>
    <x v="40"/>
    <s v="SLFK"/>
    <x v="1258"/>
    <s v="S"/>
    <s v="N"/>
    <s v="S"/>
    <s v="N"/>
  </r>
  <r>
    <x v="6"/>
    <s v="030913"/>
    <s v="SOLICITUD DE PAGO PARA EL ALMACENAMIENTO PRIVADO DE QUESO"/>
    <s v="120 DÍAS SIGUIENTES A LA FECHA DE PRESENTACIÓN DE LA SOLICITUD DE PAGO."/>
    <x v="1"/>
    <x v="6"/>
    <x v="41"/>
    <s v="PLGQ"/>
    <x v="1259"/>
    <s v="N"/>
    <s v="N"/>
    <s v="S"/>
    <s v="N"/>
  </r>
  <r>
    <x v="6"/>
    <s v="030916"/>
    <s v="AYUDAS AL SECTOR DE LA FLOR CORTADA Y PLANTA ORNAMENTAL"/>
    <s v="6 MESES"/>
    <x v="1"/>
    <x v="6"/>
    <x v="40"/>
    <s v="SLGV"/>
    <x v="1260"/>
    <s v="N"/>
    <s v="N"/>
    <s v="S"/>
    <s v="N"/>
  </r>
  <r>
    <x v="6"/>
    <s v="030976"/>
    <s v="PAGOS DE PROGRAMAS OPERATIVOS DE FRUTAS Y HORTALIZAS"/>
    <s v="PAGOS PARCIALES 3 MESES Y PARA EL PAGO DEL SALDO A MÁS TARDAR EL 15 DE OCTUBRE DELAÑO DE LA SOLICITUD"/>
    <x v="0"/>
    <x v="6"/>
    <x v="41"/>
    <s v="SKTP"/>
    <x v="1261"/>
    <s v="N"/>
    <s v="N"/>
    <s v="S"/>
    <s v="N"/>
  </r>
  <r>
    <x v="6"/>
    <s v="030980"/>
    <s v="CONCURSO MEJOR EMPRESA DE VENTA DIRECTA"/>
    <s v=""/>
    <x v="2"/>
    <x v="6"/>
    <x v="41"/>
    <s v="SLKR"/>
    <x v="1262"/>
    <s v="S"/>
    <s v="N"/>
    <s v="S"/>
    <s v="N"/>
  </r>
  <r>
    <x v="6"/>
    <s v="031016"/>
    <s v="AYUDAS PARA LA REPOBLACION EN EXPLOTACIONES DE GANADO BOVINO, OVINO Y CAPRINO EN CASO DE VACIADO SANITARIO EN APLICACION DE PROGRAMAS SANITARIOS OFICIALES DE ENFERMEDADES DE LOS RUMIANTES EN CASTILLA-LA MANCHA"/>
    <s v="6 MESES."/>
    <x v="1"/>
    <x v="6"/>
    <x v="40"/>
    <s v="SLO8"/>
    <x v="1263"/>
    <s v="S"/>
    <s v="N"/>
    <s v="S"/>
    <s v="N"/>
  </r>
  <r>
    <x v="6"/>
    <s v="031087"/>
    <s v="FORMACION OBLIGATORIA PARA EMISORES DEL PASAPORTE FITOSANITARIO"/>
    <s v=""/>
    <x v="2"/>
    <x v="6"/>
    <x v="40"/>
    <s v="SLS1"/>
    <x v="1264"/>
    <s v="N"/>
    <s v="N"/>
    <s v="S"/>
    <s v="N"/>
  </r>
  <r>
    <x v="6"/>
    <s v="031105"/>
    <s v="DECLARACION RESPONSABLE DEL CUMPLIMIENTO DE LOS REQUISITOS PARA LA CONCESION DE LA SUBVENCION A LOS TITULARES DE EXPLOTACIONES DE GANADO VACUNO DE LECHE CASTILLA-LA MANCHA"/>
    <s v=""/>
    <x v="2"/>
    <x v="6"/>
    <x v="40"/>
    <s v="DLTD"/>
    <x v="1265"/>
    <s v="S"/>
    <s v="N"/>
    <s v="S"/>
    <s v="N"/>
  </r>
  <r>
    <x v="6"/>
    <s v="031106"/>
    <s v="AYUDAS A LA INSTALACION DE PUNTOS DE DEPOSITO DE RESTOS CINEGETICOS EN CASTILLA-LA MANCHA"/>
    <s v="5 MESES CONTADOS DESDE LA FECHA DE FINALIZACIÓN DEL PLAZO DE PRESENTACIÓN DE SOLICITUDES."/>
    <x v="1"/>
    <x v="6"/>
    <x v="40"/>
    <s v="SLTG"/>
    <x v="1266"/>
    <s v="S"/>
    <s v="N"/>
    <s v="S"/>
    <s v="N"/>
  </r>
  <r>
    <x v="6"/>
    <s v="031118"/>
    <s v="CONCURSO MEJOR EMPRESA DE MANIPULACION Y ELABORACION DE CARNE DE CAZA"/>
    <s v=""/>
    <x v="2"/>
    <x v="6"/>
    <x v="41"/>
    <s v="SLU4"/>
    <x v="1267"/>
    <s v="S"/>
    <s v="N"/>
    <s v="S"/>
    <s v="N"/>
  </r>
  <r>
    <x v="6"/>
    <s v="031121"/>
    <s v="AYUDAS BIOSEGURIDAD VIVEROS"/>
    <s v="EL PLAZO MÁXIMO DE SEIS MESES, CONTADOS DESDE LA PUBLICACIÓN DEL EXTRACTO DE ESTA CONVOCATORIA EN EL DOCM"/>
    <x v="1"/>
    <x v="6"/>
    <x v="40"/>
    <s v="SLU8"/>
    <x v="1268"/>
    <s v="N"/>
    <s v="N"/>
    <s v="S"/>
    <s v="N"/>
  </r>
  <r>
    <x v="6"/>
    <s v="031130"/>
    <s v="SUBVENCION A LA COMUNIDAD DE REGANTES BALAZOTE-LA HERRERA (ALBACETE) PARA EJECUTAR UNA OBRA DE REGADIO EN CLM, INCLUIDO EN EL PLAN PARA LA MEJORA DE LA EFICIENCIA Y LA SOSTENIBILIDAD"/>
    <s v=""/>
    <x v="1"/>
    <x v="6"/>
    <x v="44"/>
    <s v="PLUN"/>
    <x v="1269"/>
    <s v="N"/>
    <s v="N"/>
    <s v="S"/>
    <s v="N"/>
  </r>
  <r>
    <x v="6"/>
    <s v="031131"/>
    <s v="SUBVENCION A LA CONFEDERACIONES HIDROGRAFICA DE PEÑARROYA PARA EJECUTAR UNA OBRA DE REGADIO EN CLM, INCLUIDO EN EL PLAN PARA LA MEJORA DE LA EFICIENCIA Y LA SOSTENIBILIDAD"/>
    <s v=""/>
    <x v="2"/>
    <x v="6"/>
    <x v="39"/>
    <s v="PLUO"/>
    <x v="1270"/>
    <s v="N"/>
    <s v="N"/>
    <s v="S"/>
    <s v="N"/>
  </r>
  <r>
    <x v="6"/>
    <s v="031183"/>
    <s v="ASISTENCIA A ACCIONES FORMATIVAS DE LA MEDIDA 1 DEL PDR 2014-2020 SUBMEDIDA 1.1"/>
    <s v=""/>
    <x v="2"/>
    <x v="6"/>
    <x v="44"/>
    <s v="SLXC"/>
    <x v="1271"/>
    <s v="S"/>
    <s v="N"/>
    <s v="S"/>
    <s v="N"/>
  </r>
  <r>
    <x v="6"/>
    <s v="031190"/>
    <s v="SOLICITUD DE AYUDAS ESTATALES DE MINIMIS DESTINADAS A LAS CENTRALES DE ACONDICIONAMIENTO DE FRUTAS AFECTADAS POR HELADAS ASOCIADAS A LA BORRASCA CIRIL"/>
    <s v="SOLICITUD DE AYUDAS ESTATALES DE MINIMIS DESTINADAS A LAS CENTRALES DE ACONDICIONAMIENTO DE FRUTAS AFECTADAS POR HELADAS ASOCIADAS A LA BORRASCA CIRIL"/>
    <x v="1"/>
    <x v="6"/>
    <x v="41"/>
    <s v="SLXL"/>
    <x v="1272"/>
    <s v="N"/>
    <s v="N"/>
    <s v="S"/>
    <s v="N"/>
  </r>
  <r>
    <x v="6"/>
    <s v="031191"/>
    <s v="COMUNICACION DE LAS CUENTAS ANUALES RELATIVAS A LAS AYUDAS ESTATALES DE MINIMIS DESTINADAS A LAS CENTRALES DE ACONDICIONAMIENTO DE FRUTAS AFECTADAS POR HELADAS ASOCIADAS A LA BORRASCA CIRIL"/>
    <s v="SEIS MESES"/>
    <x v="1"/>
    <x v="6"/>
    <x v="41"/>
    <s v="MLXM"/>
    <x v="1273"/>
    <s v="N"/>
    <s v="N"/>
    <s v="S"/>
    <s v="N"/>
  </r>
  <r>
    <x v="6"/>
    <s v="035237"/>
    <s v="SOLICITUD DE AYUDAS PARA LA REALIZACION DE CURSOS DE FORMACION, JORNADAS DE FORMACION Y BREVES ESTANCIAS O INTERCAMBIOS Y VISITAS"/>
    <s v="4 MESES"/>
    <x v="1"/>
    <x v="6"/>
    <x v="39"/>
    <s v="SKAH"/>
    <x v="1274"/>
    <s v="N"/>
    <s v="N"/>
    <s v="S"/>
    <s v="N"/>
  </r>
  <r>
    <x v="6"/>
    <s v="035238"/>
    <s v="SOLICITUD DE PAGO DE LAS AYUDAS PARA LA REALIZACION DE CURSOS DE FORMACION, JORNADAS DE FORMACION Y BREVES ESTANCIAS O INTERCAMBIOS Y VISITAS"/>
    <s v="4 MESES"/>
    <x v="1"/>
    <x v="6"/>
    <x v="39"/>
    <s v="PK96"/>
    <x v="1275"/>
    <s v="N"/>
    <s v="N"/>
    <s v="S"/>
    <s v="N"/>
  </r>
  <r>
    <x v="6"/>
    <s v="035239"/>
    <s v="COMUNICACION DE INICIO DE LAS EDICIONES DE LAS ACTIVIDADES FORMATIVAS"/>
    <s v="4 MESES"/>
    <x v="1"/>
    <x v="6"/>
    <x v="39"/>
    <s v="MK95"/>
    <x v="1276"/>
    <s v="N"/>
    <s v="N"/>
    <s v="S"/>
    <s v="N"/>
  </r>
  <r>
    <x v="6"/>
    <s v="035243"/>
    <s v="MODIFICACION DE LA RESOLUCION DE CONCESION DE AYUDA A INVERSIONES EN TRANSFORMACION, COMERCIALIZACION O DESARROLLO DE PRODUCTOS AGRICOLAS Y AL FOMENTO DE LA CALIDAD AGROALIMENTARIA"/>
    <s v="6 MESES"/>
    <x v="1"/>
    <x v="6"/>
    <x v="41"/>
    <s v="MKJB"/>
    <x v="1277"/>
    <s v="N"/>
    <s v="N"/>
    <s v="S"/>
    <s v="N"/>
  </r>
  <r>
    <x v="6"/>
    <s v="035244"/>
    <s v="SOLICITUD DE PAGO DE LAS AYUDAS A INVERSIONES EN TRANSFORMACION, COMERCIALIZACION O DESARROLLO DE PRODUCTOS AGRICOLAS Y AL FOMENTO DE LA CALIDAD AGROALIMENTARIA FOCAL 2018."/>
    <s v="6 MESES"/>
    <x v="1"/>
    <x v="6"/>
    <x v="41"/>
    <s v="PKJA"/>
    <x v="1278"/>
    <s v="N"/>
    <s v="N"/>
    <s v="S"/>
    <s v="N"/>
  </r>
  <r>
    <x v="6"/>
    <s v="035245"/>
    <s v="ACEPTACION DE LA RESOLUCION DE CONCESION DE AYUDA A INVERSIONES EN TRANSFORMACION, COMERCIALIZACION O DESARROLLO DE PRODUCTOS AGRICOLAS Y AL FOMENTO DE LA CALIDAD AGROALIMENTARIA (FOCAL 2017)"/>
    <s v="6 MESES"/>
    <x v="1"/>
    <x v="6"/>
    <x v="41"/>
    <s v="MKJ9"/>
    <x v="1279"/>
    <s v="N"/>
    <s v="N"/>
    <s v="S"/>
    <s v="N"/>
  </r>
  <r>
    <x v="6"/>
    <s v="035246"/>
    <s v="AYUDAS A INVERSIONES EN TRANSFORMACION, COMERCIALIZACION O DESARROLLO DE PRODUCTOS AGRICOLAS Y AL FOMENTO DE LA CALIDAD AGROALIMENTARIA (FOCAL)"/>
    <s v="6 MESES"/>
    <x v="1"/>
    <x v="6"/>
    <x v="41"/>
    <s v="SJ6O"/>
    <x v="1280"/>
    <s v="N"/>
    <s v="N"/>
    <s v="S"/>
    <s v="N"/>
  </r>
  <r>
    <x v="6"/>
    <s v="035261"/>
    <s v="SOLICITUD DE PAGO DE LA AYUDA A LA CREACION DE EMPRESAS AGRARIAS PARA JOVENES Y A LAS INVERSIONES EN EXPLOTACIONES AGRICOLAS Y GANADERAS"/>
    <s v="6 MESES."/>
    <x v="1"/>
    <x v="6"/>
    <x v="39"/>
    <s v="PL1V"/>
    <x v="1281"/>
    <s v="N"/>
    <s v="N"/>
    <s v="S"/>
    <s v="N"/>
  </r>
  <r>
    <x v="6"/>
    <s v="035262"/>
    <s v="SOLICITUD DE AYUDA A LA CREACION DE EMPRESAS AGRARIAS PARA JOVENES Y A LAS INVERSIONES EN EXPLOTACIONES AGRICOLAS Y GANADERAS."/>
    <s v="6 MESES."/>
    <x v="1"/>
    <x v="6"/>
    <x v="39"/>
    <s v="SJ5V"/>
    <x v="1282"/>
    <s v="S"/>
    <s v="N"/>
    <s v="S"/>
    <s v="N"/>
  </r>
  <r>
    <x v="6"/>
    <s v="035267"/>
    <s v="AYUDAS PARA MEJORAR LAS CONDICIONES DE PRODUCCION Y COMERCIALIZACION DE LA MIEL EN LA COMUNIDAD AUTONOMA DE CASTILLA-LA MANCHA"/>
    <s v="6 MESES"/>
    <x v="1"/>
    <x v="6"/>
    <x v="40"/>
    <s v="SKA5"/>
    <x v="1283"/>
    <s v="N"/>
    <s v="N"/>
    <s v="S"/>
    <s v="N"/>
  </r>
  <r>
    <x v="6"/>
    <s v="035268"/>
    <s v="DOCUMENTACION JUSTIFICATIVA DE LAS AYUDAS PARA MEJORAR LAS CONDICIONES DE PRODUCCION Y COMERCIALIZACION DE LA MIEL EN LA COMUNIDAD AUTONOMA DE CASTILLA-LA MANCHA"/>
    <s v="6 MESES"/>
    <x v="1"/>
    <x v="6"/>
    <x v="40"/>
    <s v="SK97"/>
    <x v="1284"/>
    <s v="N"/>
    <s v="N"/>
    <s v="S"/>
    <s v="N"/>
  </r>
  <r>
    <x v="6"/>
    <s v="035269"/>
    <s v="AYUDAS PARA LA PROMOCION DE PRODUCTOS VINICOLAS EN TERCEROS PAISES"/>
    <s v="6 MESES"/>
    <x v="1"/>
    <x v="6"/>
    <x v="41"/>
    <s v="SJ59"/>
    <x v="1285"/>
    <s v="N"/>
    <s v="N"/>
    <s v="S"/>
    <s v="N"/>
  </r>
  <r>
    <x v="6"/>
    <s v="035270"/>
    <s v="PEQUEÑA MODIFICACION DEL PROGRAMA DE PROMOCION DE PRODUCTOS VINICOLAS EN TERCEROS PAISES"/>
    <s v="6 MESES"/>
    <x v="1"/>
    <x v="6"/>
    <x v="41"/>
    <s v="MKX6"/>
    <x v="1286"/>
    <s v="N"/>
    <s v="N"/>
    <s v="S"/>
    <s v="N"/>
  </r>
  <r>
    <x v="6"/>
    <s v="035271"/>
    <s v="COMUNICACION DE MISION INVERSA DE LA AYUDA A LA PROMOCION DEL VINO EN MERCADOS DE TERCEROS PAISES"/>
    <s v="6 MESES"/>
    <x v="1"/>
    <x v="6"/>
    <x v="41"/>
    <s v="MK7L"/>
    <x v="1287"/>
    <s v="N"/>
    <s v="N"/>
    <s v="S"/>
    <s v="N"/>
  </r>
  <r>
    <x v="6"/>
    <s v="035272"/>
    <s v="ACEPTACION DE LA RESOLUCION  DE CONCESION DE LA AYUDA A LA PROMOCION DEL VINO EN MERCADOS DE TERCEROS PAISES"/>
    <s v="6 MESES"/>
    <x v="1"/>
    <x v="6"/>
    <x v="41"/>
    <s v="SK7J"/>
    <x v="1288"/>
    <s v="S"/>
    <s v="N"/>
    <s v="N"/>
    <s v="N"/>
  </r>
  <r>
    <x v="6"/>
    <s v="035273"/>
    <s v="SOLICITUD DEL PAGO ANTICIPADO DE LA AYUDA A LA PROMOCION DEL VINO EN MERCADOS DE TERCEROS PAISES"/>
    <s v="6 MESES"/>
    <x v="1"/>
    <x v="6"/>
    <x v="41"/>
    <s v="SKX7"/>
    <x v="1289"/>
    <s v="S"/>
    <s v="N"/>
    <s v="N"/>
    <s v="N"/>
  </r>
  <r>
    <x v="6"/>
    <s v="035274"/>
    <s v="MODIFICACION DEL PROGRAMA DE PROMOCION DE PRODUCTOS VINICOLAS EN TERCEROS PAISES"/>
    <s v="6 MESES"/>
    <x v="1"/>
    <x v="6"/>
    <x v="41"/>
    <s v="SK7K"/>
    <x v="1290"/>
    <s v="N"/>
    <s v="N"/>
    <s v="S"/>
    <s v="N"/>
  </r>
  <r>
    <x v="6"/>
    <s v="035275"/>
    <s v="SOLICITUD DEL PAGO INTERMEDIO O FINAL DE LA AYUDA A LA PROMOCION DEL VINO EN MERCADOS DE TERCEROS PAISES"/>
    <s v="6 MESES"/>
    <x v="1"/>
    <x v="6"/>
    <x v="41"/>
    <s v="PK7I"/>
    <x v="1291"/>
    <s v="N"/>
    <s v="N"/>
    <s v="S"/>
    <s v="N"/>
  </r>
  <r>
    <x v="6"/>
    <s v="035282"/>
    <s v="AYUDAS PARA FOMENTAR LA PRODUCCION Y COMERCIALIZACION DE PRODUCTOS AGROALIMENTARIOS DE CALIDAD DIFERENCIADA"/>
    <s v="SEIS MESES"/>
    <x v="1"/>
    <x v="6"/>
    <x v="41"/>
    <s v="SJIX"/>
    <x v="1292"/>
    <s v="S"/>
    <s v="N"/>
    <s v="S"/>
    <s v="N"/>
  </r>
  <r>
    <x v="6"/>
    <s v="035283"/>
    <s v="SOLICITUD DEL PAGO DE LAS AYUDAS PARA FOMENTAR LA PRODUCCION Y COMERCIALIZACION DE PRODUCTOS AGROALIMENTARIOS DE  CALIDAD DIFERENCIADA"/>
    <s v="SEIS MESES"/>
    <x v="1"/>
    <x v="6"/>
    <x v="41"/>
    <s v="PK99"/>
    <x v="1293"/>
    <s v="S"/>
    <s v="N"/>
    <s v="S"/>
    <s v="N"/>
  </r>
  <r>
    <x v="6"/>
    <s v="035284"/>
    <s v="AYUDAS DE LA POLITICA AGRICOLA COMUN PARA EL AÑO 2022"/>
    <s v="6 MESES DESDE LA COMUNICACIÓN"/>
    <x v="1"/>
    <x v="6"/>
    <x v="40"/>
    <s v="SH55"/>
    <x v="1294"/>
    <s v="N"/>
    <s v="N"/>
    <s v="S"/>
    <s v="N"/>
  </r>
  <r>
    <x v="6"/>
    <s v="035285"/>
    <s v="CESIONES DE DERECHOS DE PAGO BASICO CAMPAÑA 2022"/>
    <s v="6 MESES DESDE LA COMUNICACIÓN"/>
    <x v="1"/>
    <x v="6"/>
    <x v="40"/>
    <s v="SK84"/>
    <x v="1295"/>
    <s v="S"/>
    <s v="N"/>
    <s v="S"/>
    <s v="N"/>
  </r>
  <r>
    <x v="6"/>
    <s v="035286"/>
    <s v="SOLICITUD DE PAGO DE LA AYUDA DESTINADA A PROMOVER LA COOPERACION INNOVADORA EN EL SECTOR AGROALIMENTARIO"/>
    <s v="6 MESES"/>
    <x v="1"/>
    <x v="6"/>
    <x v="41"/>
    <s v="PL13"/>
    <x v="1296"/>
    <s v="N"/>
    <s v="N"/>
    <s v="S"/>
    <s v="N"/>
  </r>
  <r>
    <x v="6"/>
    <s v="035287"/>
    <s v="SOLICITUD DE AYUDA DESTINADA A PROMOVER LA COOPERACION INNOVADORA EN EL SECTOR AGROALIMENTARIO"/>
    <s v="6 MESES"/>
    <x v="1"/>
    <x v="6"/>
    <x v="41"/>
    <s v="SJI5"/>
    <x v="1297"/>
    <s v="N"/>
    <s v="N"/>
    <s v="S"/>
    <s v="N"/>
  </r>
  <r>
    <x v="6"/>
    <s v="035391"/>
    <s v="DOCUMENTACION JUSTIFICATIVA DE LAS SUBVENCIONES DESTINADAS AL FOMENTO DE RAZAS AUTOCTONAS ESPAÑOLAS"/>
    <s v="6 MESES"/>
    <x v="1"/>
    <x v="6"/>
    <x v="40"/>
    <s v="PL62"/>
    <x v="1298"/>
    <s v="N"/>
    <s v="N"/>
    <s v="S"/>
    <s v="N"/>
  </r>
  <r>
    <x v="6"/>
    <s v="035392"/>
    <s v="SOLICITUD DE SUBVENCIONES DESTINADAS AL FOMENTO DE LAS RAZAS AUTOCTONAS ESPAÑOLAS"/>
    <s v="6 MESES"/>
    <x v="1"/>
    <x v="6"/>
    <x v="40"/>
    <s v="SJS1"/>
    <x v="1299"/>
    <s v="N"/>
    <s v="N"/>
    <s v="S"/>
    <s v="N"/>
  </r>
  <r>
    <x v="6"/>
    <s v="035476"/>
    <s v="SOLICITUD DE AYUDAS PARA ACCIONES DE CARACTER PREVENTIVO DESTINADAS A EVITAR DAÑOS OCASIONADOS POR EL LOBO IBERICO EN LA PROVINCIA DE GUADALAJARA"/>
    <s v="6 MESES"/>
    <x v="1"/>
    <x v="6"/>
    <x v="43"/>
    <s v="SJ18"/>
    <x v="1300"/>
    <s v="S"/>
    <s v="N"/>
    <s v="S"/>
    <s v="N"/>
  </r>
  <r>
    <x v="6"/>
    <s v="035477"/>
    <s v="COMUNICACION DE CAMBIO DE TITULARIDAD Y ACEPTACION EXPRESA DE LAS CONDICIONES DE LAS AYUDAS PARA ACCIONES PREVENTIVAS DESTINADAS A EVITAR DAÑOS POR EL LOBO IBERICO EN LA PROVINCIA DE GUADALAJARA"/>
    <s v="6 MESES"/>
    <x v="1"/>
    <x v="6"/>
    <x v="43"/>
    <s v="ML0A"/>
    <x v="1301"/>
    <s v="S"/>
    <s v="N"/>
    <s v="S"/>
    <s v="N"/>
  </r>
  <r>
    <x v="6"/>
    <s v="035478"/>
    <s v="SOLICITUD DE PAGO AYUDAS PARA ACCIONES DE CARACTER PREVENTIVO DESTINADAS A EVITAR DAÑOS OCASIONADOS POR EL LOBO IBERICO EN LA PROVINCIA DE GUADALAJARA"/>
    <s v="6 MESES"/>
    <x v="1"/>
    <x v="6"/>
    <x v="43"/>
    <s v="SK66"/>
    <x v="1302"/>
    <s v="S"/>
    <s v="N"/>
    <s v="S"/>
    <s v="N"/>
  </r>
  <r>
    <x v="6"/>
    <s v="035563"/>
    <s v="SOLICITUD DE ALTA DE LA DIRECCION TECNICA"/>
    <s v="6 MESES"/>
    <x v="1"/>
    <x v="6"/>
    <x v="40"/>
    <s v="SKX5"/>
    <x v="1303"/>
    <s v="N"/>
    <s v="N"/>
    <s v="S"/>
    <s v="N"/>
  </r>
  <r>
    <x v="6"/>
    <s v="035564"/>
    <s v="SOLICITUD INDIVIDUAL VITICULTOR/A"/>
    <s v="6 MESES"/>
    <x v="1"/>
    <x v="6"/>
    <x v="40"/>
    <s v="SJE9"/>
    <x v="1304"/>
    <s v="N"/>
    <s v="N"/>
    <s v="S"/>
    <s v="N"/>
  </r>
  <r>
    <x v="6"/>
    <s v="035565"/>
    <s v="SOLICITUD DE MODIFICACION A LOS PROYECTOS DE REESTRUCTURACION Y RECONVERSION DE VIÑEDO"/>
    <s v="2 MESES"/>
    <x v="1"/>
    <x v="6"/>
    <x v="40"/>
    <s v="SK5M"/>
    <x v="1305"/>
    <s v="N"/>
    <s v="N"/>
    <s v="S"/>
    <s v="N"/>
  </r>
  <r>
    <x v="6"/>
    <s v="035566"/>
    <s v="RENUNCIA A LAS SOLICITUDES DE REESTRUCTURACION Y RECONVERSION DE VIÑEDO"/>
    <s v="2 MESES"/>
    <x v="1"/>
    <x v="6"/>
    <x v="40"/>
    <s v="SKSU"/>
    <x v="1306"/>
    <s v="N"/>
    <s v="N"/>
    <s v="S"/>
    <s v="N"/>
  </r>
  <r>
    <x v="6"/>
    <s v="035572"/>
    <s v="PAGO DE AYUDAS A INVERSIONES DE DETERMINADAS INFRAESTRUCTURAS DEL SECTOR VITIVINICOLA DENTRO DEL PROGRAMA DE APOYO 2019-2023 (VINATI)"/>
    <s v="6 MESES"/>
    <x v="1"/>
    <x v="6"/>
    <x v="41"/>
    <s v="SK6Z"/>
    <x v="1307"/>
    <s v="N"/>
    <s v="N"/>
    <s v="S"/>
    <s v="N"/>
  </r>
  <r>
    <x v="6"/>
    <s v="035573"/>
    <s v="MODIFICACION DE UN PROYECTO DE INVERSION ACOGIDO A LAS AYUDAS EN INVERSIONES DE DETERMINADAS INFRAESTRUCTURAS DEL SECTOR VITIVINICOLA EN EL PROGRAMA DE APOYO 2019-2023 (VINATI)"/>
    <s v="6 MESES"/>
    <x v="1"/>
    <x v="6"/>
    <x v="41"/>
    <s v="SKH3"/>
    <x v="1308"/>
    <s v="N"/>
    <s v="N"/>
    <s v="S"/>
    <s v="N"/>
  </r>
  <r>
    <x v="6"/>
    <s v="035574"/>
    <s v="ACEPTACION RESOLUCION DE AYUDAS A INVERSIONES DE DETERMINADAS INFRAESTRUCTURAS DEL SECTOR VITIVINICOLA DENTRO DEL PROGRAMA DE APOYO 2019-2023 (VINATI)"/>
    <s v="6 MESES"/>
    <x v="1"/>
    <x v="6"/>
    <x v="41"/>
    <s v="SKH2"/>
    <x v="1309"/>
    <s v="N"/>
    <s v="N"/>
    <s v="S"/>
    <s v="N"/>
  </r>
  <r>
    <x v="6"/>
    <s v="035575"/>
    <s v="AYUDAS EN INVERSIONES DE DETERMINADAS INFRAESTRUCTURAS DEL SECTOR VITIVINICOLA DENTRO DEL PROGRAMA DE APOYO 2019-2023 (VINATI)."/>
    <s v="6 MESES"/>
    <x v="1"/>
    <x v="6"/>
    <x v="41"/>
    <s v="SK6Y"/>
    <x v="1310"/>
    <s v="N"/>
    <s v="N"/>
    <s v="S"/>
    <s v="N"/>
  </r>
  <r>
    <x v="6"/>
    <s v="035580"/>
    <s v="JUSTIFICACION DE LAS YUDAS PARA LA ASISTENCIA A LA FERIA AGROALIMENTARIA  WORLD OLIVE OIL EXHIBITION"/>
    <s v="3 MESES"/>
    <x v="1"/>
    <x v="6"/>
    <x v="41"/>
    <s v="PL6M"/>
    <x v="1311"/>
    <s v="S"/>
    <s v="N"/>
    <s v="S"/>
    <s v="N"/>
  </r>
  <r>
    <x v="6"/>
    <s v="035581"/>
    <s v="AYUDAS PARA LA ASISTENCIA A LA FERIA AGROALIMENTARIA WORLD OLIVE OIL EXHIBITION"/>
    <s v="3 MESES"/>
    <x v="1"/>
    <x v="6"/>
    <x v="41"/>
    <s v="SK8A"/>
    <x v="1312"/>
    <s v="S"/>
    <s v="N"/>
    <s v="S"/>
    <s v="N"/>
  </r>
  <r>
    <x v="6"/>
    <s v="035604"/>
    <s v="AYUDAS PARA LA ASISTENCIA A LA FERIA AGROALIMENTARIA FRUIT ATTRACTION"/>
    <s v="3 MESES"/>
    <x v="1"/>
    <x v="6"/>
    <x v="41"/>
    <s v="SKBX"/>
    <x v="1313"/>
    <s v="S"/>
    <s v="N"/>
    <s v="S"/>
    <s v="N"/>
  </r>
  <r>
    <x v="6"/>
    <s v="035605"/>
    <s v="ACEPTACION RESOLUCION CONCESION DE AYUDA PARA LA ASISTENCIA A LA FERIA AGROALIMENTARIA FRUIT ATTRACTION"/>
    <s v="3 MESES"/>
    <x v="1"/>
    <x v="6"/>
    <x v="44"/>
    <s v="SLVJ"/>
    <x v="1314"/>
    <s v="S"/>
    <s v="N"/>
    <s v="S"/>
    <s v="N"/>
  </r>
  <r>
    <x v="6"/>
    <s v="035627"/>
    <s v="JUSTIFICACION DE LAS AYUDAS PARA LA ASISTENCIA A LA FERIA AGROALIMENTARIA ALIMENTARIA BARCELONA 2020"/>
    <s v="3 MESES."/>
    <x v="1"/>
    <x v="6"/>
    <x v="41"/>
    <s v="PKJE"/>
    <x v="1315"/>
    <s v="S"/>
    <s v="N"/>
    <s v="S"/>
    <s v="N"/>
  </r>
  <r>
    <x v="6"/>
    <s v="035628"/>
    <s v="AYUDAS PARA LA ASISTENCIA A LA FERIA AGROALIMENTARIA ALIMENTARIA BARCELONA 2020."/>
    <s v="3 MESES."/>
    <x v="1"/>
    <x v="6"/>
    <x v="41"/>
    <s v="SKJD"/>
    <x v="1316"/>
    <s v="S"/>
    <s v="N"/>
    <s v="S"/>
    <s v="N"/>
  </r>
  <r>
    <x v="6"/>
    <s v="035629"/>
    <s v="AYUDAS PARA LA ASISTENCIA A LA FERIA AGROALIMENTARIA &quot;SALON GOURMETS&quot;."/>
    <s v="3 MESES."/>
    <x v="1"/>
    <x v="6"/>
    <x v="41"/>
    <s v="SKET"/>
    <x v="1317"/>
    <s v="S"/>
    <s v="N"/>
    <s v="S"/>
    <s v="N"/>
  </r>
  <r>
    <x v="6"/>
    <s v="035630"/>
    <s v="JUSTIFICACION DE LAS AYUDAS PARA LA ASISTENCIA A LA FERIA AGROALIMENTARIA SALON GOURMETS"/>
    <s v="3 MESES."/>
    <x v="1"/>
    <x v="6"/>
    <x v="41"/>
    <s v="SKEU"/>
    <x v="1318"/>
    <s v="S"/>
    <s v="N"/>
    <s v="S"/>
    <s v="N"/>
  </r>
  <r>
    <x v="6"/>
    <s v="035631"/>
    <s v="JUSTIFICACION DE LAS AYUDAS PARA LA ASISTENCIA A LA FERIA AGROALIMENTARIA FRUIT ATTRACTION"/>
    <s v="3 MESES."/>
    <x v="1"/>
    <x v="6"/>
    <x v="41"/>
    <s v="PLKV"/>
    <x v="1319"/>
    <s v="S"/>
    <s v="N"/>
    <s v="S"/>
    <s v="N"/>
  </r>
  <r>
    <x v="6"/>
    <s v="035691"/>
    <s v="SOLICITUD DE AYUDA PREPARATORIA PARA LOS GRUPOS DE ACCION LOCAL QUE ELABORARAN EDLP EN EL PERIODO 2014/2020."/>
    <s v="6 MESES."/>
    <x v="1"/>
    <x v="6"/>
    <x v="39"/>
    <s v="SKL2"/>
    <x v="1320"/>
    <s v="S"/>
    <s v="N"/>
    <s v="S"/>
    <s v="N"/>
  </r>
  <r>
    <x v="6"/>
    <s v="035692"/>
    <s v="SOLICITUD DE PAGO DE LA AYUDA PREPARATORIA PARA LOS GRUPOS DE ACCION LOCAL QUE ELABORARAN EDLP EN EL PERIODO 2014/2020."/>
    <s v="6 MESES."/>
    <x v="1"/>
    <x v="6"/>
    <x v="39"/>
    <s v="PKL3"/>
    <x v="1321"/>
    <s v="S"/>
    <s v="N"/>
    <s v="S"/>
    <s v="N"/>
  </r>
  <r>
    <x v="6"/>
    <s v="035775"/>
    <s v="AYUDAS EN ESPECIE PARA LA ASISTENCIA A LA FERIA AGROALIMENTARIA MEAT ATTRACTION"/>
    <s v="3 MESES"/>
    <x v="1"/>
    <x v="6"/>
    <x v="41"/>
    <s v="PKT1"/>
    <x v="1322"/>
    <s v="S"/>
    <s v="N"/>
    <s v="S"/>
    <s v="N"/>
  </r>
  <r>
    <x v="6"/>
    <s v="035776"/>
    <s v="AYUDAS EN ESPECIE PARA LA ASISTENCIA A LA FERIA AGROALIMENTARIA MEAT ATTRACTION"/>
    <s v="3 MESES"/>
    <x v="1"/>
    <x v="6"/>
    <x v="41"/>
    <s v="SKT2"/>
    <x v="1323"/>
    <s v="S"/>
    <s v="N"/>
    <s v="S"/>
    <s v="N"/>
  </r>
  <r>
    <x v="6"/>
    <s v="035777"/>
    <s v="ACEPTACION RESOLUCION CONCESION DE AYUDA PARA LA ASISTENCIA A LA FERIA AGROALIMENTARIA MEAT ATTRACTION"/>
    <s v="3 MESES"/>
    <x v="1"/>
    <x v="6"/>
    <x v="41"/>
    <s v="SLY6"/>
    <x v="1324"/>
    <s v="S"/>
    <s v="N"/>
    <s v="S"/>
    <s v="N"/>
  </r>
  <r>
    <x v="6"/>
    <s v="035785"/>
    <s v="PAGO DE LAS AYUDAS A LA CREACION DE AGRUPACIONES DE PRODUCTORES DE PRODUCTOS AGROALIMENTARIOS (APPAAS)"/>
    <s v="6 MESES"/>
    <x v="1"/>
    <x v="6"/>
    <x v="41"/>
    <s v="PKTB"/>
    <x v="1325"/>
    <s v="N"/>
    <s v="N"/>
    <s v="S"/>
    <s v="N"/>
  </r>
  <r>
    <x v="6"/>
    <s v="035786"/>
    <s v="SOLICITUD DE MODIFICACION DEL PLAN EMPRESARIAL DE COMERCIALIZACION CONJUNTA DE LAS APPAA"/>
    <s v="6 MESES"/>
    <x v="1"/>
    <x v="6"/>
    <x v="44"/>
    <s v="SLW3"/>
    <x v="1326"/>
    <s v="N"/>
    <s v="N"/>
    <s v="S"/>
    <s v="N"/>
  </r>
  <r>
    <x v="6"/>
    <s v="035787"/>
    <s v="AYUDA AL FOMENTO DE LA CREACION DE AGRUPACIONES DE PRODUCTORES DE PRODUCTOS AGROALIMENTARIOS (APPAA)"/>
    <s v="6 MESES"/>
    <x v="1"/>
    <x v="6"/>
    <x v="41"/>
    <s v="SKTA"/>
    <x v="1327"/>
    <s v="N"/>
    <s v="N"/>
    <s v="S"/>
    <s v="N"/>
  </r>
  <r>
    <x v="6"/>
    <s v="035799"/>
    <s v="SOLICITUD DE MODIFICACION DE PROGRAMA OPERATIVO RELATIVA A ANUALIDAD NO COMENZADA"/>
    <s v="A MÁS TARDAR EL 15 DICIEMBRE DEL AÑO SOLICITUD O EL 20 DE ENERO DEL AÑO SIGUIENTE POR RAZONES DEBIDAMENTE JUSTIFICADAS"/>
    <x v="0"/>
    <x v="6"/>
    <x v="41"/>
    <s v="SKTM"/>
    <x v="1328"/>
    <s v="N"/>
    <s v="N"/>
    <s v="S"/>
    <s v="N"/>
  </r>
  <r>
    <x v="6"/>
    <s v="035800"/>
    <s v="SOLICITUD DE PRESENTACION DE NUEVO PROGRAMA OPERATIVO"/>
    <s v="A MÁS TARDAR EL 15 DICIEMBRE DEL AÑO SOLICITUD O EL 20 DE ENERO DEL AÑO SIGUIENTE POR RAZONES DEBIDAMENTE JUSTIFICADAS"/>
    <x v="0"/>
    <x v="6"/>
    <x v="41"/>
    <s v="SKTL"/>
    <x v="1329"/>
    <s v="N"/>
    <s v="N"/>
    <s v="S"/>
    <s v="N"/>
  </r>
  <r>
    <x v="6"/>
    <s v="035801"/>
    <s v="NOTIFICACIONES DE LAS ACCIONES DE LA MEDIDA DE PREVENCION Y GESTION DE CRISIS"/>
    <s v="A MÁS TARDAR EL 15 DICIEMBRE DEL AÑO SOLICITUD O EL 20 DE ENERO DEL AÑO SIGUIENTE POR RAZONES DEBIDAMENTE JUSTIFICADAS"/>
    <x v="0"/>
    <x v="6"/>
    <x v="41"/>
    <s v="NKTN"/>
    <x v="1330"/>
    <s v="N"/>
    <s v="N"/>
    <s v="S"/>
    <s v="N"/>
  </r>
  <r>
    <x v="6"/>
    <s v="035802"/>
    <s v="SOLICITUD DE MODIFICACION DEL PROGRAMA OPERATIVO DURANTE LA ANUALIDAD EN CURSO"/>
    <s v="15 DIAS"/>
    <x v="0"/>
    <x v="6"/>
    <x v="41"/>
    <s v="SKTO"/>
    <x v="1331"/>
    <s v="N"/>
    <s v="N"/>
    <s v="S"/>
    <s v="N"/>
  </r>
  <r>
    <x v="6"/>
    <s v="035803"/>
    <s v="COMUNICACION EJECUCION ACCIONES MEDIOAMBIENTALES"/>
    <s v="15 DIAS"/>
    <x v="0"/>
    <x v="6"/>
    <x v="41"/>
    <s v="MLK5"/>
    <x v="1332"/>
    <s v="N"/>
    <s v="N"/>
    <s v="S"/>
    <s v="N"/>
  </r>
  <r>
    <x v="6"/>
    <s v="035831"/>
    <s v="AYUDAS A LA MODERNIZACION Y TRANSFORMACION DE REGADIOS"/>
    <s v="6 MESES"/>
    <x v="1"/>
    <x v="6"/>
    <x v="39"/>
    <s v="SKVF"/>
    <x v="1333"/>
    <s v="N"/>
    <s v="N"/>
    <s v="S"/>
    <s v="N"/>
  </r>
  <r>
    <x v="6"/>
    <s v="035832"/>
    <s v="PAGO AYUDAS A LA MODERNIZACION Y TRANSFORMACION DE REGADIOS"/>
    <s v="6 MESES"/>
    <x v="1"/>
    <x v="6"/>
    <x v="39"/>
    <s v="PKVG"/>
    <x v="1334"/>
    <s v="N"/>
    <s v="N"/>
    <s v="S"/>
    <s v="N"/>
  </r>
  <r>
    <x v="6"/>
    <s v="035840"/>
    <s v="PRESENTACION DOCUMENTACION DEL SALDO DE LA AYUDA A LA DESTILACION DE SUBPRODUCTOS"/>
    <s v="3 MESES"/>
    <x v="1"/>
    <x v="6"/>
    <x v="41"/>
    <s v="SKW7"/>
    <x v="1335"/>
    <s v="N"/>
    <s v="N"/>
    <s v="S"/>
    <s v="N"/>
  </r>
  <r>
    <x v="6"/>
    <s v="035841"/>
    <s v="PRESENTACION SOLICITUDES DE AYUDA A LA DESTILACION DE SUBPRODUCTOS"/>
    <s v="3 MESES"/>
    <x v="1"/>
    <x v="6"/>
    <x v="41"/>
    <s v="SKW6"/>
    <x v="1336"/>
    <s v="N"/>
    <s v="N"/>
    <s v="S"/>
    <s v="N"/>
  </r>
  <r>
    <x v="6"/>
    <s v="035881"/>
    <s v="MODIFICACION DE LA RESOLUCION DE LA AYUDA PARA ACCIONES DE CARACTER PREVENTIVO DESTINADAS A EVITAR DAÑOS OCASIONADOS POR EL LOBO IBERICO EN LA PROVINCIA DE GUADALAJARA."/>
    <s v="2 MESES"/>
    <x v="1"/>
    <x v="6"/>
    <x v="43"/>
    <s v="SL07"/>
    <x v="1337"/>
    <s v="S"/>
    <s v="N"/>
    <s v="S"/>
    <s v="N"/>
  </r>
  <r>
    <x v="6"/>
    <s v="035882"/>
    <s v="AMPLIACION DE PLAZO DE EJECUCION DE LAS AYUDAS PARA ACCIONES DE CARACTER PREVENTIVO DESTINADAS A EVITAR DAÑOS OCASIONADOS POR EL LOBO IBERICO EN LA PROVINCIA DE GUADALAJARA"/>
    <s v="2 MESES"/>
    <x v="1"/>
    <x v="6"/>
    <x v="43"/>
    <s v="SL09"/>
    <x v="1338"/>
    <s v="S"/>
    <s v="N"/>
    <s v="S"/>
    <s v="N"/>
  </r>
  <r>
    <x v="6"/>
    <s v="035891"/>
    <s v="PAGO DE AYUDAS DESTINADAS A PROMOVER LA COOPERACION INNOVADORA MEDIANTE GRUPOS OPERATIVOS Y REALIZACION DE PROYECTOS PILOTO."/>
    <s v="6 MESES"/>
    <x v="1"/>
    <x v="6"/>
    <x v="40"/>
    <s v="PL0V"/>
    <x v="1339"/>
    <s v="N"/>
    <s v="N"/>
    <s v="S"/>
    <s v="N"/>
  </r>
  <r>
    <x v="6"/>
    <s v="035892"/>
    <s v="PAGO POR ANTICIPO."/>
    <s v="6 MESES"/>
    <x v="1"/>
    <x v="6"/>
    <x v="40"/>
    <s v="SLKI"/>
    <x v="1340"/>
    <s v="N"/>
    <s v="N"/>
    <s v="S"/>
    <s v="N"/>
  </r>
  <r>
    <x v="6"/>
    <s v="035893"/>
    <s v="AYUDAS A LA COOPERACION INNOVADORA MEDIANTE LA CONSTITUCION DE GRUPOS OPERATIVOS DE INNOVACION Y LA REALIZACION DE PROYECTOS PILOTO INNOVADORES EN LA PRODUCCION PRIMARIA AGRICOLA Y GANADERA."/>
    <s v="6 MESES"/>
    <x v="1"/>
    <x v="6"/>
    <x v="40"/>
    <s v="SL0T"/>
    <x v="1341"/>
    <s v="N"/>
    <s v="N"/>
    <s v="S"/>
    <s v="N"/>
  </r>
  <r>
    <x v="6"/>
    <s v="035906"/>
    <s v="COMUNICACION PREVIA DE LA FORMACION SANITARIA."/>
    <s v="6 MESES"/>
    <x v="1"/>
    <x v="6"/>
    <x v="40"/>
    <s v="ML1M"/>
    <x v="1342"/>
    <s v="N"/>
    <s v="N"/>
    <s v="S"/>
    <s v="N"/>
  </r>
  <r>
    <x v="6"/>
    <s v="035907"/>
    <s v="SOLICITUD DE AYUDA A LAS ADSG PARA LA EJECUCION DE LOS PROGRAMAS ZOOTECNICO-SANITARIO REGULADAS POR EL CAPITULO II DE LA ORDEN 29/2018."/>
    <s v="6 MESES"/>
    <x v="1"/>
    <x v="6"/>
    <x v="40"/>
    <s v="SL1L"/>
    <x v="1343"/>
    <s v="N"/>
    <s v="N"/>
    <s v="S"/>
    <s v="N"/>
  </r>
  <r>
    <x v="6"/>
    <s v="035908"/>
    <s v="JUSTIFICACION DE LOS GASTOS DE EJECUCION DE LAS ACTIVIDADES SUBVENCIONABLES"/>
    <s v="6 MESES"/>
    <x v="1"/>
    <x v="6"/>
    <x v="40"/>
    <s v="PL1N"/>
    <x v="1344"/>
    <s v="N"/>
    <s v="N"/>
    <s v="S"/>
    <s v="N"/>
  </r>
  <r>
    <x v="6"/>
    <s v="035927"/>
    <s v="PRESENTACION DEL PARTE MENSUAL DE INCIDENCIAS CON LOS RESULTADOS DE LOS CONTROLES EFECTUADOS POR PARTE DE LAS AGRUPACIONES DE SANIDAD VEGETAL DE CASTILLA-LA MANCHA"/>
    <s v="3 MESES."/>
    <x v="1"/>
    <x v="6"/>
    <x v="44"/>
    <s v="MLRQ"/>
    <x v="1345"/>
    <s v="N"/>
    <s v="N"/>
    <s v="S"/>
    <s v="N"/>
  </r>
  <r>
    <x v="6"/>
    <s v="035928"/>
    <s v="SUBVENCIONES PARA LA PRESTACION DE SERVICIOS DE ASESORAMIENTO EN GESTION INTEGRADA DE PLAGAS POR PARTE DE LAS AGRUPACIONES DE SANIDAD VEGETAL EN CASTILLA-LA MANCHA"/>
    <s v="3 MESES."/>
    <x v="1"/>
    <x v="6"/>
    <x v="40"/>
    <s v="SL2L"/>
    <x v="1346"/>
    <s v="N"/>
    <s v="N"/>
    <s v="S"/>
    <s v="N"/>
  </r>
  <r>
    <x v="6"/>
    <s v="035952"/>
    <s v="SOLICITUD DEL PAGO DE LAS AYUDAS PARA LA COOPERACION ENTRE LOS AGENTES DE LA CADENA DE SUMINISTRO PARA LA CREACION Y EL DESARROLLO DE CADENAS DE DISTRIBUCION CORTAS Y MERCADOS LOCALES."/>
    <s v="6 MESES"/>
    <x v="1"/>
    <x v="6"/>
    <x v="41"/>
    <s v="PL5P"/>
    <x v="1347"/>
    <s v="N"/>
    <s v="N"/>
    <s v="S"/>
    <s v="N"/>
  </r>
  <r>
    <x v="6"/>
    <s v="035953"/>
    <s v="SOLICITUD  DE LAS AYUDAS PARA LA COOPERACION ENTRE LOS AGENTES DE LA CADENA DE SUMINISTRO PARA LA CREACION Y EL DESARROLLO DE CADENAS DE DISTRIBUCION CORTAS Y MERCADOS LOCALES"/>
    <s v="6 MESES"/>
    <x v="1"/>
    <x v="6"/>
    <x v="41"/>
    <s v="SL5O"/>
    <x v="1348"/>
    <s v="N"/>
    <s v="N"/>
    <s v="S"/>
    <s v="N"/>
  </r>
  <r>
    <x v="6"/>
    <s v="035956"/>
    <s v="DOCUMENTACION JUSTIFICATIVA DE LAS AYUDAS PARA EL CONTROL DE RENDIMIENTO DE LAS HEMBRAS LECHERAS EN CASTILLA-LA MANCHA"/>
    <s v="6 MESES A CONTAR DESDE LA ACREDITACIÓN DE LAS LACTACIONES FINALIZADAS Y VALIDAS CERTIFICADAS DEL AÑO NATURAL ANTERIOR A LA CONVOCATORIA"/>
    <x v="1"/>
    <x v="6"/>
    <x v="40"/>
    <s v="PL64"/>
    <x v="1349"/>
    <s v="N"/>
    <s v="N"/>
    <s v="S"/>
    <s v="N"/>
  </r>
  <r>
    <x v="6"/>
    <s v="035957"/>
    <s v="SOLICITUD DE AYUDAS PARA EL CONTROL DE RENDIMIENTO DE LAS HEMBRAS LECHERAS EN CASTILLA-LA MANCHA"/>
    <s v="6 MESES A CONTAR DESDE LA ACREDITACIÓN DE LAS LACTACIONES FINALIZADAS Y VALIDAS CERTIFICADAS DEL AÑO NATURAL ANTERIOR A LA CONVOCATORIA"/>
    <x v="1"/>
    <x v="6"/>
    <x v="40"/>
    <s v="SL63"/>
    <x v="1350"/>
    <s v="N"/>
    <s v="N"/>
    <s v="S"/>
    <s v="N"/>
  </r>
  <r>
    <x v="6"/>
    <s v="035967"/>
    <s v="SOLICITUD DE AYUDAS PARA LA REFORESTACION Y CREACION DE SUPERFICIES FORESTALES."/>
    <s v="6 MESES"/>
    <x v="1"/>
    <x v="6"/>
    <x v="43"/>
    <s v="SL7Y"/>
    <x v="1351"/>
    <s v="S"/>
    <s v="N"/>
    <s v="S"/>
    <s v="N"/>
  </r>
  <r>
    <x v="6"/>
    <s v="035968"/>
    <s v="COMUNICACION DE CAMBIO DE TITULARIDAD Y ACEPTACION EXPRESA POR EL NUEVO TITULAR DE LAS CONDICIONES EN LAS QUE SE CONCEDIO LA AYUDA PARA LA FORESTACION Y CREACION DE SUPERFICIES FORESTALES."/>
    <s v="6 MESES"/>
    <x v="1"/>
    <x v="6"/>
    <x v="43"/>
    <s v="ML7Z"/>
    <x v="1352"/>
    <s v="S"/>
    <s v="N"/>
    <s v="S"/>
    <s v="N"/>
  </r>
  <r>
    <x v="6"/>
    <s v="035969"/>
    <s v="SOLICITUD DE PAGO DE LA AYUDA PARA LA REFORESTACION Y  CREACION DE SUPERFICIES FORESTALES."/>
    <s v="6 MESES"/>
    <x v="1"/>
    <x v="6"/>
    <x v="43"/>
    <s v="PL82"/>
    <x v="1353"/>
    <s v="S"/>
    <s v="N"/>
    <s v="S"/>
    <s v="N"/>
  </r>
  <r>
    <x v="6"/>
    <s v="035970"/>
    <s v="SOLICITUD DE MODIFICACION DE LA RESOLUCION DE LA AYUDA PARA LA REFORESTACION Y CREACION DE SUPERFICIES FORESTALES"/>
    <s v="2 MESES"/>
    <x v="1"/>
    <x v="6"/>
    <x v="43"/>
    <s v="SL80"/>
    <x v="1354"/>
    <s v="S"/>
    <s v="N"/>
    <s v="S"/>
    <s v="N"/>
  </r>
  <r>
    <x v="6"/>
    <s v="035971"/>
    <s v="SOLICITUD DE PRORROGA DE EJECUCION DE AYUDAS PARA LA REFORESTACION Y CREACION DE SUPERFICIES FORESTALES"/>
    <s v="2 MESES"/>
    <x v="1"/>
    <x v="6"/>
    <x v="43"/>
    <s v="SL81"/>
    <x v="1355"/>
    <s v="S"/>
    <s v="N"/>
    <s v="S"/>
    <s v="N"/>
  </r>
  <r>
    <x v="6"/>
    <s v="035975"/>
    <s v="SOLICITUD DE PAGO DE LOS SERVICIOS DE ASESORAMIENTO PRESTADOS"/>
    <s v="6 MESES"/>
    <x v="1"/>
    <x v="6"/>
    <x v="39"/>
    <s v="PL87"/>
    <x v="1356"/>
    <s v="N"/>
    <s v="N"/>
    <s v="S"/>
    <s v="N"/>
  </r>
  <r>
    <x v="6"/>
    <s v="035976"/>
    <s v="SOLICITUD DE AYUDA PARA LA PRESTACION DE SERVICIOS DE ASESORAMIENTO"/>
    <s v="6 MESES"/>
    <x v="1"/>
    <x v="6"/>
    <x v="45"/>
    <s v="SL86"/>
    <x v="1357"/>
    <s v="N"/>
    <s v="N"/>
    <s v="S"/>
    <s v="N"/>
  </r>
  <r>
    <x v="6"/>
    <s v="035991"/>
    <s v="SOLICITUD DE PAGO AYUDAS DESTINADAS A LA CONSERVACION, USO Y DESARROLLO SOSTENIBLE DE LOS RECURSOS GENETICOS GANADEROS EN CASTILLA-LA MANCHA"/>
    <s v="6 MESES"/>
    <x v="1"/>
    <x v="6"/>
    <x v="40"/>
    <s v="PLA4"/>
    <x v="1358"/>
    <s v="N"/>
    <s v="N"/>
    <s v="S"/>
    <s v="N"/>
  </r>
  <r>
    <x v="6"/>
    <s v="035992"/>
    <s v="SOLICITUD DE AYUDAS DESTINADAS A LA CONSERVACION, USO Y DESARROLLO SOSTENIBLE DE LOS RECURSOS GENETICOS GANADEROS EN CASTILLA-LA MANCHA"/>
    <s v="6 MESES"/>
    <x v="1"/>
    <x v="6"/>
    <x v="40"/>
    <s v="SLA3"/>
    <x v="1359"/>
    <s v="N"/>
    <s v="N"/>
    <s v="S"/>
    <s v="N"/>
  </r>
  <r>
    <x v="6"/>
    <s v="035993"/>
    <s v="SOLICITUD DE AYUDAS DESTINADAS A LA CONSERVACION DE RECURSOS AGRICOLAS AMENAZADOS DE EROSION GENETICA EN CASTILLA-LA MANCHA."/>
    <s v="6 MESES"/>
    <x v="1"/>
    <x v="6"/>
    <x v="40"/>
    <s v="SLAJ"/>
    <x v="1360"/>
    <s v="N"/>
    <s v="N"/>
    <s v="S"/>
    <s v="N"/>
  </r>
  <r>
    <x v="6"/>
    <s v="035998"/>
    <s v="LICITACION AYUDA PARA EL ALMACENAMIENTO DE ACEITE DE OLIVA"/>
    <s v="&quot;SOLICITUDES AYUDA: OFERTAS ADMISIBLES SE INFORMARÁ AL TITULAR PLAZO 3 DÍAS HÁBILES._x000a_SOLICITUDES PAGO: MÁXIMO 120 DÍAS&quot;"/>
    <x v="1"/>
    <x v="6"/>
    <x v="41"/>
    <s v="SLB3"/>
    <x v="1361"/>
    <s v="N"/>
    <s v="N"/>
    <s v="S"/>
    <s v="N"/>
  </r>
  <r>
    <x v="6"/>
    <s v="035999"/>
    <s v="SOLICITUD DE PAGO DE LA AYUDA PARA EL ALMACENAMIENTO DE ACEITE DE OLIVA"/>
    <s v="&quot;SOLICITUDES AYUDA: OFERTAS ADMISIBLES SE INFORMARÁ AL TITULAR PLAZO 3 DÍAS HÁBILES._x000a_SOLICITUDES PAGO: MÁXIMO 120 DÍAS&quot;"/>
    <x v="1"/>
    <x v="6"/>
    <x v="41"/>
    <s v="PLDU"/>
    <x v="1362"/>
    <s v="N"/>
    <s v="N"/>
    <s v="S"/>
    <s v="N"/>
  </r>
  <r>
    <x v="6"/>
    <s v="036006"/>
    <s v="AYUDAS PARA LA ASISTENCIA A LA FERIA AGROALIMENTARIA ORGANIC FOOD IBERIA"/>
    <s v="3 M."/>
    <x v="1"/>
    <x v="6"/>
    <x v="41"/>
    <s v="SLC7"/>
    <x v="1363"/>
    <s v="S"/>
    <s v="N"/>
    <s v="S"/>
    <s v="N"/>
  </r>
  <r>
    <x v="6"/>
    <s v="036007"/>
    <s v="JUSTIFICACION DE LAS AYUDAS PARA LA ASISTENCIA A LA FERIA AGROALIMENTARIA ORGANIC FOOD IBERIA"/>
    <s v="3 M."/>
    <x v="1"/>
    <x v="6"/>
    <x v="41"/>
    <s v="PLC8"/>
    <x v="1364"/>
    <s v="S"/>
    <s v="N"/>
    <s v="S"/>
    <s v="N"/>
  </r>
  <r>
    <x v="6"/>
    <s v="036021"/>
    <s v="AYUDA  COSECHA EN VERDE"/>
    <s v="5 DÍAS"/>
    <x v="1"/>
    <x v="6"/>
    <x v="40"/>
    <s v="SLE7"/>
    <x v="1365"/>
    <s v="N"/>
    <s v="N"/>
    <s v="S"/>
    <s v="N"/>
  </r>
  <r>
    <x v="6"/>
    <s v="036022"/>
    <s v="COMUNICACION EJECUCION Y PAGO DE LA AYUDA COSECHA EN VERDE"/>
    <s v="5 DÍAS"/>
    <x v="1"/>
    <x v="6"/>
    <x v="40"/>
    <s v="PLE8"/>
    <x v="1366"/>
    <s v="N"/>
    <s v="N"/>
    <s v="S"/>
    <s v="N"/>
  </r>
  <r>
    <x v="6"/>
    <s v="036089"/>
    <s v="SOLICITUD DE PAGO PARA LA REALIZACION DE ACTUACIONES DE EFICIENCIA ENERGETICA EN EXPLOTACIONES AGROPECUARIAS."/>
    <s v="6 MESES."/>
    <x v="1"/>
    <x v="6"/>
    <x v="39"/>
    <s v="PLLC"/>
    <x v="1367"/>
    <s v="S"/>
    <s v="N"/>
    <s v="S"/>
    <s v="N"/>
  </r>
  <r>
    <x v="6"/>
    <s v="036090"/>
    <s v="SOLICITUD DE AYUDA PARA LA REALIZACION DE ACTUACIONES DE EFICIENCIA ENERGETICA EN EXPLOTACIONES AGROPECUARIAS."/>
    <s v="6 MESES."/>
    <x v="1"/>
    <x v="6"/>
    <x v="39"/>
    <s v="SLLB"/>
    <x v="1368"/>
    <s v="S"/>
    <s v="N"/>
    <s v="S"/>
    <s v="N"/>
  </r>
  <r>
    <x v="6"/>
    <s v="036091"/>
    <s v="SOLICITUD DE PAGO DE AYUDA A INVERSIONES EN EXPLOTACIONES AGRICOLAS Y GANADERAS."/>
    <s v="6 MESES."/>
    <x v="1"/>
    <x v="6"/>
    <x v="39"/>
    <s v="PLLQ"/>
    <x v="1369"/>
    <s v="N"/>
    <s v="N"/>
    <s v="S"/>
    <s v="N"/>
  </r>
  <r>
    <x v="6"/>
    <s v="036092"/>
    <s v="SOLICITUD DE AYUDA A INVERSIONES EN EXPLOTACIONES AGRICOLAS Y GANADERAS."/>
    <s v="6 MESES."/>
    <x v="1"/>
    <x v="6"/>
    <x v="39"/>
    <s v="SLLP"/>
    <x v="1370"/>
    <s v="N"/>
    <s v="N"/>
    <s v="S"/>
    <s v="N"/>
  </r>
  <r>
    <x v="6"/>
    <s v="036127"/>
    <s v="SOLICITUD AYUDA RECUPERACION DE POTENCIAL PRODUCTIVO DEL OLIVAR AFECTADO POR EL TEMPORAL FILOMENA EN CASTILLA-LA MANCHA"/>
    <s v="6 MESES"/>
    <x v="1"/>
    <x v="6"/>
    <x v="40"/>
    <s v="SLOC"/>
    <x v="1371"/>
    <s v="N"/>
    <s v="N"/>
    <s v="S"/>
    <s v="N"/>
  </r>
  <r>
    <x v="6"/>
    <s v="036128"/>
    <s v="DECLARACION DE FIN DE ACTUACIONES"/>
    <s v="6 MESES"/>
    <x v="1"/>
    <x v="6"/>
    <x v="40"/>
    <s v="PLOD"/>
    <x v="1372"/>
    <s v="N"/>
    <s v="N"/>
    <s v="S"/>
    <s v="N"/>
  </r>
  <r>
    <x v="6"/>
    <s v="036157"/>
    <s v="AYUDAS A INVERSIONES EN ACTIVIDADES DE TRANSFORMACION DE PRODUCTOS DE LA PESCA Y DE LA ACUICULTURA PARA EL PERIODO 2014-2020, FINANCIADAS POR EL FONDO EUROPEO MARITIMO Y DE LA PESCA (FEMP)"/>
    <s v="6 MESES."/>
    <x v="1"/>
    <x v="6"/>
    <x v="41"/>
    <s v="SLS8"/>
    <x v="1373"/>
    <s v="N"/>
    <s v="N"/>
    <s v="S"/>
    <s v="N"/>
  </r>
  <r>
    <x v="6"/>
    <s v="036158"/>
    <s v="MODIFICACION DE LA RESOLUCION DE CONCESION DE AYUDAS A INVERSIONES EN ACTIVIDADES DE TRANSFORMACION DE PRODUCTOS DE LA PESCA Y DE LA ACUICULTURA PARA EL PERIODO 2014-2020, FINANCIADAS POR FEMP."/>
    <s v="6 MESES."/>
    <x v="1"/>
    <x v="6"/>
    <x v="41"/>
    <s v="SLS6"/>
    <x v="1374"/>
    <s v="N"/>
    <s v="N"/>
    <s v="S"/>
    <s v="N"/>
  </r>
  <r>
    <x v="6"/>
    <s v="036159"/>
    <s v="ACEPTACION DE LA RESOLUCION DE CONCESION DE AYUDAS A INVERSIONES EN ACTIVIDADES DE TRANSFORMACION DE PRODUCTOS DE LA PESCA Y DE LA ACUICULTURA PARA EL PERIODO 2014-2020, FINANCIADAS POR FEMP"/>
    <s v="6 MESES."/>
    <x v="1"/>
    <x v="6"/>
    <x v="41"/>
    <s v="SLS7"/>
    <x v="1375"/>
    <s v="N"/>
    <s v="N"/>
    <s v="S"/>
    <s v="N"/>
  </r>
  <r>
    <x v="6"/>
    <s v="036160"/>
    <s v="SOLICITUD DE PAGO DE LAS AYUDAS A INVERSIONES EN ACTIVIDADES DE TRANSFORMACION DE PRODUCTOS DE LA PESCA Y DE LA ACUICULTURA PARA EL PERIODO 2014-2020, FINANCIADAS POR EL FEMP"/>
    <s v="6 MESES."/>
    <x v="1"/>
    <x v="6"/>
    <x v="41"/>
    <s v="PLS9"/>
    <x v="1376"/>
    <s v="N"/>
    <s v="N"/>
    <s v="S"/>
    <s v="N"/>
  </r>
  <r>
    <x v="6"/>
    <s v="036169"/>
    <s v="AYUDAS AL ALMACENAMIENTO PRIVADO DE CARNE DE PORCINO"/>
    <s v="SI UNA SOLICITUD ES INADMISIBLE, SE NOTIFICARÁ AL TITULAR EN UN PLAZO DE TRES DÍAS HÁBILES A PARTIR DE LA RECEPCIÓN DE LA SOLICITUD"/>
    <x v="1"/>
    <x v="6"/>
    <x v="41"/>
    <s v="SLTX"/>
    <x v="1377"/>
    <s v="N"/>
    <s v="N"/>
    <s v="S"/>
    <s v="N"/>
  </r>
  <r>
    <x v="6"/>
    <s v="036170"/>
    <s v="SOLICITUD DE PAGO DE LA AYUDA PARA EL ALMACENAMIENTO DE CARNE DE PORCINO"/>
    <s v="SI UNA SOLICITUD ES INADMISIBLE, SE NOTIFICARÁ AL TITULAR EN UN PLAZO DE TRES DÍAS HÁBILES A PARTIR DE LA RECEPCIÓN DE LA SOLICITUD"/>
    <x v="1"/>
    <x v="6"/>
    <x v="41"/>
    <s v="PLUC"/>
    <x v="1378"/>
    <s v="N"/>
    <s v="N"/>
    <s v="S"/>
    <s v="N"/>
  </r>
  <r>
    <x v="6"/>
    <s v="036171"/>
    <s v="SOLICITUD DE AYUDA PARA INVERSIONES EN MATERIA DE BIOSEGURIDAD PARA LA MEJORA O CONSTRUCCION DE CENTROS DE LIMPIEZA Y DESINFECCION DE VEHICULOS DE TRANSPORTE POR CARRETERA DE GANADO"/>
    <s v="6 MESES"/>
    <x v="1"/>
    <x v="6"/>
    <x v="40"/>
    <s v="SLUD"/>
    <x v="1379"/>
    <s v="N"/>
    <s v="N"/>
    <s v="S"/>
    <s v="N"/>
  </r>
  <r>
    <x v="6"/>
    <s v="036172"/>
    <s v="SOLICITUD DE PAGO PARA INVERSIONES EN MATERIA DE BIOSEGURIDAD PARA LA MEJORA O CONSTRUCCION DE CENTROS DE LIMPIEZA Y DESINFECCION DE VEHICULOS DE TRANSPORTE POR CARRETERA DE GANADO"/>
    <s v="6 MESES"/>
    <x v="1"/>
    <x v="6"/>
    <x v="40"/>
    <s v="PLUE"/>
    <x v="1380"/>
    <s v="N"/>
    <s v="N"/>
    <s v="S"/>
    <s v="N"/>
  </r>
  <r>
    <x v="6"/>
    <s v="036174"/>
    <s v="SOLICITUD AYUDAS A INVERSIONES PARA LA SOSTENIBILIDAD Y COMPETITIVIDAD DE EXPLOTACIONES AGRICOLAS Y GANADERAS:AGRICULTURA DE PRECISION, EFICIENCIA ENERGETICA, GESTION ESTIERCOLES E INVERNADEROS."/>
    <s v="6 MESES"/>
    <x v="1"/>
    <x v="6"/>
    <x v="44"/>
    <s v="SLUI"/>
    <x v="1381"/>
    <s v="N"/>
    <s v="N"/>
    <s v="S"/>
    <s v="N"/>
  </r>
  <r>
    <x v="6"/>
    <s v="036182"/>
    <s v="SUBVENCIONES PARA LA PRESTACION DE SERVICIOS DE ASESORAMIENTO EN GESTION INTEGRADA DE PLAGAS POR PARTE DE LAS AGRUPACIONES DE SANIDAD VEGETAL EN CASTILLA-LA MANCHA"/>
    <s v="3 MESES DESDE LA FINALIZACIÓN DEL PLAZO DE PRESENTACIÓN DE SOLICITUDES."/>
    <x v="1"/>
    <x v="6"/>
    <x v="40"/>
    <s v="SLVU"/>
    <x v="1346"/>
    <s v="N"/>
    <s v="N"/>
    <s v="S"/>
    <s v="N"/>
  </r>
  <r>
    <x v="6"/>
    <s v="040115"/>
    <s v="INSCRIPCION EN LOS REGISTROS COMUNITARIOS DE LAS DENOMINACIONES DE ORIGEN PROTEGIDAS Y DE LAS INDICACIONES GEOGRAFICAS PROTEGIDAS."/>
    <s v="6 MESES"/>
    <x v="1"/>
    <x v="6"/>
    <x v="41"/>
    <s v="SJHS"/>
    <x v="1382"/>
    <s v="N"/>
    <s v="N"/>
    <s v="S"/>
    <s v="N"/>
  </r>
  <r>
    <x v="6"/>
    <s v="040144"/>
    <s v="EXPEDICION DE LOS CARNES DE MANIPULADOR DE PRODUCTOS FITOSANITARIOS"/>
    <s v="3 MESES"/>
    <x v="0"/>
    <x v="6"/>
    <x v="40"/>
    <s v="S323"/>
    <x v="1383"/>
    <s v="S"/>
    <s v="N"/>
    <s v="S"/>
    <s v="S"/>
  </r>
  <r>
    <x v="6"/>
    <s v="040145"/>
    <s v="RENOVACION DE CARNES DE MANIPULADOR DE PRODUCTOS FITOSANITARIOS"/>
    <s v="3 MESES"/>
    <x v="0"/>
    <x v="6"/>
    <x v="40"/>
    <s v="SJ2M"/>
    <x v="1384"/>
    <s v="S"/>
    <s v="N"/>
    <s v="S"/>
    <s v="N"/>
  </r>
  <r>
    <x v="6"/>
    <s v="040157"/>
    <s v="CERTIFICACION Y CONTROL DE LOS VINOS VARIETALES"/>
    <s v="3 MESES."/>
    <x v="0"/>
    <x v="6"/>
    <x v="41"/>
    <s v="SJBX"/>
    <x v="1385"/>
    <s v="S"/>
    <s v="N"/>
    <s v="S"/>
    <s v="N"/>
  </r>
  <r>
    <x v="6"/>
    <s v="040158"/>
    <s v="CERTIFICACION DE LOS VINOS CON DENOMINACION DE ORIGEN PROTEGIDA"/>
    <s v="1 MES"/>
    <x v="1"/>
    <x v="6"/>
    <x v="41"/>
    <s v="SJHB"/>
    <x v="1386"/>
    <s v="S"/>
    <s v="N"/>
    <s v="S"/>
    <s v="N"/>
  </r>
  <r>
    <x v="6"/>
    <s v="040159"/>
    <s v="RECONOCIMIENTO DE MARCAS COLECTIVAS Y DE GARANTIAS COMO FIGURAS DE CALIDAD AGROALIMENTARIA DE CASTILLA-LA MANCHA."/>
    <s v="NO SUJETO A PLAZO"/>
    <x v="0"/>
    <x v="6"/>
    <x v="41"/>
    <s v="SJHT"/>
    <x v="1387"/>
    <s v="N"/>
    <s v="N"/>
    <s v="S"/>
    <s v="N"/>
  </r>
  <r>
    <x v="6"/>
    <s v="040160"/>
    <s v="CERTIFICACION Y CONTROL DE LOS VINOS CON IGP."/>
    <s v="3 MESES"/>
    <x v="0"/>
    <x v="6"/>
    <x v="41"/>
    <s v="DJI0"/>
    <x v="1388"/>
    <s v="S"/>
    <s v="N"/>
    <s v="S"/>
    <s v="N"/>
  </r>
  <r>
    <x v="6"/>
    <s v="040164"/>
    <s v="CERTIFICACION DE SEMILLAS"/>
    <s v="3 MESES"/>
    <x v="0"/>
    <x v="6"/>
    <x v="40"/>
    <s v="SJGI"/>
    <x v="1389"/>
    <s v="S"/>
    <s v="N"/>
    <s v="S"/>
    <s v="N"/>
  </r>
  <r>
    <x v="6"/>
    <s v="040165"/>
    <s v="CERTIFICACION DE PLANTAS DE VIVERO"/>
    <s v="3 MESES"/>
    <x v="0"/>
    <x v="6"/>
    <x v="40"/>
    <s v="SJGJ"/>
    <x v="1390"/>
    <s v="S"/>
    <s v="N"/>
    <s v="S"/>
    <s v="N"/>
  </r>
  <r>
    <x v="6"/>
    <s v="040166"/>
    <s v="CERTIFICADO PATRON DE MATERIALES FORESTALES DE REPRODUCCION DE ESPECIES REGULADAS"/>
    <s v="3 MESES"/>
    <x v="0"/>
    <x v="6"/>
    <x v="40"/>
    <s v="SJGK"/>
    <x v="1391"/>
    <s v="S"/>
    <s v="N"/>
    <s v="S"/>
    <s v="N"/>
  </r>
  <r>
    <x v="6"/>
    <s v="040168"/>
    <s v="SOLICITUD DE INFORMACIÓN CARTOGRÁFICA"/>
    <s v="1 O 2 MESES"/>
    <x v="0"/>
    <x v="6"/>
    <x v="42"/>
    <s v="SJLP"/>
    <x v="1392"/>
    <s v="S"/>
    <s v="N"/>
    <s v="S"/>
    <s v="N"/>
  </r>
  <r>
    <x v="6"/>
    <s v="040231"/>
    <s v="RECONOCIMIENTO OFICIAL DE LAS ORGANIZACIONES O ASOCIACIONES DE CRIADORES DE PERROS DE RAZA PURA"/>
    <s v="6 MESES"/>
    <x v="0"/>
    <x v="6"/>
    <x v="40"/>
    <s v="SJWW"/>
    <x v="1393"/>
    <s v="S"/>
    <s v="N"/>
    <s v="S"/>
    <s v="N"/>
  </r>
  <r>
    <x v="6"/>
    <s v="040252"/>
    <s v="SOLICITUD DE CONVALIDACION DE CARNE DE MANIPULADOR DE PRODUCTOS FITOSANITARIOS."/>
    <s v="3 MESES."/>
    <x v="0"/>
    <x v="6"/>
    <x v="40"/>
    <s v="SK3P"/>
    <x v="1394"/>
    <s v="S"/>
    <s v="N"/>
    <s v="S"/>
    <s v="N"/>
  </r>
  <r>
    <x v="6"/>
    <s v="040258"/>
    <s v="CONCESION DE AYUDAS A LOS PLANES DE REESTRUCTURACION Y RECONVERSION DE VIÑEDO DE CASTILLA LA MANCHA"/>
    <s v=""/>
    <x v="2"/>
    <x v="6"/>
    <x v="40"/>
    <s v="CK5Q"/>
    <x v="1395"/>
    <s v="N"/>
    <s v="N"/>
    <s v="S"/>
    <s v="N"/>
  </r>
  <r>
    <x v="6"/>
    <s v="040281"/>
    <s v="CALIFICACION SANITARIA DE TEMBLADERA CLASICA."/>
    <s v="3 MESES"/>
    <x v="1"/>
    <x v="6"/>
    <x v="40"/>
    <s v="SKC7"/>
    <x v="1396"/>
    <s v="S"/>
    <s v="N"/>
    <s v="S"/>
    <s v="N"/>
  </r>
  <r>
    <x v="6"/>
    <s v="040290"/>
    <s v="AUTORIZACION COMO ENTIDAD DE FORMACION PARA LA IMPARTICION DE CURSOS DE BIENESTAR ANIMAL, BIOSEGURIDAD, HIGIENE Y SANIDAD ANIMAL."/>
    <s v="3 MESES."/>
    <x v="0"/>
    <x v="6"/>
    <x v="40"/>
    <s v="SKFF"/>
    <x v="1397"/>
    <s v="N"/>
    <s v="N"/>
    <s v="S"/>
    <s v="N"/>
  </r>
  <r>
    <x v="6"/>
    <s v="040298"/>
    <s v="SOLICITUD DE CERTIFICADO SANITARIO PARA  INTERCAMBIOS INTRACOMUNITARIOS"/>
    <s v=""/>
    <x v="2"/>
    <x v="6"/>
    <x v="40"/>
    <s v="SKHW"/>
    <x v="1398"/>
    <s v="S"/>
    <s v="N"/>
    <s v="S"/>
    <s v="N"/>
  </r>
  <r>
    <x v="6"/>
    <s v="040312"/>
    <s v="DECLARACION VETERINARIA RESPONSABLE (DVR) PARA LA EXPORTACION DE PRODUCTOS DE ORIGEN ANIMAL DESTINADOS AL CONSUMO HUMANO"/>
    <s v=""/>
    <x v="2"/>
    <x v="6"/>
    <x v="40"/>
    <s v="SKPL"/>
    <x v="1399"/>
    <s v="S"/>
    <s v="N"/>
    <s v="S"/>
    <s v="N"/>
  </r>
  <r>
    <x v="6"/>
    <s v="040348"/>
    <s v="INFORMES FITOSANITARIOS"/>
    <s v=""/>
    <x v="2"/>
    <x v="6"/>
    <x v="40"/>
    <s v="BLC0"/>
    <x v="1400"/>
    <s v="S"/>
    <s v="N"/>
    <s v="S"/>
    <s v="N"/>
  </r>
  <r>
    <x v="6"/>
    <s v="040355"/>
    <s v="DECLARACION RESPONSABLE INICIO DE ACTIVIDAD, BAJA Y MODIFICACION EN EL REGISTRO DE VENTA DIRECTA DE PRODUCTOS LIGADOS A LA ACTIVIDAD AGRARIA (P. PRIMARIOS) Y TRANSFORMADOS CON RGSEAA"/>
    <s v=""/>
    <x v="2"/>
    <x v="6"/>
    <x v="41"/>
    <s v="DLG6"/>
    <x v="1401"/>
    <s v="S"/>
    <s v="N"/>
    <s v="S"/>
    <s v="N"/>
  </r>
  <r>
    <x v="6"/>
    <s v="040365"/>
    <s v="CERTIFICADO DE EXCLUSION DE FINCAS EN CONCENTRACION PARCELARIA Y/O ZONA REGABLE"/>
    <s v="3 MESES"/>
    <x v="0"/>
    <x v="6"/>
    <x v="39"/>
    <s v="SLPF"/>
    <x v="1402"/>
    <s v="S"/>
    <s v="N"/>
    <s v="S"/>
    <s v="N"/>
  </r>
  <r>
    <x v="6"/>
    <s v="040368"/>
    <s v="CERTIFICADO DE RENTA AGRARIA PARA LA OBTENCION DE FINANCIACION PREFERENTE"/>
    <s v="3 MESES"/>
    <x v="1"/>
    <x v="6"/>
    <x v="40"/>
    <s v="SLQ8"/>
    <x v="1403"/>
    <s v="S"/>
    <s v="N"/>
    <s v="S"/>
    <s v="N"/>
  </r>
  <r>
    <x v="6"/>
    <s v="040372"/>
    <s v="EXPEDICION DE CERTIFICADO DE CAPACITACION DEL PERSONAL QUE UTILIZA ANIMALES CON FINES EXPERIMENTALES."/>
    <s v="3 MESES"/>
    <x v="0"/>
    <x v="6"/>
    <x v="44"/>
    <s v="SLRJ"/>
    <x v="1404"/>
    <s v="S"/>
    <s v="N"/>
    <s v="S"/>
    <s v="N"/>
  </r>
  <r>
    <x v="6"/>
    <s v="040381"/>
    <s v="SOLICITUD DE CERTIFICADOS/DOCUMENTACION DEL REGISTRO DE SOCIEDADES AGRARIAS DE TRANSFORMACION (S.A.T.)"/>
    <s v="6 MESES"/>
    <x v="0"/>
    <x v="6"/>
    <x v="44"/>
    <s v="SLYY"/>
    <x v="1405"/>
    <s v="S"/>
    <s v="N"/>
    <s v="S"/>
    <s v="N"/>
  </r>
  <r>
    <x v="6"/>
    <s v="045337"/>
    <s v="SOLICITUD DE RECONOCIMIENTO E INSCRIPCION EN EL REGISTRO REGIONAL DE AGRUPACION DE DEFENSA SANITARIA GANADERA"/>
    <s v="2 MESES"/>
    <x v="0"/>
    <x v="6"/>
    <x v="40"/>
    <s v="SG48"/>
    <x v="1406"/>
    <s v="S"/>
    <s v="N"/>
    <s v="S"/>
    <s v="N"/>
  </r>
  <r>
    <x v="6"/>
    <s v="045338"/>
    <s v="SOLICITUD DE FUSION DE AGRUPACIONES DE DEFENSA SANITARIA GANADERA"/>
    <s v="2 MESES"/>
    <x v="0"/>
    <x v="6"/>
    <x v="40"/>
    <s v="SL6O"/>
    <x v="1407"/>
    <s v="N"/>
    <s v="N"/>
    <s v="S"/>
    <s v="N"/>
  </r>
  <r>
    <x v="6"/>
    <s v="045339"/>
    <s v="SOLICITUD DE RECONOCIMIENTO Y REGISTRO DE LAS AGRUPACIONES DE SANIDAD VEGETAL EN CASTILLA-LA MANCHA"/>
    <s v="3 MESES"/>
    <x v="0"/>
    <x v="6"/>
    <x v="40"/>
    <s v="SIFY"/>
    <x v="1408"/>
    <s v="N"/>
    <s v="N"/>
    <s v="S"/>
    <s v="N"/>
  </r>
  <r>
    <x v="6"/>
    <s v="045340"/>
    <s v="TRANSFERENCIA DE RECONOCIMIENTO DE LAS AGRUPACIONES DE SANIDAD VEGETAL EN CASTILLA-LA MANCHA"/>
    <s v="3 MESES"/>
    <x v="0"/>
    <x v="6"/>
    <x v="40"/>
    <s v="SKFT"/>
    <x v="1409"/>
    <s v="N"/>
    <s v="N"/>
    <s v="S"/>
    <s v="N"/>
  </r>
  <r>
    <x v="6"/>
    <s v="045341"/>
    <s v="MODIFICACION DE RECONOCIMIENTO DE LAS AGRUPACIONES DE SANIDAD VEGETAL EN CASTILLA-LA MANCHA"/>
    <s v="3 MESES"/>
    <x v="0"/>
    <x v="6"/>
    <x v="40"/>
    <s v="MKFS"/>
    <x v="1410"/>
    <s v="N"/>
    <s v="N"/>
    <s v="S"/>
    <s v="N"/>
  </r>
  <r>
    <x v="6"/>
    <s v="045342"/>
    <s v="DECLARACIONES DE COSECHA DE PARCELAS ILEGALES."/>
    <s v=""/>
    <x v="2"/>
    <x v="6"/>
    <x v="40"/>
    <s v="DK2I"/>
    <x v="1411"/>
    <s v="N"/>
    <s v="N"/>
    <s v="S"/>
    <s v="N"/>
  </r>
  <r>
    <x v="6"/>
    <s v="045343"/>
    <s v="DECLARACION DE NO VENDIMINA"/>
    <s v=""/>
    <x v="2"/>
    <x v="6"/>
    <x v="40"/>
    <s v="DK2K"/>
    <x v="1412"/>
    <s v="S"/>
    <s v="N"/>
    <s v="S"/>
    <s v="N"/>
  </r>
  <r>
    <x v="6"/>
    <s v="045344"/>
    <s v="CERTIFICADO DE DESTILACION"/>
    <s v=""/>
    <x v="2"/>
    <x v="6"/>
    <x v="40"/>
    <s v="CK2J"/>
    <x v="1413"/>
    <s v="S"/>
    <s v="N"/>
    <s v="S"/>
    <s v="N"/>
  </r>
  <r>
    <x v="6"/>
    <s v="045345"/>
    <s v="DECLARACION DE COSECHA DE UVA Y DECLARACION DE COSECHA POR PARCELA."/>
    <s v=""/>
    <x v="2"/>
    <x v="6"/>
    <x v="40"/>
    <s v="DJIK"/>
    <x v="1414"/>
    <s v="N"/>
    <s v="N"/>
    <s v="S"/>
    <s v="N"/>
  </r>
  <r>
    <x v="6"/>
    <s v="045346"/>
    <s v="RELACION DE PROVEEDORES Y JUSTIFICANTE DE COMPRA-VENTA DE PRODUCTOS VITIVINICOLAS"/>
    <s v=""/>
    <x v="2"/>
    <x v="6"/>
    <x v="41"/>
    <s v="DJIN"/>
    <x v="1415"/>
    <s v="N"/>
    <s v="N"/>
    <s v="S"/>
    <s v="N"/>
  </r>
  <r>
    <x v="6"/>
    <s v="045439"/>
    <s v="CALIFICACION SANITARIA DE LAS EXPLOTACIONES DE GANADO BOVINO, OVINO, CAPRINO Y PORCINO EN LA COMUNIDAD AUTONOMA DE CASTILLA-LA MANCHA."/>
    <s v="6 MESES"/>
    <x v="1"/>
    <x v="6"/>
    <x v="40"/>
    <s v="SJWL"/>
    <x v="1416"/>
    <s v="S"/>
    <s v="N"/>
    <s v="N"/>
    <s v="N"/>
  </r>
  <r>
    <x v="6"/>
    <s v="045440"/>
    <s v="CALIFICACION SANITARIA FRENTE A LA BRUCELOSIS BOVINA EN EXPLOTACIONES DE ENGORDE EN LA COMUNIDAD AUTONOMA DE CASTILLA-LA MANCHA"/>
    <s v="6 MESES"/>
    <x v="1"/>
    <x v="6"/>
    <x v="40"/>
    <s v="S953"/>
    <x v="1417"/>
    <s v="S"/>
    <s v="N"/>
    <s v="S"/>
    <s v="N"/>
  </r>
  <r>
    <x v="6"/>
    <s v="045441"/>
    <s v="CALIFICACION SANITARIA FRENTE A TUBERCULOSIS BOVINA EN EXPLOTACIONES DE ENGORDE EN LA COMUNIDAD AUTONOMA DE CASTILLA-LA MANCHA."/>
    <s v="6 MESES"/>
    <x v="1"/>
    <x v="6"/>
    <x v="40"/>
    <s v="SK1N"/>
    <x v="1418"/>
    <s v="S"/>
    <s v="N"/>
    <s v="S"/>
    <s v="N"/>
  </r>
  <r>
    <x v="6"/>
    <s v="045442"/>
    <s v="CALIFICACION SANITARIA FRENTE A BRUCELOSIS OVINA/CAPRINA EN EXPLOTACIONES DE ENGORDE EN LA COMUNIDAD AUTONOMA DE CASTILLA-LA MANCHA."/>
    <s v="6 MESES"/>
    <x v="1"/>
    <x v="6"/>
    <x v="40"/>
    <s v="SK22"/>
    <x v="1419"/>
    <s v="S"/>
    <s v="N"/>
    <s v="S"/>
    <s v="N"/>
  </r>
  <r>
    <x v="6"/>
    <s v="045511"/>
    <s v="DOCUMENTO DE ACOMPAÑAMIENTO PRODUCTOS VITIVINICOLAS."/>
    <s v=""/>
    <x v="2"/>
    <x v="6"/>
    <x v="41"/>
    <s v="MLJM"/>
    <x v="1420"/>
    <s v="N"/>
    <s v="N"/>
    <s v="S"/>
    <s v="N"/>
  </r>
  <r>
    <x v="6"/>
    <s v="045512"/>
    <s v="SOLICITUD ALTA DE LA TASA EN GELIBO WEB"/>
    <s v=""/>
    <x v="2"/>
    <x v="6"/>
    <x v="41"/>
    <s v="SK2H"/>
    <x v="1421"/>
    <s v="S"/>
    <s v="N"/>
    <s v="S"/>
    <s v="N"/>
  </r>
  <r>
    <x v="6"/>
    <s v="045517"/>
    <s v="INFORME PREVIO DE SUBVENCIONALIDAD LEADER 2014/2020"/>
    <s v="2 MESES"/>
    <x v="0"/>
    <x v="6"/>
    <x v="39"/>
    <s v="SJ5K"/>
    <x v="1422"/>
    <s v="N"/>
    <s v="N"/>
    <s v="S"/>
    <s v="N"/>
  </r>
  <r>
    <x v="6"/>
    <s v="045567"/>
    <s v="DECLARACION DE ACCIONES"/>
    <s v=""/>
    <x v="2"/>
    <x v="6"/>
    <x v="40"/>
    <s v="DK5P"/>
    <x v="1423"/>
    <s v="N"/>
    <s v="N"/>
    <s v="S"/>
    <s v="N"/>
  </r>
  <r>
    <x v="6"/>
    <s v="045568"/>
    <s v="DECLARACION DE PLANTACION"/>
    <s v=""/>
    <x v="2"/>
    <x v="6"/>
    <x v="40"/>
    <s v="DK5R"/>
    <x v="1424"/>
    <s v="N"/>
    <s v="N"/>
    <s v="S"/>
    <s v="N"/>
  </r>
  <r>
    <x v="6"/>
    <s v="120046"/>
    <s v="SOLICITUD DE ANALISIS EN EL LABORATORIO REGIONAL AGROALIMENTARIO Y AMBIENTAL DE CASTILLA-LA MANCHA."/>
    <s v=""/>
    <x v="2"/>
    <x v="6"/>
    <x v="41"/>
    <s v="SK8J"/>
    <x v="1425"/>
    <s v="S"/>
    <s v="N"/>
    <s v="S"/>
    <s v="N"/>
  </r>
  <r>
    <x v="6"/>
    <s v="130006"/>
    <s v="PROCEDIMIENTO RESPONSABILIDAD PATRIMONIAL"/>
    <s v="SEIS MESES DESDE LA INICIACIÓN DEL PROCEDIMIENTO."/>
    <x v="1"/>
    <x v="6"/>
    <x v="42"/>
    <s v="SLTI"/>
    <x v="1426"/>
    <s v="S"/>
    <s v="N"/>
    <s v="S"/>
    <s v="N"/>
  </r>
  <r>
    <x v="6"/>
    <s v="150028"/>
    <s v="SELECCION DE ENTIDADES COLABORADORAS PARA LA PRESENTACION DE SOLICITUDES DE POTENCIAL DE PRODUCCION VITICOLA EN CASTILLA - LA MANCHA."/>
    <s v="15 DÍAS HÁBILES."/>
    <x v="0"/>
    <x v="6"/>
    <x v="40"/>
    <s v="SLFH"/>
    <x v="1427"/>
    <s v="N"/>
    <s v="N"/>
    <s v="S"/>
    <s v="N"/>
  </r>
  <r>
    <x v="6"/>
    <s v="150029"/>
    <s v="RECONOCIMIENTO DE ENTIDADES AGRARIAS DE COLABORACION EN EL AMBITO DE LA SOLICITUD UNICA Y EN EL AMBITO DE AYUDAS A LA CREACION E INVERSION EN EXPLOTACIONES AGRARIAS"/>
    <s v="15 DÍAS"/>
    <x v="2"/>
    <x v="6"/>
    <x v="42"/>
    <s v="SLHQ"/>
    <x v="1428"/>
    <s v="N"/>
    <s v="N"/>
    <s v="S"/>
    <s v="N"/>
  </r>
  <r>
    <x v="6"/>
    <s v="180094"/>
    <s v="PROVISION, POR EL PROCEDIMIENTO DE LIBRE DESIGNACION DE PUESTOS DE TRABAJO VACANTES EN LA ADMINISTRACION DE LA JUNTA DE COMUNIDADES DE CASTILLA-LA MANCHA."/>
    <s v="2 MESES."/>
    <x v="1"/>
    <x v="6"/>
    <x v="42"/>
    <s v="SJXH"/>
    <x v="1429"/>
    <s v="N"/>
    <s v="N"/>
    <s v="S"/>
    <s v="N"/>
  </r>
  <r>
    <x v="6"/>
    <s v="180243"/>
    <s v="PROVISION, MEDIANTE CONCURSO SINGULARIZADO DE MERITOS (CSM AGADR 2/2022), DE PUESTOS DE TRABAJO VACANTES EN LA ADMINISTRACION DE LA JUNTA DE COMUNIDADES DE CASTILLA-LA MANCHA"/>
    <s v="4 MESES"/>
    <x v="1"/>
    <x v="6"/>
    <x v="42"/>
    <s v="SLXF"/>
    <x v="1430"/>
    <s v="N"/>
    <s v="N"/>
    <s v="S"/>
    <s v="N"/>
  </r>
  <r>
    <x v="6"/>
    <s v="210006"/>
    <s v="SELECCION DE LAS OPERADORAS ENCARGADAS DEL SERVICIO DE RETIRADA Y DESTRUCCION DE LOS ANIMALES MUERTOS EN CASTILLA-LA MANCHA."/>
    <s v="NO HAY PLAZO MAXIMO."/>
    <x v="2"/>
    <x v="6"/>
    <x v="40"/>
    <s v="SKQ7"/>
    <x v="1431"/>
    <s v="S"/>
    <s v="N"/>
    <s v="S"/>
    <s v="N"/>
  </r>
  <r>
    <x v="7"/>
    <s v="110034"/>
    <s v="CONVOCATORIA CONTRATACION PERSONAL LABORAL EN EL MARCO DE PROYECTOS ESPECIFICOS DE I+D+I."/>
    <s v="3 MESES."/>
    <x v="1"/>
    <x v="7"/>
    <x v="46"/>
    <s v="SKNN"/>
    <x v="1432"/>
    <s v="N"/>
    <s v="N"/>
    <s v="S"/>
    <s v="N"/>
  </r>
  <r>
    <x v="7"/>
    <s v="180156"/>
    <s v="PROVISION, POR EL PROCEDIMIENTO DE LIBRE DESIGNACION DE PUESTOS DE TRABAJO VACANTES EN LA ADMINISTRACION DE LA JUNTA DE COMUNIDADES DE CASTILLA-LA MANCHA."/>
    <s v="2 MESES."/>
    <x v="1"/>
    <x v="7"/>
    <x v="46"/>
    <s v="SKLE"/>
    <x v="1433"/>
    <s v="N"/>
    <s v="N"/>
    <s v="S"/>
    <s v="N"/>
  </r>
  <r>
    <x v="7"/>
    <s v="180184"/>
    <s v="PROVISION, MEDIANTE CONCURSO SINGULARIZADO DE MERITOS (CSM AAD 1/2022), DE TRES PUESTOS DE TRABAJO VACANTE EN LA ADMINISTRACION DE LA JUNTA DE COMUNIDADES DE CASTILLA-LA MANCHA"/>
    <s v="4 MESES"/>
    <x v="1"/>
    <x v="7"/>
    <x v="46"/>
    <s v="SLDR"/>
    <x v="1434"/>
    <s v="N"/>
    <s v="N"/>
    <s v="S"/>
    <s v="N"/>
  </r>
  <r>
    <x v="7"/>
    <s v="190011"/>
    <s v="SUMINISTRO VARETAS PISTACHERO."/>
    <s v="6 MESES"/>
    <x v="1"/>
    <x v="7"/>
    <x v="46"/>
    <s v="SKRJ"/>
    <x v="1435"/>
    <s v="S"/>
    <s v="N"/>
    <s v="S"/>
    <s v="N"/>
  </r>
  <r>
    <x v="8"/>
    <s v="010168"/>
    <s v="REGULACION DE USO DE LOS ALBERGUES Y CAMPAMENTOS PERTENECIENTES A LA RED DE ALBERGUES JUVENILES DE CASTILLA-LA MANCHA"/>
    <s v="10 DÍAS"/>
    <x v="1"/>
    <x v="8"/>
    <x v="47"/>
    <s v="SIDD"/>
    <x v="1436"/>
    <s v="N"/>
    <s v="N"/>
    <s v="S"/>
    <s v="N"/>
  </r>
  <r>
    <x v="8"/>
    <s v="010169"/>
    <s v="AUTORIZACION DE APERTURA Y FUNCIONAMIENTO DE ESCUELAS DE MUSICA Y DANZA E INSCRIPCION EN EL REGISTRO DE CENTROS DOCENTES DE CASTILLA-LA MANCHA"/>
    <s v="4 MESES"/>
    <x v="0"/>
    <x v="8"/>
    <x v="48"/>
    <s v="SIIU"/>
    <x v="1437"/>
    <s v="S"/>
    <s v="N"/>
    <s v="S"/>
    <s v="S"/>
  </r>
  <r>
    <x v="8"/>
    <s v="010170"/>
    <s v="AUTORIZACION DE APERTURA Y FUNCIONAMIENTO DE LOS CENTROS PRIVADOS QUE IMPARTAN LAS ENSEÑANZAS DE TECNICOS DEPORTIVOS EN LA COMUNIDAD AUTONOMA DE CASTILLA-LA MANCHA"/>
    <s v="3 MESES"/>
    <x v="1"/>
    <x v="8"/>
    <x v="49"/>
    <s v="SIO7"/>
    <x v="1438"/>
    <s v="S"/>
    <s v="N"/>
    <s v="S"/>
    <s v="N"/>
  </r>
  <r>
    <x v="8"/>
    <s v="010171"/>
    <s v="AUTORIZACION DE APERTURA Y FUNCIONAMIENTO DE CENTROS DOCENTES E INSCRIPCION EN EL REGISTRO DE CENTROS DOCENTES DE CASTILLA-LA MANCHA (VUDS)"/>
    <s v="3 MESES"/>
    <x v="1"/>
    <x v="8"/>
    <x v="49"/>
    <s v="SI8B"/>
    <x v="1439"/>
    <s v="S"/>
    <s v="N"/>
    <s v="S"/>
    <s v="S"/>
  </r>
  <r>
    <x v="8"/>
    <s v="010177"/>
    <s v="PROCEDIMIENTO PARA PERMITIR LA SIMULTANEIDAD DE ESTUDIOS NO UNIVERSITARIOS EN CASTILLA-LA MANCHA"/>
    <s v="PLAZO MÁXIMO DE DIEZ DÍAS HÁBILES DESDE LA ENTREGA DE DICHA SOLICITUD."/>
    <x v="2"/>
    <x v="8"/>
    <x v="49"/>
    <s v="SJBJ"/>
    <x v="1440"/>
    <s v="S"/>
    <s v="N"/>
    <s v="S"/>
    <s v="N"/>
  </r>
  <r>
    <x v="8"/>
    <s v="010371"/>
    <s v="APERTURA Y FUNCIONAMIENTO DEL SERVICIO DE COMEDOR ESCOLAR EN  CENTROS PUBLICOS DE EDUCACION INFANTIL, PRIMARIA, EDUCACION ESPECIAL Y NO UNIVERSITARIOS CON SERVICIO DE RESIDENCIA."/>
    <s v="1 MES A CONTAR DESDE EL DÍA SIGUIENTE A AQUEL EN QUE TUVO ENTRADA LA DOCUMENTACIÓN COMPLETA EN LA DIRECCIÓN PROVINCIAL QUE HA DE RESOLVER."/>
    <x v="2"/>
    <x v="8"/>
    <x v="50"/>
    <s v="SIPT"/>
    <x v="1441"/>
    <s v="S"/>
    <s v="N"/>
    <s v="S"/>
    <s v="N"/>
  </r>
  <r>
    <x v="8"/>
    <s v="010385"/>
    <s v="RECONOCIMIENTO OFICIAL DE ALBERGUES JUVENILES"/>
    <s v="3 MESES"/>
    <x v="0"/>
    <x v="8"/>
    <x v="47"/>
    <s v="SJT6"/>
    <x v="1442"/>
    <s v="S"/>
    <s v="N"/>
    <s v="S"/>
    <s v="N"/>
  </r>
  <r>
    <x v="8"/>
    <s v="010389"/>
    <s v="AUTORIZACION DE INTERVENCION EN BIENES INMUEBLES DEL PATRIMONIO CULTURAL DE CASTILLA - LA MANCHA"/>
    <s v="3 MESES."/>
    <x v="1"/>
    <x v="8"/>
    <x v="51"/>
    <s v="SJQW"/>
    <x v="1443"/>
    <s v="S"/>
    <s v="N"/>
    <s v="S"/>
    <s v="N"/>
  </r>
  <r>
    <x v="8"/>
    <s v="010467"/>
    <s v="AUTORIZACION DE LOS PROYECTOS DE FORMACION PROFESIONAL DUAL."/>
    <s v="3 MESES."/>
    <x v="1"/>
    <x v="8"/>
    <x v="52"/>
    <s v="SK1Q"/>
    <x v="1444"/>
    <s v="N"/>
    <s v="N"/>
    <s v="S"/>
    <s v="N"/>
  </r>
  <r>
    <x v="8"/>
    <s v="010470"/>
    <s v="PROCEDIMIENTO DE INCORPORACION, MODIFICACION, ABANDONO Y CONTINUIDAD DE PROYECTOS BILINGUES Y PLURILINGUES EN CENTROS EDUCATIVOS NO UNIVERSITARIOS SOSTENIDOS CON FONDOS PUBLICOS DE CLM"/>
    <s v="3 MESES"/>
    <x v="1"/>
    <x v="8"/>
    <x v="48"/>
    <s v="SIV4"/>
    <x v="1445"/>
    <s v="N"/>
    <s v="N"/>
    <s v="S"/>
    <s v="N"/>
  </r>
  <r>
    <x v="8"/>
    <s v="010471"/>
    <s v="SOLICITUD PROGRAMA BACHIBAC"/>
    <s v="2 MESES"/>
    <x v="1"/>
    <x v="8"/>
    <x v="48"/>
    <s v="SK2U"/>
    <x v="1446"/>
    <s v="N"/>
    <s v="N"/>
    <s v="S"/>
    <s v="N"/>
  </r>
  <r>
    <x v="8"/>
    <s v="010541"/>
    <s v="INCORPORACION A LA RED DE CENTROS COMUNIDADES DE APRENDIZAJE, RECONOCIMIENTO Y CONTINUIDAD."/>
    <s v="4 MESES."/>
    <x v="1"/>
    <x v="8"/>
    <x v="48"/>
    <s v="SKMX"/>
    <x v="1447"/>
    <s v="N"/>
    <s v="N"/>
    <s v="S"/>
    <s v="N"/>
  </r>
  <r>
    <x v="8"/>
    <s v="010543"/>
    <s v="SOLICITUD DE IMPLANTACION DE UNA SEGUNDA LENGUA EXTRANJERA EN LOS CENTROS DE EDUCACION INFANTIL Y PRIMARIA SOSTENIDOS CON FONDOS PUBLICOS DE CASTILLA-LA MANCHA."/>
    <s v="ANTES DEL INICIO DEL PROCESO ORDINARIO DE ADMISIÓN DEL ALUMNADO DEL CURSO ESCOLAR EN EL QUE SE PRETENDE IMPLANTAR UNA SEGUNDA LENGUA EXTRANJERA."/>
    <x v="1"/>
    <x v="8"/>
    <x v="48"/>
    <s v="SKP1"/>
    <x v="1448"/>
    <s v="N"/>
    <s v="N"/>
    <s v="S"/>
    <s v="N"/>
  </r>
  <r>
    <x v="8"/>
    <s v="010651"/>
    <s v="EXPEDICION DE LOS TITULOS ACADEMICOS Y DE LOS SUPLEMENTOS EUROPEOS AL TITULO DE LAS ENSEÑANZAS ESTABLECIDAS EN LA LOE."/>
    <s v="6 MESES"/>
    <x v="1"/>
    <x v="8"/>
    <x v="49"/>
    <s v="SLLG"/>
    <x v="1449"/>
    <s v="S"/>
    <s v="N"/>
    <s v="S"/>
    <s v="N"/>
  </r>
  <r>
    <x v="8"/>
    <s v="016131"/>
    <s v="PROCEDIMIENTO DE SOLICITUD DE PARTICIPACION EN EL DESARROLLO DEL PLAN DE IGUALDAD Y PREVENCION DE LA VIOLENCIA DE GENERO. CURSO 2021/22."/>
    <s v="1 MES"/>
    <x v="1"/>
    <x v="8"/>
    <x v="49"/>
    <s v="SLOM"/>
    <x v="1450"/>
    <s v="N"/>
    <s v="N"/>
    <s v="S"/>
    <s v="N"/>
  </r>
  <r>
    <x v="8"/>
    <s v="016132"/>
    <s v="JUSTIFICACION DEL CENTRO EDUCATIVO DEL DESARROLLO DEL PLAN DE IGUALDAD Y PREVENCION DE LA VIOLENCIA DE GENERO."/>
    <s v="1 MES"/>
    <x v="1"/>
    <x v="8"/>
    <x v="49"/>
    <s v="PLON"/>
    <x v="1451"/>
    <s v="N"/>
    <s v="N"/>
    <s v="S"/>
    <s v="N"/>
  </r>
  <r>
    <x v="8"/>
    <s v="020113"/>
    <s v="REGISTRO CENTRAL DE ASOCIACIONES DE ALUMNOS Y ALUMNAS DE CENTROS DOCENTES NO UNIVERSITARIOS DE CASTILLA-LA MANCHA"/>
    <s v="2 MESES"/>
    <x v="0"/>
    <x v="8"/>
    <x v="49"/>
    <s v="SJ1A"/>
    <x v="1452"/>
    <s v="S"/>
    <s v="N"/>
    <s v="S"/>
    <s v="N"/>
  </r>
  <r>
    <x v="8"/>
    <s v="020114"/>
    <s v="REGISTRO CENTRAL DE ASOCIACIONES DE PADRES Y MADRES DE ALUMNOS DE CENTROS DOCENTES NO UNIVERSITARIOS DE CASTILLA-LA MANCHA"/>
    <s v="2 MESES"/>
    <x v="0"/>
    <x v="8"/>
    <x v="49"/>
    <s v="SJ19"/>
    <x v="1453"/>
    <s v="S"/>
    <s v="N"/>
    <s v="S"/>
    <s v="N"/>
  </r>
  <r>
    <x v="8"/>
    <s v="020115"/>
    <s v="REGISTRO DE ENTIDADES DEPORTIVAS"/>
    <s v="3 MESES"/>
    <x v="0"/>
    <x v="8"/>
    <x v="47"/>
    <s v="SIE3"/>
    <x v="1454"/>
    <s v="S"/>
    <s v="N"/>
    <s v="S"/>
    <s v="N"/>
  </r>
  <r>
    <x v="8"/>
    <s v="020116"/>
    <s v="REGISTRO DE MATERIALES CURRICULARES"/>
    <s v="CONVOCATORIA"/>
    <x v="0"/>
    <x v="8"/>
    <x v="50"/>
    <s v="SIUW"/>
    <x v="1455"/>
    <s v="S"/>
    <s v="N"/>
    <s v="S"/>
    <s v="N"/>
  </r>
  <r>
    <x v="8"/>
    <s v="020119"/>
    <s v="PRESENTACION DE PROPUESTAS DE ESPECTACULOS PARA LA FERIA DE ARTES ESCENICAS Y MUSICA DE CASTILLA-LA MANCHA."/>
    <s v="3 MESES"/>
    <x v="1"/>
    <x v="8"/>
    <x v="51"/>
    <s v="SJ36"/>
    <x v="1456"/>
    <s v="N"/>
    <s v="N"/>
    <s v="S"/>
    <s v="N"/>
  </r>
  <r>
    <x v="8"/>
    <s v="020120"/>
    <s v="CONVOCATORIA PARA LA PRESENTACION DE PROPUESTAS DE ESPECTACULOS A LA RED DE ARTES ESCENICAS Y MUSICALES DE CASTILLA-LA MANCHA"/>
    <s v="3 MESES"/>
    <x v="1"/>
    <x v="8"/>
    <x v="51"/>
    <s v="SJ0A"/>
    <x v="1457"/>
    <s v="N"/>
    <s v="N"/>
    <s v="S"/>
    <s v="N"/>
  </r>
  <r>
    <x v="8"/>
    <s v="020192"/>
    <s v="REGISTRO DE LA PROPIEDAD INTELECTUAL"/>
    <s v="0"/>
    <x v="2"/>
    <x v="8"/>
    <x v="51"/>
    <s v="SIAQ"/>
    <x v="1458"/>
    <s v="N"/>
    <s v="N"/>
    <s v="N"/>
    <s v="N"/>
  </r>
  <r>
    <x v="8"/>
    <s v="020209"/>
    <s v="DEPOSITO LEGAL"/>
    <s v="DOS MESES"/>
    <x v="0"/>
    <x v="8"/>
    <x v="51"/>
    <s v="SJWP"/>
    <x v="1459"/>
    <s v="S"/>
    <s v="N"/>
    <s v="S"/>
    <s v="N"/>
  </r>
  <r>
    <x v="8"/>
    <s v="020219"/>
    <s v="CONVOCATORIA PARA LA ADHESION DE LAS ENTIDADES PROGRAMADORAS A LA RED DE ARTES ESCENICAS Y MUSICALES DE CASTILLA-LA MANCHA."/>
    <s v="2 MESES."/>
    <x v="1"/>
    <x v="8"/>
    <x v="51"/>
    <s v="SK6J"/>
    <x v="1460"/>
    <s v="N"/>
    <s v="N"/>
    <s v="S"/>
    <s v="N"/>
  </r>
  <r>
    <x v="8"/>
    <s v="020225"/>
    <s v="SOLICITUD DE CATALOGACION DE PUESTOS DE TRABAJO Y CENTRO DOCENTE COMO DE ESPECIAL DIFICULTAD."/>
    <s v="2 MESES"/>
    <x v="1"/>
    <x v="8"/>
    <x v="53"/>
    <s v="SKBC"/>
    <x v="1461"/>
    <s v="N"/>
    <s v="N"/>
    <s v="S"/>
    <s v="N"/>
  </r>
  <r>
    <x v="8"/>
    <s v="020262"/>
    <s v="CREACION DE ACADEMIAS CIENTIFICAS, ARTISTICAS Y LITERARIAS DE LA COMUNIDAD AUTONOMA DE CASTILLA-LA MANCHA"/>
    <s v="6 MESES"/>
    <x v="0"/>
    <x v="8"/>
    <x v="54"/>
    <s v="SL3R"/>
    <x v="1462"/>
    <s v="S"/>
    <s v="N"/>
    <s v="S"/>
    <s v="N"/>
  </r>
  <r>
    <x v="8"/>
    <s v="020263"/>
    <s v="INSCRIPCION EN EL REGISTRO DE ACADEMIAS DE CASTILLA-LA MANCHA"/>
    <s v="3 MESES"/>
    <x v="0"/>
    <x v="8"/>
    <x v="54"/>
    <s v="SL3S"/>
    <x v="1463"/>
    <s v="N"/>
    <s v="N"/>
    <s v="S"/>
    <s v="N"/>
  </r>
  <r>
    <x v="8"/>
    <s v="020274"/>
    <s v="TARJETA COLECTIVA DE LA RED DE BIBLIOTECAS PUBLICAS DE CASTILLA-LA MANCHA"/>
    <s v="5 DÍAS HÁBILES"/>
    <x v="0"/>
    <x v="8"/>
    <x v="51"/>
    <s v="SLDZ"/>
    <x v="1464"/>
    <s v="S"/>
    <s v="N"/>
    <s v="S"/>
    <s v="N"/>
  </r>
  <r>
    <x v="8"/>
    <s v="020275"/>
    <s v="TARJETA PERSONAL DE LA RED DE BIBLIOTECAS PUBLICAS DE CASTILLA-LA MANCHA"/>
    <s v="5 DÍAS HÁBILES"/>
    <x v="0"/>
    <x v="8"/>
    <x v="51"/>
    <s v="SLE0"/>
    <x v="1465"/>
    <s v="S"/>
    <s v="N"/>
    <s v="S"/>
    <s v="N"/>
  </r>
  <r>
    <x v="8"/>
    <s v="020276"/>
    <s v="PRESENTACION DE PROPUESTAS DE ESPECTACULOS PARA EL PROGRAMA &quot;CASTILLA-LA MANCHA ACTUA¿"/>
    <s v="1 MES."/>
    <x v="1"/>
    <x v="8"/>
    <x v="51"/>
    <s v="SLG4"/>
    <x v="1466"/>
    <s v="S"/>
    <s v="N"/>
    <s v="S"/>
    <s v="N"/>
  </r>
  <r>
    <x v="8"/>
    <s v="025139"/>
    <s v="RECONOCIMIENTO DE CORRESPONSALES JUVENILES"/>
    <s v="3 MESES"/>
    <x v="0"/>
    <x v="8"/>
    <x v="47"/>
    <s v="SKP7"/>
    <x v="1467"/>
    <s v="N"/>
    <s v="N"/>
    <s v="S"/>
    <s v="N"/>
  </r>
  <r>
    <x v="8"/>
    <s v="025140"/>
    <s v="RECONOCIMIENTO DE CENTROS Y PUNTOS DE INFORMACION JUVENIL"/>
    <s v="3 MESES"/>
    <x v="0"/>
    <x v="8"/>
    <x v="47"/>
    <s v="SIDS"/>
    <x v="1468"/>
    <s v="N"/>
    <s v="N"/>
    <s v="S"/>
    <s v="N"/>
  </r>
  <r>
    <x v="8"/>
    <s v="026121"/>
    <s v="MATRICULACION DE ALUMNADO EN CENTROS DOCENTES PUBLICOS Y PRIVADOS CONCERTADOS, 2º CICLO E. INFANTIL, E. PRIMARIA."/>
    <s v="3 MESES"/>
    <x v="1"/>
    <x v="8"/>
    <x v="48"/>
    <s v="SLN8"/>
    <x v="1469"/>
    <s v="S"/>
    <s v="N"/>
    <s v="S"/>
    <s v="N"/>
  </r>
  <r>
    <x v="8"/>
    <s v="026122"/>
    <s v="MATRICULACION DE ALUMNADO EN CENTROS DOCENTES PUBLICOS Y PRIVADOS CONCERTADOS, ESO Y BACHILLERATO."/>
    <s v="3 MESES"/>
    <x v="1"/>
    <x v="8"/>
    <x v="48"/>
    <s v="SLN7"/>
    <x v="1470"/>
    <s v="S"/>
    <s v="N"/>
    <s v="S"/>
    <s v="N"/>
  </r>
  <r>
    <x v="8"/>
    <s v="030203"/>
    <s v="ACTIVIDADES DE FORMACION EN REINO UNIDO/IRLANDA/FRANCIA DIRIGIDAS A MEJORAR LA COMPETENCIA DE LOS ALUMNOS DE 3º Y 4º DE EDUCACION SECUNDARIA OBLIGATORIA Y 1º DE BACHILLERATO EN EL USO DE LENGUAS EXTRANJERAS EN 2019"/>
    <s v="2  MESES."/>
    <x v="1"/>
    <x v="8"/>
    <x v="48"/>
    <s v="S417"/>
    <x v="1471"/>
    <s v="N"/>
    <s v="N"/>
    <s v="S"/>
    <s v="N"/>
  </r>
  <r>
    <x v="8"/>
    <s v="030209"/>
    <s v="AYUDAS INDIVIDUALES DE TRANSPORTE ESCOLAR PARA ALUMNADO ESCOLARIZADO EN CENTROS DOCENTES PUBLICOS DE CASTILLA- LA MANCHA"/>
    <s v="4 MESES."/>
    <x v="1"/>
    <x v="8"/>
    <x v="50"/>
    <s v="SI4K"/>
    <x v="1472"/>
    <s v="N"/>
    <s v="N"/>
    <s v="S"/>
    <s v="N"/>
  </r>
  <r>
    <x v="8"/>
    <s v="030219"/>
    <s v="PREMIOS EXTRAORDINARIOS DE BACHILLERATO DE CASTILLA-LA MANCHA."/>
    <s v="ANTES DEL 15 DE OCTUBRE DE 2022."/>
    <x v="1"/>
    <x v="8"/>
    <x v="49"/>
    <s v="SI7I"/>
    <x v="1473"/>
    <s v="S"/>
    <s v="N"/>
    <s v="S"/>
    <s v="N"/>
  </r>
  <r>
    <x v="8"/>
    <s v="030222"/>
    <s v="DOTACION DE RECURSOS ADICIONALES PARA EL ALUMNADO CON NECESIDADES ESPECIFICAS DE APOYO EDUCATIVO EN LOS CENTROS DOCENTES PRIVADOS CONCERTADOS DE CASTILLA-LA MANCHA."/>
    <s v="3 MESES"/>
    <x v="1"/>
    <x v="8"/>
    <x v="49"/>
    <s v="SIYN"/>
    <x v="1474"/>
    <s v="N"/>
    <s v="N"/>
    <s v="S"/>
    <s v="N"/>
  </r>
  <r>
    <x v="8"/>
    <s v="030225"/>
    <s v="PREMIOS Y DISTINCIONES AL MERITO DEPORTIVO DE CASTILLA-LA MANCHA"/>
    <s v="3 MESES"/>
    <x v="1"/>
    <x v="8"/>
    <x v="47"/>
    <s v="SIE5"/>
    <x v="1475"/>
    <s v="S"/>
    <s v="N"/>
    <s v="S"/>
    <s v="N"/>
  </r>
  <r>
    <x v="8"/>
    <s v="030238"/>
    <s v="CONVOCATORIA DE PLAZAS DE ESTANCIAS SUBVENCIONADAS EN LAS RESIDENCIAS UNIVERSITARIAS DE CASTILLA-LA MANCHA"/>
    <s v="3 MESES"/>
    <x v="1"/>
    <x v="8"/>
    <x v="54"/>
    <s v="SF00"/>
    <x v="1476"/>
    <s v="N"/>
    <s v="N"/>
    <s v="S"/>
    <s v="N"/>
  </r>
  <r>
    <x v="8"/>
    <s v="030252"/>
    <s v="SUBVENCIONES PARA ADQUISICIONES BIBLIOGRAFICAS, PUBLICACIONES PERIODICAS Y MULTIMEDIA PARA LAS BIBLIOTECAS PUBLICAS MUNICIPALES DE CASTILLA-LA MANCHA."/>
    <s v="4 MESES"/>
    <x v="1"/>
    <x v="8"/>
    <x v="51"/>
    <s v="SIBT"/>
    <x v="1477"/>
    <s v="N"/>
    <s v="N"/>
    <s v="S"/>
    <s v="N"/>
  </r>
  <r>
    <x v="8"/>
    <s v="030253"/>
    <s v="SUBVENCIONES PARA LA DOTACION Y MEJORA DE EQUIPAMIENTO EN BIBLIOTECAS PUBLICAS MUNICIPALES DE CASTILLA-LA MANCHA."/>
    <s v="4 MESES"/>
    <x v="1"/>
    <x v="8"/>
    <x v="51"/>
    <s v="SIQI"/>
    <x v="1478"/>
    <s v="N"/>
    <s v="N"/>
    <s v="S"/>
    <s v="N"/>
  </r>
  <r>
    <x v="8"/>
    <s v="030259"/>
    <s v="SUBVENCIONES PARA EL MANTENIMIENTO DE CONTRATOS DE BIBLIOTECARIOS MUNICIPALES"/>
    <s v="4 MESES"/>
    <x v="1"/>
    <x v="8"/>
    <x v="51"/>
    <s v="SIB8"/>
    <x v="1479"/>
    <s v="N"/>
    <s v="N"/>
    <s v="S"/>
    <s v="N"/>
  </r>
  <r>
    <x v="8"/>
    <s v="030350"/>
    <s v="AYUDAS PARA REALIZAR CURSOS DE FORMACION LINGUISTICA Y/O METODOLOGICA FUERA DE ESPAÑA PARA EL PROFESORADO DE CENTROS PUBLICOS DE TITULARIDAD DE LA JUNTA DE COMUNIDADES DE CASTILLA-LA MANCHA."/>
    <s v="2 MESES"/>
    <x v="1"/>
    <x v="8"/>
    <x v="48"/>
    <s v="SG85"/>
    <x v="1480"/>
    <s v="N"/>
    <s v="N"/>
    <s v="S"/>
    <s v="N"/>
  </r>
  <r>
    <x v="8"/>
    <s v="030461"/>
    <s v="CONVOCATORIA DE SUBVENCIONES PARA EL MANTENIMIENTO DE CENTROS DE EDUCACION INFANTIL."/>
    <s v="6 MESES, CONTADOS DESDE LA FECHA DE PUBLICACIÓN DE LA CONVOCATORIA."/>
    <x v="1"/>
    <x v="8"/>
    <x v="49"/>
    <s v="SIHZ"/>
    <x v="1481"/>
    <s v="N"/>
    <s v="N"/>
    <s v="S"/>
    <s v="N"/>
  </r>
  <r>
    <x v="8"/>
    <s v="030463"/>
    <s v="SUBVENCION A CORPORACIONES LOCALES PARA EL MANTENIMIENTO DE ESCUELAS INFANTILES"/>
    <s v="6 MESES, CONTADOS DESDE LA FECHA DE PUBLICACIÓN DEL EXTRACTO DE LA CONVOCATORIA"/>
    <x v="1"/>
    <x v="8"/>
    <x v="49"/>
    <s v="SIUE"/>
    <x v="1482"/>
    <s v="N"/>
    <s v="N"/>
    <s v="S"/>
    <s v="N"/>
  </r>
  <r>
    <x v="8"/>
    <s v="030496"/>
    <s v="CONCESION DE PREMIOS EN METALICO POR EL HALLAZGO CASUAL DE OBJETOS Y RESTOS ARQUEOLOGICOS."/>
    <s v="3 MESES"/>
    <x v="1"/>
    <x v="8"/>
    <x v="51"/>
    <s v="SJR1"/>
    <x v="1483"/>
    <s v="S"/>
    <s v="N"/>
    <s v="S"/>
    <s v="N"/>
  </r>
  <r>
    <x v="8"/>
    <s v="030528"/>
    <s v="ADMISION EN RESIDENCIAS ESCOLARES DE CASTILLA - LA MANCHA"/>
    <s v="3 MESES."/>
    <x v="1"/>
    <x v="8"/>
    <x v="50"/>
    <s v="S294"/>
    <x v="1484"/>
    <s v="S"/>
    <s v="N"/>
    <s v="S"/>
    <s v="N"/>
  </r>
  <r>
    <x v="8"/>
    <s v="030537"/>
    <s v="SUBVENCIONES PARA ADQUISICION DE MATERIALES CURRICULARES EN CENTROS DE EDUCACION ESPECIAL PRIVADOS CONCERTADOS DE CASTILLA-LA MANCHA"/>
    <s v="3 MESES A PARTIR DEL DÍA SIGUIENTE DE LA PUBLICACIÓN DE LA CONCOCATORIA"/>
    <x v="1"/>
    <x v="8"/>
    <x v="50"/>
    <s v="SK5Y"/>
    <x v="1485"/>
    <s v="N"/>
    <s v="N"/>
    <s v="S"/>
    <s v="N"/>
  </r>
  <r>
    <x v="8"/>
    <s v="030540"/>
    <s v="BECAS DE FORMACION A LOS ALUMNOS QUE PARTICIPEN EN LOS PROYECTOS DE FORMACION PROFESIONAL DUAL EN CASTILLA-LA MANCHA"/>
    <s v="3 MESES"/>
    <x v="1"/>
    <x v="8"/>
    <x v="52"/>
    <s v="SK5A"/>
    <x v="1486"/>
    <s v="N"/>
    <s v="N"/>
    <s v="S"/>
    <s v="N"/>
  </r>
  <r>
    <x v="8"/>
    <s v="030554"/>
    <s v="SUBVENCION PARA LA REALIZACION DE PROYECTOS DE INVESTIGACION DEL PATRIMONIO ARQUEOLOGICO Y PALEONTOLOGICO DE CASTILLA - LA MANCHA"/>
    <s v="3 MESES"/>
    <x v="1"/>
    <x v="8"/>
    <x v="51"/>
    <s v="SIFA"/>
    <x v="1487"/>
    <s v="N"/>
    <s v="N"/>
    <s v="S"/>
    <s v="N"/>
  </r>
  <r>
    <x v="8"/>
    <s v="030561"/>
    <s v="PREMIOS EXTRAORDINARIOS DE ENSEÑANZAS ARTISTICAS PROFESIONALES DE CASTILLA-LA MANCHA."/>
    <s v="CUARENTA Y CINCO DÍAS DESDE LA VALORACIÓN DE LA PRUEBA."/>
    <x v="1"/>
    <x v="8"/>
    <x v="49"/>
    <s v="SK9Z"/>
    <x v="1488"/>
    <s v="S"/>
    <s v="N"/>
    <s v="N"/>
    <s v="N"/>
  </r>
  <r>
    <x v="8"/>
    <s v="030562"/>
    <s v="PREMIOS EXTRAORDINARIOS AL RENDIMIENTO ACADEMICO EN LA MODALIDAD DE EDUCACION SECUNDARIA OBLIGATORIA EN CASTILLA-LA MANCHA."/>
    <s v="45 DÍAS DESDE LA FINALIZACIÓN DE LA PRUEBA."/>
    <x v="1"/>
    <x v="8"/>
    <x v="49"/>
    <s v="SKA0"/>
    <x v="1489"/>
    <s v="S"/>
    <s v="N"/>
    <s v="S"/>
    <s v="N"/>
  </r>
  <r>
    <x v="8"/>
    <s v="030563"/>
    <s v="AYUDAS PARA LA CONTRATACION DE DOCTORES EN CENTROS PUBLICOS DE INVESTIGACION Y  EMPRESAS, DENTRO DE LAS MEDIDAS PARA EL RETORNO Y LA RETENCION DEL TALENTO,  COFINANCIADAS POR LA JUNTA DE COMUNIDADES DE CASTILLA-LA MANCHA Y POR EL FSE+."/>
    <s v="6 MESES"/>
    <x v="1"/>
    <x v="8"/>
    <x v="54"/>
    <s v="SILM"/>
    <x v="1490"/>
    <s v="N"/>
    <s v="N"/>
    <s v="S"/>
    <s v="N"/>
  </r>
  <r>
    <x v="8"/>
    <s v="030569"/>
    <s v="AYUDAS A PROYECTOS DE INVESTIGACION"/>
    <s v="6 MESES"/>
    <x v="1"/>
    <x v="8"/>
    <x v="54"/>
    <s v="SKAZ"/>
    <x v="1491"/>
    <s v="N"/>
    <s v="N"/>
    <s v="S"/>
    <s v="N"/>
  </r>
  <r>
    <x v="8"/>
    <s v="030601"/>
    <s v="ONVOCATORIA DE LAS AYUDAS DE FORMACION A LOS ALUMNOS QUE PARTICIPEN EN EL PLAN DE GARANTIA JUVENIL EN CUALQUIERA DE LAS ENSEÑANZAS DE LA OFERTA EDUCATIVA DE LA CONSEJERIA DE EDUCACION, CULTURA Y DEPORTES, EN LA COMUNIDAD AUTONOMA DE CASTILLA-LA MANCHA."/>
    <s v="ANTES DEL 31 DE DICIEMBRE DE 2021."/>
    <x v="1"/>
    <x v="8"/>
    <x v="48"/>
    <s v="SKGT"/>
    <x v="1492"/>
    <s v="N"/>
    <s v="N"/>
    <s v="S"/>
    <s v="N"/>
  </r>
  <r>
    <x v="8"/>
    <s v="030620"/>
    <s v="PLAZAS DE BECARIOS COLABORADORES EN LA RED DE RESIDENCIAS ESCOLARES PUBLICAS DE CASTILLA-LA MANCHA"/>
    <s v="1 MES"/>
    <x v="1"/>
    <x v="8"/>
    <x v="50"/>
    <s v="SI4N"/>
    <x v="1493"/>
    <s v="S"/>
    <s v="N"/>
    <s v="S"/>
    <s v="N"/>
  </r>
  <r>
    <x v="8"/>
    <s v="030659"/>
    <s v="CONVOCATORIA DEL PROCEDIMIENTO PARA LA SELECCION DE CENTROS EDUCATIVOS PARTICIPANTES EN UNA ESTANCIA DE INMERSION EN INGLES EN EL CENTRO RURAL DE INNOVACION EDUCATIVA DE CUENCA (CRIEC)."/>
    <s v="2 MESES DESDE LA FECHA DE FINALIZACIÓN DEL PLAZO DE PRESENTACIÓN DE SOLICITUDES."/>
    <x v="1"/>
    <x v="8"/>
    <x v="48"/>
    <s v="SKNL"/>
    <x v="1494"/>
    <s v="N"/>
    <s v="N"/>
    <s v="S"/>
    <s v="N"/>
  </r>
  <r>
    <x v="8"/>
    <s v="030661"/>
    <s v="CONVOCATORIA DE CONCESION DE SUBVENCIONES DIRIGIDAS A FINANCIAR LAS ACTIVIDADES EDUCATIVAS DE LAS FEDERACIONES Y CONFEDERACIONES DE ASOCIACIONES DE MADRES Y PADRES DE ALUMNOS DE CENTROS DOCENTES DE ENSEÑANZA NO UNIVERSITARIA SOSTENIDOS CON FONDOS PUBLICOS"/>
    <s v="2 MESES"/>
    <x v="1"/>
    <x v="8"/>
    <x v="49"/>
    <s v="SKNR"/>
    <x v="1495"/>
    <s v="N"/>
    <s v="N"/>
    <s v="S"/>
    <s v="N"/>
  </r>
  <r>
    <x v="8"/>
    <s v="030668"/>
    <s v="AYUDA PARA LA FORMACION DE PERSONAL INVESTIGADOR."/>
    <s v="4 MESES"/>
    <x v="1"/>
    <x v="8"/>
    <x v="54"/>
    <s v="SKO5"/>
    <x v="1496"/>
    <s v="N"/>
    <s v="N"/>
    <s v="S"/>
    <s v="N"/>
  </r>
  <r>
    <x v="8"/>
    <s v="030679"/>
    <s v="ESPACIO JOVEN &quot;SAN SERVANDO&quot;"/>
    <s v="2 MESES"/>
    <x v="0"/>
    <x v="8"/>
    <x v="47"/>
    <s v="SKP3"/>
    <x v="1497"/>
    <s v="N"/>
    <s v="N"/>
    <s v="S"/>
    <s v="N"/>
  </r>
  <r>
    <x v="8"/>
    <s v="030704"/>
    <s v="CONVOCATORIA DE PREMIOS A PROYECTOS DE INNOVACION TECNOLOGICA Y EDUCATIVA EN CENTROS PUBLICOS DE FORMACION PROFESIONAL, DEPENDIENTES DE LA CONSEJERIA DE EDUCACION, CULTURA Y DEPORTES DE CASTILLA-LA MANCHA"/>
    <s v="3 MESES"/>
    <x v="1"/>
    <x v="8"/>
    <x v="52"/>
    <s v="SKU1"/>
    <x v="1498"/>
    <s v="N"/>
    <s v="N"/>
    <s v="S"/>
    <s v="N"/>
  </r>
  <r>
    <x v="8"/>
    <s v="030726"/>
    <s v="SUBVENCIONES PARA EL DESARROLLO DE PROYECTOS DE CORRESPONSALIAS JUVENILES EN SERVICIOS DE INFORMACION JUVENIL DEPENDIENTES DE AYUNTAMIENTOS O MANCOMUNIDADES DE CASTILLA-LA MANCHA"/>
    <s v="2  MESES"/>
    <x v="1"/>
    <x v="8"/>
    <x v="47"/>
    <s v="SKVZ"/>
    <x v="1499"/>
    <s v="N"/>
    <s v="N"/>
    <s v="S"/>
    <s v="N"/>
  </r>
  <r>
    <x v="8"/>
    <s v="030746"/>
    <s v="AYUDA PARA LA CREACION, CONSOLIDACION Y MEJORA DE INFRAESTRUCTURAS DE I+D+I"/>
    <s v="4 MESES"/>
    <x v="1"/>
    <x v="8"/>
    <x v="54"/>
    <s v="SKYZ"/>
    <x v="1500"/>
    <s v="N"/>
    <s v="N"/>
    <s v="S"/>
    <s v="N"/>
  </r>
  <r>
    <x v="8"/>
    <s v="030749"/>
    <s v="CONVOCATORIA DE EXPRESIONES DE INTERES RELATIVA AL PROGRAMA DE INFRAESTRUCTURAS EDUCATIVAS (PRIMARIA, SECUNDARIA Y OTROS CENTROS EDUCATIVOS) EN EL MARCO DEL PROGRAMA OPERATIVO FEDER CASTILLA-LA MANCHA 2014-2020"/>
    <s v="UN PLAZO MÁXIMO DE CUATRO MESES, A CONTAR DESDE LA FECHA DE FINALIZACIÓN DEL PLAZO PARA PRESENTAR SOLICITUDES (APARTADO 10.1 DE LA RESOLUCIÓN DE CONVOCATORIA)"/>
    <x v="1"/>
    <x v="8"/>
    <x v="50"/>
    <s v="SKZ2"/>
    <x v="1501"/>
    <s v="N"/>
    <s v="N"/>
    <s v="S"/>
    <s v="N"/>
  </r>
  <r>
    <x v="8"/>
    <s v="030790"/>
    <s v="CONVOCATORIA PARA LA CONCESION DE SUBVENCIONES DE APOYO A LA PRODUCCION TEATRAL, LA DANZA Y EL CIRCO EN CASTILLA-LA MANCHA."/>
    <s v="6 MESES."/>
    <x v="1"/>
    <x v="8"/>
    <x v="51"/>
    <s v="SL38"/>
    <x v="1502"/>
    <s v="N"/>
    <s v="N"/>
    <s v="S"/>
    <s v="N"/>
  </r>
  <r>
    <x v="8"/>
    <s v="030810"/>
    <s v="PROGRAMA DE MEJORA DEL EXITO EDUCATIVO Y PREVENCION DEL ABANDONO ESCOLAR TEMPRANO EN CENTROS EDUCATIVOS PRIVADOS CONCERTADOS."/>
    <s v="2 MESES"/>
    <x v="1"/>
    <x v="8"/>
    <x v="49"/>
    <s v="SL5M"/>
    <x v="1503"/>
    <s v="N"/>
    <s v="N"/>
    <s v="S"/>
    <s v="N"/>
  </r>
  <r>
    <x v="8"/>
    <s v="030838"/>
    <s v="SUBVENCIONES PARA LA ELABORACION DE GUIONES DE LARGOMETRAJE CINEMATOGRAFICO EN CASTILLA-LA MANCHA."/>
    <s v="SEIS MESES DESDE LA PUBLICACIÓN DE LA RESOLUCIÓN DE CONVOCATORIA EN EL DOCM."/>
    <x v="1"/>
    <x v="8"/>
    <x v="51"/>
    <s v="SL8Q"/>
    <x v="1504"/>
    <s v="S"/>
    <s v="N"/>
    <s v="S"/>
    <s v="N"/>
  </r>
  <r>
    <x v="8"/>
    <s v="030849"/>
    <s v="SUBVENCION CONCEDIDA A LA FUNDACION VEDRUNA EDUCACION PARA EL DESARROLLO DEL SEGUNDO CURSO DE DOS PROGRAMAS ESPECIFICOS DE FORMACION PROFESIONAL."/>
    <s v=""/>
    <x v="2"/>
    <x v="8"/>
    <x v="48"/>
    <s v="PLAH"/>
    <x v="1505"/>
    <s v="N"/>
    <s v="N"/>
    <s v="S"/>
    <s v="N"/>
  </r>
  <r>
    <x v="8"/>
    <s v="030883"/>
    <s v="SUBVENCION CONCEDIDA A LA UCLM POR LA REALIZACION DEL PROYECTO IMPACTO DEL CONFINAMIENTO DOMICILIARIO DEL COVID-19 SOBRE LA SALUD DE LOS ADULTOS MAYORES: UN &quot;EXPERIMENTO NATURAL&quot; EN ESPAÑA."/>
    <s v=""/>
    <x v="2"/>
    <x v="8"/>
    <x v="54"/>
    <s v="PLEG"/>
    <x v="1506"/>
    <s v="N"/>
    <s v="N"/>
    <s v="S"/>
    <s v="N"/>
  </r>
  <r>
    <x v="8"/>
    <s v="030925"/>
    <s v="SUSCRIPCION, RENOVACION O MODIFICACION DE CONCIERTOS EDUCATIVOS EN LA COMUNIDAD AUTONOMA DE CASTILLA-LA MANCHA."/>
    <s v="ANTES DEL 15 DE ABRIL DE 2022."/>
    <x v="1"/>
    <x v="8"/>
    <x v="49"/>
    <s v="SLHA"/>
    <x v="1507"/>
    <s v="N"/>
    <s v="N"/>
    <s v="S"/>
    <s v="N"/>
  </r>
  <r>
    <x v="8"/>
    <s v="031036"/>
    <s v="PREMIOS DE INVESTIGACION E INNOVACION DE CASTILLA- LA MANCHA."/>
    <s v="6 MESES."/>
    <x v="1"/>
    <x v="8"/>
    <x v="54"/>
    <s v="SLPG"/>
    <x v="1508"/>
    <s v="S"/>
    <s v="N"/>
    <s v="S"/>
    <s v="N"/>
  </r>
  <r>
    <x v="8"/>
    <s v="031051"/>
    <s v="JUSTIFICACION SUBVENCION DE CONCESION DIRECTA PARA LA FINANCIACION DE ACTUACIONES EN BIENES PERTENECIENTES AL PATRIMONIO CULTURAL Y RELIGIOSO DE CASTILLA - LA MANCHA"/>
    <s v=""/>
    <x v="2"/>
    <x v="8"/>
    <x v="51"/>
    <s v="PLQK"/>
    <x v="1509"/>
    <s v="N"/>
    <s v="N"/>
    <s v="S"/>
    <s v="N"/>
  </r>
  <r>
    <x v="8"/>
    <s v="031058"/>
    <s v="SUBVENCION CONCEDIDA A LA FEDERACION DE FUTBOL DE CASTILLA-LA MANCHA, PARA LA PUESTA EN FUNCIONAMIENTO DE LA RESIDENCIA DE DEPORTISTAS."/>
    <s v=""/>
    <x v="2"/>
    <x v="8"/>
    <x v="51"/>
    <s v="PLQU"/>
    <x v="1510"/>
    <s v="N"/>
    <s v="N"/>
    <s v="S"/>
    <s v="N"/>
  </r>
  <r>
    <x v="8"/>
    <s v="031061"/>
    <s v="SUBVENCION CONCEDIDA A AYUNTAMIENTOS PARA LA MEJORA Y EQUIPAMIENTO DE LAS INSTALACIONES DEPORTIVAS UTILIZADAS PARA EL DESARROLLO DE DETERMINADAS COMPETICIONES DEPORTIVAS DE ALTO NIVEL"/>
    <s v=""/>
    <x v="2"/>
    <x v="8"/>
    <x v="47"/>
    <s v="PLQY"/>
    <x v="1511"/>
    <s v="N"/>
    <s v="N"/>
    <s v="S"/>
    <s v="N"/>
  </r>
  <r>
    <x v="8"/>
    <s v="031066"/>
    <s v="SUBVENCION PARA LA ORGANIZACION DEL TORNEO INTERNACIONAL DE ESPAÑA 2022 DE SELECCIONES ABSOLUTAS MASCULINAS DE BALONMANO EN CUENCA"/>
    <s v=""/>
    <x v="2"/>
    <x v="8"/>
    <x v="47"/>
    <s v="PLR8"/>
    <x v="1512"/>
    <s v="N"/>
    <s v="N"/>
    <s v="S"/>
    <s v="N"/>
  </r>
  <r>
    <x v="8"/>
    <s v="031072"/>
    <s v="JUSTIFICACION DE LA SUBVENCION DE CONCESION DIRECTA PARA LA FINANCIACION DE ACTUACIONES DE MEJORA EN EL PARQUE ARQUEOLOGICO DE LIBISOSA"/>
    <s v=""/>
    <x v="2"/>
    <x v="8"/>
    <x v="51"/>
    <s v="PLRF"/>
    <x v="1513"/>
    <s v="N"/>
    <s v="N"/>
    <s v="S"/>
    <s v="N"/>
  </r>
  <r>
    <x v="8"/>
    <s v="031094"/>
    <s v="AYUDAS DENTRO DEL PROGRAMA C24.I02.P04: &quot;DOTACION DE BIBLIOTECAS&quot; DENTRO DEL COMPONENTE 24 &quot;REVALORIZACION DE LA INDUSTRIA CULTURAL&quot; DEL PLAN DE RECUPERACION, TRANSFORMACION Y RESILIENCIA"/>
    <s v="4 MESES"/>
    <x v="1"/>
    <x v="8"/>
    <x v="55"/>
    <s v="SLSK"/>
    <x v="1514"/>
    <s v="N"/>
    <s v="N"/>
    <s v="S"/>
    <s v="N"/>
  </r>
  <r>
    <x v="8"/>
    <s v="031133"/>
    <s v="SUBVENCIONES A SALAS DE EXHIBICION CINEMATOGRAFICA DE CASTILLA-LA MANCHA EN EL MARCO DEL COMPONENTE 25 DEL PLAN DE RECUPERACION, TRANSFORMACION Y RESILIENCIA"/>
    <s v="6 MESES A CONTAR DESDE LA FECHA DE LA PUBLICACIÓN DE LA CONVOCATORIA Y SU EXTRACTO EN EL DIARIO OFICIAL DE CASTILLA-LA MANCHA."/>
    <x v="1"/>
    <x v="8"/>
    <x v="51"/>
    <s v="SLUW"/>
    <x v="1515"/>
    <s v="N"/>
    <s v="N"/>
    <s v="S"/>
    <s v="N"/>
  </r>
  <r>
    <x v="8"/>
    <s v="031146"/>
    <s v="SUBVENCIONES DESTINADAS A AMPLIAR Y DIVERSIFICAR LA OFERTA CULTURAL EN AREAS NO URBANAS DE CASTILLA-LA MANCHA, EN EL MARCO DEL COMPONENTE 24 DE REVALORIZACION DE LA INDUSTRIA CULTURAL DEL PLAN DE RECUPERACION, TRANSFORMACION Y RESILIENCIA, -FINANCIADO POR"/>
    <s v="6 MESES A CONTAR DESDE LA FECHA DE LA PUBLICACIÓN DE LA CONVOCATORIA Y SU EXTRACTO EN EL DIARIO OFICIAL DE CASTILLA-LA MANCHA."/>
    <x v="1"/>
    <x v="8"/>
    <x v="51"/>
    <s v="SLVK"/>
    <x v="1516"/>
    <s v="N"/>
    <s v="N"/>
    <s v="S"/>
    <s v="N"/>
  </r>
  <r>
    <x v="8"/>
    <s v="035219"/>
    <s v="CONVOCATORIA PARA LA SELECCION DE PROYECTOS DE ACTIVIDADES DE  OCIO Y TIEMPO LIBRE PARA EL PROGRAMA VERANO JOVEN"/>
    <s v="3 MESES"/>
    <x v="1"/>
    <x v="8"/>
    <x v="47"/>
    <s v="SL6Y"/>
    <x v="1517"/>
    <s v="N"/>
    <s v="N"/>
    <s v="S"/>
    <s v="N"/>
  </r>
  <r>
    <x v="8"/>
    <s v="035220"/>
    <s v="PREINSCRIPCION EN ACTIVIDADES EN CAMPOS DE VOLUNTARIADO JUVENIL."/>
    <s v="3 MESES"/>
    <x v="1"/>
    <x v="8"/>
    <x v="47"/>
    <s v="SIDQ"/>
    <x v="1518"/>
    <s v="S"/>
    <s v="N"/>
    <s v="S"/>
    <s v="N"/>
  </r>
  <r>
    <x v="8"/>
    <s v="035221"/>
    <s v="PREINSCRIPCION EN ACTIVIDADES DE OCIO Y TIEMPO LIBRE."/>
    <s v="3 MESES"/>
    <x v="1"/>
    <x v="8"/>
    <x v="47"/>
    <s v="SIDX"/>
    <x v="1519"/>
    <s v="N"/>
    <s v="N"/>
    <s v="S"/>
    <s v="N"/>
  </r>
  <r>
    <x v="8"/>
    <s v="035222"/>
    <s v="ADJUDICACION DE PLAZAS EN OCIO Y TIEMPO LIBRE."/>
    <s v="3 MESES"/>
    <x v="1"/>
    <x v="8"/>
    <x v="47"/>
    <s v="SKZM"/>
    <x v="1520"/>
    <s v="S"/>
    <s v="N"/>
    <s v="S"/>
    <s v="N"/>
  </r>
  <r>
    <x v="8"/>
    <s v="035223"/>
    <s v="ADJUDICACION DE PLAZAS EN ACTIVIDADES EN CAMPOS DE VOLUNTARIADO JUVENIL."/>
    <s v="3 MESES"/>
    <x v="1"/>
    <x v="8"/>
    <x v="47"/>
    <s v="SKZF"/>
    <x v="1521"/>
    <s v="S"/>
    <s v="N"/>
    <s v="S"/>
    <s v="N"/>
  </r>
  <r>
    <x v="8"/>
    <s v="035231"/>
    <s v="PREMIOS EXTRAORDINARIOS DE FORMACION PROFESIONAL DEL SISTEMA EDUCATIVO DE GRADO SUPERIOR."/>
    <s v="31 DE MARZO DE 2023."/>
    <x v="1"/>
    <x v="8"/>
    <x v="52"/>
    <s v="SIL9"/>
    <x v="1522"/>
    <s v="S"/>
    <s v="N"/>
    <s v="S"/>
    <s v="N"/>
  </r>
  <r>
    <x v="8"/>
    <s v="035232"/>
    <s v="PREMIOS EXTRAORDINARIOS DE FORMACION PROFESIONAL DEL SISTEMA EDUCATIVO DE GRADO SUPERIOR."/>
    <s v="31 DE MARZO DE 2023."/>
    <x v="1"/>
    <x v="8"/>
    <x v="52"/>
    <s v="SKDQ"/>
    <x v="1523"/>
    <s v="N"/>
    <s v="N"/>
    <s v="S"/>
    <s v="N"/>
  </r>
  <r>
    <x v="8"/>
    <s v="035233"/>
    <s v="SOLICITUD DE SUBVENCIONES PARA DEPORTISTAS ELITE DE CASTILLA-LA MANCHA"/>
    <s v="3  MESES"/>
    <x v="1"/>
    <x v="8"/>
    <x v="47"/>
    <s v="SIG9"/>
    <x v="1524"/>
    <s v="S"/>
    <s v="N"/>
    <s v="S"/>
    <s v="N"/>
  </r>
  <r>
    <x v="8"/>
    <s v="035234"/>
    <s v="JUSTIFICACION DE LA CONVOCATORIA DE LA CONSEJERIA DE EDUCACION, CULTURA Y DEPORTES, DE CONCESION DE SUBVENCIONES PARA DEPORTISTAS ELITE DE CASTILLA-LA MANCHA"/>
    <s v="3  MESES"/>
    <x v="1"/>
    <x v="8"/>
    <x v="47"/>
    <s v="PKWN"/>
    <x v="1525"/>
    <s v="S"/>
    <s v="N"/>
    <s v="S"/>
    <s v="N"/>
  </r>
  <r>
    <x v="8"/>
    <s v="035280"/>
    <s v="SUBVENCIONES A FEDERACIONES DEPORTIVAS DE CASTILLA-LA MANCHA"/>
    <s v="2 MESES"/>
    <x v="1"/>
    <x v="8"/>
    <x v="47"/>
    <s v="SIEK"/>
    <x v="1526"/>
    <s v="N"/>
    <s v="N"/>
    <s v="S"/>
    <s v="N"/>
  </r>
  <r>
    <x v="8"/>
    <s v="035281"/>
    <s v="JUSTIFICACION SUBVENCIONES PARA LA ORGANIZACION Y GESTION DE LAS FEDERACIONES DEPORTIVAS DE CASTILLA-LA MANCHA"/>
    <s v="2 MESES"/>
    <x v="1"/>
    <x v="8"/>
    <x v="47"/>
    <s v="PKT3"/>
    <x v="1527"/>
    <s v="N"/>
    <s v="N"/>
    <s v="S"/>
    <s v="N"/>
  </r>
  <r>
    <x v="8"/>
    <s v="035300"/>
    <s v="AYUDAS DE TRANSPORTE Y COMEDOR ESCOLAR A CENTROS PRIVADOS CONCERTADOS DE EDUCACION ESPECIAL Y AL ALUMNADO ESCOLARIZADO EN LOS MISMOS"/>
    <s v="3 MESES"/>
    <x v="1"/>
    <x v="8"/>
    <x v="50"/>
    <s v="SIIW"/>
    <x v="1528"/>
    <s v="S"/>
    <s v="N"/>
    <s v="S"/>
    <s v="N"/>
  </r>
  <r>
    <x v="8"/>
    <s v="035301"/>
    <s v="JUSTIFICACION DE LA CONVOCATORIA DE AYUDAS DE TRANSPORTE Y COMEDOR ESCOLAR A CENTROS PRIVADOS CONCERTADOS DE EDUCACION ESPECIAL Y ALUMNADO MATRICULADO EN LOS MISMOS."/>
    <s v="3 MESES"/>
    <x v="1"/>
    <x v="8"/>
    <x v="50"/>
    <s v="PKX3"/>
    <x v="1529"/>
    <s v="N"/>
    <s v="N"/>
    <s v="S"/>
    <s v="N"/>
  </r>
  <r>
    <x v="8"/>
    <s v="035521"/>
    <s v="PROGRAMA &quot;SOMOS DEPORTE 3-18&quot; DE CASTILLA-LA MANCHA. ALUMNADO"/>
    <s v="10 DÍAS"/>
    <x v="0"/>
    <x v="8"/>
    <x v="47"/>
    <s v="SKB1"/>
    <x v="1530"/>
    <s v="N"/>
    <s v="N"/>
    <s v="S"/>
    <s v="N"/>
  </r>
  <r>
    <x v="8"/>
    <s v="035522"/>
    <s v="PROGRAMA &quot;SOMOS DEPORTE 3-18&quot; DE CASTILLA-LA MANCHA. ENTIDADES"/>
    <s v="10 DÍAS"/>
    <x v="0"/>
    <x v="8"/>
    <x v="47"/>
    <s v="SK3Q"/>
    <x v="1531"/>
    <s v="N"/>
    <s v="N"/>
    <s v="S"/>
    <s v="N"/>
  </r>
  <r>
    <x v="8"/>
    <s v="035602"/>
    <s v="JUSTIFICACION PARA LA CONCESION DE SUBVENCIONES PARA LA ORGANIZACION DE EVENTOS DEPORTIVOS DE ESPECIAL INTERES EN CASTILLA-LA MANCHA."/>
    <s v="2 MESES."/>
    <x v="1"/>
    <x v="8"/>
    <x v="47"/>
    <s v="PKND"/>
    <x v="1532"/>
    <s v="N"/>
    <s v="N"/>
    <s v="S"/>
    <s v="N"/>
  </r>
  <r>
    <x v="8"/>
    <s v="035603"/>
    <s v="CONVOCATORIA PARA LA CONCESION DE SUBVENCIONES PARA LA ORGANIZACION DE EVENTOS DEPORTIVOS DE ESPECIAL INTERES EN CASTILLA-LA MANCHA."/>
    <s v="2 MESES."/>
    <x v="1"/>
    <x v="8"/>
    <x v="47"/>
    <s v="SKB8"/>
    <x v="1533"/>
    <s v="N"/>
    <s v="N"/>
    <s v="S"/>
    <s v="N"/>
  </r>
  <r>
    <x v="8"/>
    <s v="035693"/>
    <s v="SOLICITUD DE SUBVENCIONES DE APOYO A CLUBES Y SOCIEDADES ANONIMAS DEPORTIVAS DE MAXIMO NIVEL DE CASTILLA-LA MANCHA."/>
    <s v="2 MESES."/>
    <x v="1"/>
    <x v="8"/>
    <x v="47"/>
    <s v="SKLA"/>
    <x v="1534"/>
    <s v="N"/>
    <s v="N"/>
    <s v="S"/>
    <s v="N"/>
  </r>
  <r>
    <x v="8"/>
    <s v="035705"/>
    <s v="SOLICITUD DE AYUDAS PARA EL USO DE LIBROS DE TEXTO ALUMNADO DE E. PRIMARIA Y E. SECUNDARIA Y DE COMEDOR ESCOLAR PARA EL ALUMNADO DE SEGUNDO CICLO DE E. INFANTIL Y E. PRIMARIA. SOLICITUD ALUMNADO."/>
    <s v="6 MESES"/>
    <x v="1"/>
    <x v="8"/>
    <x v="50"/>
    <s v="SKLX"/>
    <x v="1535"/>
    <s v="N"/>
    <s v="N"/>
    <s v="S"/>
    <s v="N"/>
  </r>
  <r>
    <x v="8"/>
    <s v="035706"/>
    <s v="JUSTIFICACION DE SUBVENCIONES CONSISTENTES EN EL USO DE LIBROS DE TEXTO POR EL ALUMNADO DE EDUCACION PRIMARIA Y SECUNDARIA OBLIGATORIA MATRICULADO EN CENTROS SOSTENIDOS CON FONDOS PUBLICOS."/>
    <s v="6 MESES"/>
    <x v="1"/>
    <x v="8"/>
    <x v="50"/>
    <s v="PKRF"/>
    <x v="1536"/>
    <s v="N"/>
    <s v="N"/>
    <s v="S"/>
    <s v="N"/>
  </r>
  <r>
    <x v="8"/>
    <s v="035717"/>
    <s v="AYUDAS A LAS ENTIDADES QUE PARTICIPEN EN LA EJECUCION DE ACTUACIONES COFINANCIADAS POR EL FSE Y LA ADMINISTRACION DE LA JUNTA DE COMUNIDADES DE CASTILLA-LA MANCHA EN EL PO DE EMPLEO JUVENIL."/>
    <s v="3 MESES"/>
    <x v="1"/>
    <x v="8"/>
    <x v="50"/>
    <s v="SKNG"/>
    <x v="1537"/>
    <s v="N"/>
    <s v="N"/>
    <s v="S"/>
    <s v="N"/>
  </r>
  <r>
    <x v="8"/>
    <s v="035724"/>
    <s v="SUBVENCIONES PARA LA IMPLANTACION Y DESARROLLO DE PROYECTOS ESCOLARES SALUDABLES EN LOS CENTROS DOCENTES PRIVADOS CONCERTADOS"/>
    <s v="2 MESES"/>
    <x v="1"/>
    <x v="8"/>
    <x v="47"/>
    <s v="SKO6"/>
    <x v="1538"/>
    <s v="N"/>
    <s v="N"/>
    <s v="S"/>
    <s v="N"/>
  </r>
  <r>
    <x v="8"/>
    <s v="035725"/>
    <s v="JUSTIFICACION SUBVENCIONES PARA LA IMPLANTACION Y DESARROLLO DE PROYECTOS ESCOLARES SALUDABLES EN LOS CENTROS DOCENTES PRIVADOS CONCERTADOS"/>
    <s v="2 MESES"/>
    <x v="1"/>
    <x v="8"/>
    <x v="47"/>
    <s v="PKTR"/>
    <x v="1539"/>
    <s v="N"/>
    <s v="N"/>
    <s v="S"/>
    <s v="N"/>
  </r>
  <r>
    <x v="8"/>
    <s v="035936"/>
    <s v="JUSTIFICACION DEL LIBRAMIENTO DE FONDOS PARA EL DESARROLLO DE PROYECTOS DE INNOVACION EN FORMACION PROFESIONAL DURANTE EL AÑO 2022."/>
    <s v="3 MESES"/>
    <x v="1"/>
    <x v="8"/>
    <x v="52"/>
    <s v="PL40"/>
    <x v="1540"/>
    <s v="N"/>
    <s v="N"/>
    <s v="S"/>
    <s v="N"/>
  </r>
  <r>
    <x v="8"/>
    <s v="035937"/>
    <s v="LIBRAMIENTO DE FONDOS PARA EL DESARROLLO DE PROYECTOS DE INNOVACION EN FORMACION PROFESIONAL DURANTE EL AÑO 2022"/>
    <s v="3 MESES"/>
    <x v="1"/>
    <x v="8"/>
    <x v="52"/>
    <s v="SL3Z"/>
    <x v="1541"/>
    <s v="N"/>
    <s v="N"/>
    <s v="S"/>
    <s v="N"/>
  </r>
  <r>
    <x v="8"/>
    <s v="035946"/>
    <s v="SOLICITUD DE CENTROS RECEPTORES: PROYECTO DE INNOVACION EDUCATIVA OBSERVA Y TRANSFORMA:FORMACION PARA EL DESARROLLO PROFESIONAL DOCENTE A TRAVES DE ESTANCIAS FORMATIVAS"/>
    <s v="3 MESES"/>
    <x v="1"/>
    <x v="8"/>
    <x v="49"/>
    <s v="SL4V"/>
    <x v="1542"/>
    <s v="N"/>
    <s v="N"/>
    <s v="S"/>
    <s v="N"/>
  </r>
  <r>
    <x v="8"/>
    <s v="035947"/>
    <s v="SOLICITUD PARA PERSONAL DOCENTE  PROYECTO DE INNOVACION EDUCATIVA OBSERVA Y TRANSFORMA:FORMACION PARA EL DESARROLLO PROFESIONAL DOCENTE A TRAVES DE ESTANCIAS FORMATIVAS"/>
    <s v="3 MESES"/>
    <x v="1"/>
    <x v="8"/>
    <x v="49"/>
    <s v="SL4W"/>
    <x v="1543"/>
    <s v="N"/>
    <s v="N"/>
    <s v="S"/>
    <s v="N"/>
  </r>
  <r>
    <x v="8"/>
    <s v="035963"/>
    <s v="JUSTIFICACION DEL LIBRAMIENTO DE FONDOS PARA LA IMPLANTACION Y DESARROLLO DE PROYECTOS ESCOLARES SALUDABLES EN LOS CENTROS DOCENTES PUBLICOS."/>
    <s v="3 MESES"/>
    <x v="1"/>
    <x v="8"/>
    <x v="47"/>
    <s v="PL73"/>
    <x v="1544"/>
    <s v="N"/>
    <s v="N"/>
    <s v="S"/>
    <s v="N"/>
  </r>
  <r>
    <x v="8"/>
    <s v="035964"/>
    <s v="SOLICITUD PARA EL LIBRAMIENTO DE FONDOS PARA LA IMPLANTACION Y DESARROLLO DE PROYECTOS ESCOLARES SALUDABLES EN LOS CENTROS DOCENTES PUBLICOS"/>
    <s v="3 MESES"/>
    <x v="1"/>
    <x v="8"/>
    <x v="47"/>
    <s v="SL72"/>
    <x v="1545"/>
    <s v="N"/>
    <s v="N"/>
    <s v="S"/>
    <s v="N"/>
  </r>
  <r>
    <x v="8"/>
    <s v="036032"/>
    <s v="SUBVENCIONES DESTINADAS AL DESARROLLO DE PROYECTOS DE LARGOMETRAJES EN CASTILLA-LA MANCHA."/>
    <s v="6 M."/>
    <x v="1"/>
    <x v="8"/>
    <x v="51"/>
    <s v="SLG9"/>
    <x v="1546"/>
    <s v="N"/>
    <s v="N"/>
    <s v="S"/>
    <s v="N"/>
  </r>
  <r>
    <x v="8"/>
    <s v="036033"/>
    <s v="JUSTIFICACION SUBVENCIONES DESTINADAS AL DESARROLLO DE PROYECTOS DE LARGOMETRAJES EN CASTILLA-LA MANCHA."/>
    <s v="6 M."/>
    <x v="1"/>
    <x v="8"/>
    <x v="51"/>
    <s v="PLGA"/>
    <x v="1547"/>
    <s v="N"/>
    <s v="N"/>
    <s v="S"/>
    <s v="N"/>
  </r>
  <r>
    <x v="8"/>
    <s v="036034"/>
    <s v="JUSTIFICACION SUBVENCIONES DESTINADAS A LA PRODUCCION DE CORTOMETRAJES CINEMATOGRAFICOS EN CASTILLA-LA MANCHA."/>
    <s v="6 MESES"/>
    <x v="1"/>
    <x v="8"/>
    <x v="51"/>
    <s v="PLGC"/>
    <x v="1548"/>
    <s v="N"/>
    <s v="N"/>
    <s v="S"/>
    <s v="N"/>
  </r>
  <r>
    <x v="8"/>
    <s v="036035"/>
    <s v="SUBVENCIONES DESTINADAS A LA PRODUCCION DE CORTOMETRAJES CINEMATOGRAFICOS EN CASTILLA-LA MANCHA."/>
    <s v="6 MESES"/>
    <x v="1"/>
    <x v="8"/>
    <x v="51"/>
    <s v="SLGB"/>
    <x v="1549"/>
    <s v="N"/>
    <s v="N"/>
    <s v="S"/>
    <s v="N"/>
  </r>
  <r>
    <x v="8"/>
    <s v="036036"/>
    <s v="JUSTIFICACION DE LA AYUDA CONCEDIDA DEL PROGRAMA REFUERZA-T DE EDUCACION PRIMARIA, EDUCACION SECUNDARIA Y BACHILLERATO EN CENTROS CONCERTADOS DE C-LM"/>
    <s v=""/>
    <x v="2"/>
    <x v="8"/>
    <x v="48"/>
    <s v="PLGI"/>
    <x v="1550"/>
    <s v="N"/>
    <s v="N"/>
    <s v="S"/>
    <s v="N"/>
  </r>
  <r>
    <x v="8"/>
    <s v="036037"/>
    <s v="RENUNCIA A LA AYUDA CONCEDIDA DEL PROGRAMA REFUERZA-T DE EDUCACION PRIMARIA, EDUCACION SECUNDARIA Y BACHILLERATO EN CENTROS CONCERTADOS DE C-LM"/>
    <s v=""/>
    <x v="2"/>
    <x v="8"/>
    <x v="49"/>
    <s v="SLGJ"/>
    <x v="1551"/>
    <s v="N"/>
    <s v="N"/>
    <s v="S"/>
    <s v="N"/>
  </r>
  <r>
    <x v="8"/>
    <s v="036093"/>
    <s v="SUBVENCIONES DESTINADAS AL MANTENIMIENTO DE LA ACTIVIDAD DE CLUBES DEPORTIVOS Y S.A.  DEPORTIVAS DE C-LM , AFECTADOS POR LA CRISIS ECONOMICA CONSECUENCIA DEL COVID-19."/>
    <s v="2 MESES"/>
    <x v="1"/>
    <x v="8"/>
    <x v="47"/>
    <s v="SLLR"/>
    <x v="1552"/>
    <s v="N"/>
    <s v="N"/>
    <s v="S"/>
    <s v="N"/>
  </r>
  <r>
    <x v="8"/>
    <s v="036094"/>
    <s v="JUSTIFICACION SUBVENCIONES DESTINADAS AL MANTENIMIENTO DE LA ACTIVIDAD DE CLUBES DEPORTIVOS Y SOCIEDADES ANONIMAS DEPORTIVAS DE CASTILLA-LA MANCHA AFECTADOS POR EL COVID-19"/>
    <s v="2 MESES"/>
    <x v="1"/>
    <x v="8"/>
    <x v="47"/>
    <s v="PLLS"/>
    <x v="1553"/>
    <s v="N"/>
    <s v="N"/>
    <s v="S"/>
    <s v="N"/>
  </r>
  <r>
    <x v="8"/>
    <s v="036125"/>
    <s v="JUSTIFICACION SUBVENCIONES DESTINADAS A LA PRODUCCION DE LARGOMETRAJES EN CASTILLA-LA MANCHA."/>
    <s v="SEIS MESES A CONTAR DESDE LA FECHA DE LA PUBLICACIÓN DE LA CONVOCATORIA Y SU EXTRACTO EN EL DIARIO OFICIAL DE CASTILLA-LA MANCHA."/>
    <x v="1"/>
    <x v="8"/>
    <x v="51"/>
    <s v="PLO3"/>
    <x v="1554"/>
    <s v="N"/>
    <s v="N"/>
    <s v="S"/>
    <s v="N"/>
  </r>
  <r>
    <x v="8"/>
    <s v="036126"/>
    <s v="SUBVENCIONES DESTINADAS A LA PRODUCCION DE LARGOMETRAJES EN CASTILLA-LA MANCHA."/>
    <s v="SEIS MESES A CONTAR DESDE LA FECHA DE LA PUBLICACIÓN DE LA CONVOCATORIA Y SU EXTRACTO EN EL DIARIO OFICIAL DE CASTILLA-LA MANCHA."/>
    <x v="1"/>
    <x v="8"/>
    <x v="51"/>
    <s v="SLO2"/>
    <x v="1555"/>
    <s v="N"/>
    <s v="N"/>
    <s v="S"/>
    <s v="N"/>
  </r>
  <r>
    <x v="8"/>
    <s v="036146"/>
    <s v="SUBVENCIONES DESTINADAS A LA MODERNIZACION Y GESTION SOSTENIBLE DE LAS INFRAESTRUCTURAS DE LAS ARTES ESCENICAS Y MUSICALES CON CARGO AL PLAN DE TRANSFORMACION, RECUPERACION Y RESILIENCIA, Y SE APRUEBA SU CONVOCATORIA PARA EL AÑO 2022"/>
    <s v="6 MESES."/>
    <x v="1"/>
    <x v="8"/>
    <x v="51"/>
    <s v="SLQA"/>
    <x v="1556"/>
    <s v="N"/>
    <s v="N"/>
    <s v="S"/>
    <s v="N"/>
  </r>
  <r>
    <x v="8"/>
    <s v="036187"/>
    <s v="PREMIOS EXTRAORDINARIOS DE FORMACION PROFESIONAL DEL SISTEMA EDUCATIVO DE GRADO MEDIO."/>
    <s v="31/03/2023"/>
    <x v="1"/>
    <x v="8"/>
    <x v="55"/>
    <s v="SLZC"/>
    <x v="1557"/>
    <s v="S"/>
    <s v="N"/>
    <s v="S"/>
    <s v="N"/>
  </r>
  <r>
    <x v="8"/>
    <s v="040094"/>
    <s v="RECONOCIMIENTO DE ESCUELAS DE ANIMACION JUVENIL"/>
    <s v="3 MESES"/>
    <x v="0"/>
    <x v="8"/>
    <x v="47"/>
    <s v="SICE"/>
    <x v="1558"/>
    <s v="S"/>
    <s v="N"/>
    <s v="S"/>
    <s v="S"/>
  </r>
  <r>
    <x v="8"/>
    <s v="040095"/>
    <s v="PRUEBAS DE ACCESO A CICLOS FORMATIVOS DE FORMACION PROFESIONAL"/>
    <s v="5 MESES"/>
    <x v="1"/>
    <x v="8"/>
    <x v="49"/>
    <s v="SIPV"/>
    <x v="1559"/>
    <s v="N"/>
    <s v="N"/>
    <s v="S"/>
    <s v="N"/>
  </r>
  <r>
    <x v="8"/>
    <s v="040096"/>
    <s v="ADMISION DE ALUMNADO EN CICLOS FORMATIVOS DE FORMACION PROFESIONAL DE GRADO MEDIO Y GRADO SUPERIOR EN MODALIDAD PRESENCIAL EN CENTROS DOCENTES DE CASTILLA-LA MANCHA SOSTENIDOS CON FONDOS PUBLICOS."/>
    <s v="6 MESES"/>
    <x v="1"/>
    <x v="8"/>
    <x v="52"/>
    <s v="SIYM"/>
    <x v="1560"/>
    <s v="N"/>
    <s v="N"/>
    <s v="S"/>
    <s v="N"/>
  </r>
  <r>
    <x v="8"/>
    <s v="040098"/>
    <s v="ADMISION DE ALUMNADO EN CICLOS FORMATIVOS DE GRADO MEDIO Y GRADO SUPERIOR EN MODALIDAD A DISTANCIA EN CENTROS DOCENTES DE CASTILLA-LA MANCHA DE TITULARIDAD PUBLICA."/>
    <s v="6 MESES"/>
    <x v="1"/>
    <x v="8"/>
    <x v="52"/>
    <s v="SIYX"/>
    <x v="1561"/>
    <s v="N"/>
    <s v="N"/>
    <s v="S"/>
    <s v="N"/>
  </r>
  <r>
    <x v="8"/>
    <s v="040103"/>
    <s v="CONVOCATORIA DE ADMISION DE ALUMNADO PARA EL CURSO  EN CENTROS DE TITULARIDAD PUBLICA QUE IMPARTEN EDUCACION PARA PERSONAS ADULTAS."/>
    <s v="3 MESES"/>
    <x v="1"/>
    <x v="8"/>
    <x v="52"/>
    <s v="SI4I"/>
    <x v="1562"/>
    <s v="S"/>
    <s v="N"/>
    <s v="S"/>
    <s v="N"/>
  </r>
  <r>
    <x v="8"/>
    <s v="040105"/>
    <s v="ADMISION DE ALUMNOS EN CURSOS PREPARATORIOS PARA LA PRUEBA DE ACCESO A CICLOS FORMATIVOS DE GRADO SUPERIOR"/>
    <s v="2 MESES"/>
    <x v="1"/>
    <x v="8"/>
    <x v="49"/>
    <s v="SIWP"/>
    <x v="1563"/>
    <s v="S"/>
    <s v="N"/>
    <s v="S"/>
    <s v="N"/>
  </r>
  <r>
    <x v="8"/>
    <s v="040106"/>
    <s v="ADMISION DE ALUMNADO EN CENTROS DOCENTES PUBLICOS Y PRIVADOS CONCERTADOS NO UNIVERSITARIOS."/>
    <s v="3 MESES."/>
    <x v="1"/>
    <x v="8"/>
    <x v="48"/>
    <s v="SI15"/>
    <x v="1564"/>
    <s v="S"/>
    <s v="N"/>
    <s v="S"/>
    <s v="N"/>
  </r>
  <r>
    <x v="8"/>
    <s v="040107"/>
    <s v="SELECCION DE SUPERVISORES PEDAGOGICOS PARA LAS ACTIVIDADES DE FORMACION DIRIGIDAS A MEJORAR LA COMPETENCIA DE LOS ALUMNOS DE 3º Y 4º DE ESO Y 1º DE BACHILLERATO EN EL USO DE LENGUAS EXTRANJERAS"/>
    <s v="1 MES"/>
    <x v="1"/>
    <x v="8"/>
    <x v="48"/>
    <s v="SD43"/>
    <x v="1565"/>
    <s v="N"/>
    <s v="N"/>
    <s v="S"/>
    <s v="N"/>
  </r>
  <r>
    <x v="8"/>
    <s v="040111"/>
    <s v="EXPEDICION DE TITULOS ACADEMICOS Y PROFESIONALES NO UNIVERSITARIOS CORRESPONDIENTES A ENSEÑANZAS ESTABLECIDAS EN LA LOGSE"/>
    <s v="1 AÑO"/>
    <x v="1"/>
    <x v="8"/>
    <x v="48"/>
    <s v=""/>
    <x v="1566"/>
    <s v="S"/>
    <s v="N"/>
    <s v="N"/>
    <s v="N"/>
  </r>
  <r>
    <x v="8"/>
    <s v="040194"/>
    <s v="RECONOCIMIENTO DE FIRMAS DE TITULOS Y CERTIFICACIONES ACADEMICAS DE ESTUDIOS NO UNIVERSITARIOS"/>
    <s v="3 MESES."/>
    <x v="0"/>
    <x v="8"/>
    <x v="48"/>
    <s v="SI8C"/>
    <x v="1567"/>
    <s v="S"/>
    <s v="N"/>
    <s v="N"/>
    <s v="N"/>
  </r>
  <r>
    <x v="8"/>
    <s v="040195"/>
    <s v="PRUEBAS DE ACCESO A LA UNIVERSIDAD DE CASTILLA-LA MANCHA DE LOS MAYORES DE 25 AÑOS, ACCESO MEDIANTE ACREDITACIÓN LABORAL O PROFESIONAL Y PARA MAYORES DE 45 AÑOS"/>
    <s v="0"/>
    <x v="2"/>
    <x v="8"/>
    <x v="54"/>
    <s v="SIFP"/>
    <x v="1568"/>
    <s v="N"/>
    <s v="N"/>
    <s v="N"/>
    <s v="N"/>
  </r>
  <r>
    <x v="8"/>
    <s v="040196"/>
    <s v="PRUEBAS LIBRES PARA LA OBTENCION DEL TITULO DE GRADUADO EN EDUCACION SECUNDARIA OBLIGATORIA."/>
    <s v="3 MESES"/>
    <x v="1"/>
    <x v="8"/>
    <x v="52"/>
    <s v="SIIQ"/>
    <x v="1569"/>
    <s v="S"/>
    <s v="N"/>
    <s v="S"/>
    <s v="N"/>
  </r>
  <r>
    <x v="8"/>
    <s v="040197"/>
    <s v="PRUEBAS PARA LA OBTENCION DE DETERMINADOS TITULOS DE FORMACION PROFESIONAL EN LA COMUNIDAD AUTONOMA DE CASTILLA-LA MANCHA."/>
    <s v="3 MESES."/>
    <x v="0"/>
    <x v="8"/>
    <x v="52"/>
    <s v="SIPX"/>
    <x v="1570"/>
    <s v="N"/>
    <s v="N"/>
    <s v="S"/>
    <s v="N"/>
  </r>
  <r>
    <x v="8"/>
    <s v="040202"/>
    <s v="PRUEBAS LIBRES PARA LA OBTENCION DEL TITULO DE BACHILLER"/>
    <s v="4 MESES"/>
    <x v="1"/>
    <x v="8"/>
    <x v="48"/>
    <s v="SJMD"/>
    <x v="1571"/>
    <s v="S"/>
    <s v="N"/>
    <s v="S"/>
    <s v="N"/>
  </r>
  <r>
    <x v="8"/>
    <s v="040203"/>
    <s v="PRUEBAS ESPECIFICAS DE CERTIFICACION DE LOS NIVELES BASICO A2, INTERMEDIO B1, INTERMEDIO B2, AVANZADO C1 Y AVANZADO C2 DE LAS ENSEÑANZAS DE IDIOMAS DE REGIMEN ESPECIAL."/>
    <s v="2 MESES."/>
    <x v="1"/>
    <x v="8"/>
    <x v="49"/>
    <s v="SJMT"/>
    <x v="1572"/>
    <s v="N"/>
    <s v="N"/>
    <s v="S"/>
    <s v="N"/>
  </r>
  <r>
    <x v="8"/>
    <s v="040204"/>
    <s v="CALIFICACIÓN COMO DEPORTISTA DE ALTO RENDIMIENTO DE CASTILLA-LA MANCHA"/>
    <s v="3 MESES"/>
    <x v="0"/>
    <x v="8"/>
    <x v="47"/>
    <s v="SJMZ"/>
    <x v="1573"/>
    <s v="S"/>
    <s v="N"/>
    <s v="S"/>
    <s v="N"/>
  </r>
  <r>
    <x v="8"/>
    <s v="040206"/>
    <s v="PRUEBAS LIBRES (EXAMENES TEORICOS) PARA LA OBTENCION DE LOS REQUISITOS DE CONOCIMIENTOS SEGUN NORMATIVA EASA EN VIGOR, CONDUCENTES A LA OBTENCION DE LAS LICENCIAS DE MANTENIMIENTO DE AERONAVES B1.3 Y B2."/>
    <s v="3 MESES"/>
    <x v="1"/>
    <x v="8"/>
    <x v="52"/>
    <s v="SJNZ"/>
    <x v="1574"/>
    <s v="S"/>
    <s v="N"/>
    <s v="S"/>
    <s v="N"/>
  </r>
  <r>
    <x v="8"/>
    <s v="040208"/>
    <s v="DECLARACION DE UN BIEN COMO BIEN DE INTERES CULTURAL, BIEN DE INTERES PATRIMONIAL O ELEMENTO DE INTERES PATRIMONIAL."/>
    <s v="3 MESES"/>
    <x v="1"/>
    <x v="8"/>
    <x v="51"/>
    <s v="SJR3"/>
    <x v="1575"/>
    <s v="S"/>
    <s v="N"/>
    <s v="S"/>
    <s v="N"/>
  </r>
  <r>
    <x v="8"/>
    <s v="040209"/>
    <s v="INCLUSIÓN Y EXCLUSIÓN DE BIENES MUEBLES EN EL INVENTARIO GENERAL DE BIENES MUEBLES INTEGRANTES DEL PATRIMONIO HISTÓRICO ESPAÑOL"/>
    <s v="4 MESES"/>
    <x v="1"/>
    <x v="8"/>
    <x v="51"/>
    <s v="SJR4"/>
    <x v="1576"/>
    <s v="S"/>
    <s v="N"/>
    <s v="S"/>
    <s v="S"/>
  </r>
  <r>
    <x v="8"/>
    <s v="040214"/>
    <s v="PRUEBAS PARA LA OBTENCION DEL CERTIFICADO DE ENSEÑANZAS INICIALES PARA PERSONAS MAYORES DE DIECIOCHO AÑOS EN LA COMUNIDAD AUTONOMA DE CASTILLA-LA MANCHA"/>
    <s v="3 MESES"/>
    <x v="1"/>
    <x v="8"/>
    <x v="52"/>
    <s v="SJP4"/>
    <x v="1577"/>
    <s v="S"/>
    <s v="N"/>
    <s v="S"/>
    <s v="N"/>
  </r>
  <r>
    <x v="8"/>
    <s v="040250"/>
    <s v="ADMISION DE ALUMNADO PARA CURSAR ENSEÑANZAS SUPERIORES DE MUSICA."/>
    <s v="3 MESES."/>
    <x v="1"/>
    <x v="8"/>
    <x v="52"/>
    <s v="SK2X"/>
    <x v="1578"/>
    <s v="S"/>
    <s v="N"/>
    <s v="S"/>
    <s v="N"/>
  </r>
  <r>
    <x v="8"/>
    <s v="040267"/>
    <s v="DECLARACION DE INSTITUTO HISTORICO DE CASTILLA-LA MANCHA"/>
    <s v="3 MESES"/>
    <x v="1"/>
    <x v="8"/>
    <x v="48"/>
    <s v="SK8Z"/>
    <x v="1579"/>
    <s v="N"/>
    <s v="N"/>
    <s v="S"/>
    <s v="N"/>
  </r>
  <r>
    <x v="8"/>
    <s v="040279"/>
    <s v="ADMISION DE ALUMNADO EN CICLOS FORMATIVOS DE GRADO BASICO EN CENTROS DOCENTES DE CASTILLA-LA MANCHA SOSTENIDOS CON FONDOS PUBLICOS."/>
    <s v="3 MESES."/>
    <x v="1"/>
    <x v="8"/>
    <x v="52"/>
    <s v="SKAE"/>
    <x v="1580"/>
    <s v="S"/>
    <s v="N"/>
    <s v="S"/>
    <s v="N"/>
  </r>
  <r>
    <x v="8"/>
    <s v="040304"/>
    <s v="RECONOCIMIENTO Y TRANSFERENCIA DE CREDITOS EN LAS ENSEÑANZAS ARTISTICAS SUPERIORES CONDUCENTES AL TITULO SUPERIOR DE MUSICA Y AL TITULO SUPERIOR DE DISEÑO EN CASTILLA-LA MANCHA"/>
    <s v="6 MESES"/>
    <x v="1"/>
    <x v="8"/>
    <x v="48"/>
    <s v="SKMB"/>
    <x v="1581"/>
    <s v="S"/>
    <s v="N"/>
    <s v="S"/>
    <s v="N"/>
  </r>
  <r>
    <x v="8"/>
    <s v="040305"/>
    <s v="SELECCION DE CENTROS EDUCATIVOS PARA CONSTITUIR CONSORCIOS ERASMUS+"/>
    <s v="DOS MESES"/>
    <x v="1"/>
    <x v="8"/>
    <x v="48"/>
    <s v="SKMW"/>
    <x v="1582"/>
    <s v="N"/>
    <s v="N"/>
    <s v="S"/>
    <s v="N"/>
  </r>
  <r>
    <x v="8"/>
    <s v="040310"/>
    <s v="OBTENCION DE CARNES DE JUVENTUD"/>
    <s v="15 DÍAS"/>
    <x v="0"/>
    <x v="8"/>
    <x v="47"/>
    <s v="SKP4"/>
    <x v="1583"/>
    <s v="S"/>
    <s v="N"/>
    <s v="S"/>
    <s v="N"/>
  </r>
  <r>
    <x v="8"/>
    <s v="040319"/>
    <s v="PROCESO DE ADMISION DE ALUMNADO EN PROGRAMAS ESPECIFICOS DE FORMACION PROFESIONAL EN CENTROS PUBLICOS DE EDUCACION SECUNDARIA DE CASTILLA LA MANCHA"/>
    <s v="3 MESES."/>
    <x v="1"/>
    <x v="8"/>
    <x v="49"/>
    <s v="SKTZ"/>
    <x v="1584"/>
    <s v="S"/>
    <s v="N"/>
    <s v="S"/>
    <s v="N"/>
  </r>
  <r>
    <x v="8"/>
    <s v="040324"/>
    <s v="CONVOCATORIA POR LA QUE SE REGULA EL PROCEDIMIENTO PARA QUE EL ALUMNADO DE BACHILLERATO DE ARTES CON MATERIAS PENDIENTES TRAS HABER AGOTADO LA PERMANENCIA EN EL REGIMEN ORDINARIO, PUEDA CURSARLAS EN CENTROS QUE LAS IMPARTAN EN REGIMEN A DISTANCIA."/>
    <s v="3 MESES"/>
    <x v="0"/>
    <x v="8"/>
    <x v="52"/>
    <s v="SKWV"/>
    <x v="1585"/>
    <s v="S"/>
    <s v="N"/>
    <s v="S"/>
    <s v="N"/>
  </r>
  <r>
    <x v="8"/>
    <s v="040328"/>
    <s v="PROCEDIMIENTO PARA LA SELECCION DE CENTROS ESCOLARES EN EL PROGRAMA ESCOLAR DE CONSUMO DE FRUTAS, HORTALIZAS Y LECHE"/>
    <s v="2 MESES"/>
    <x v="1"/>
    <x v="8"/>
    <x v="50"/>
    <s v="SL1T"/>
    <x v="1586"/>
    <s v="N"/>
    <s v="N"/>
    <s v="S"/>
    <s v="N"/>
  </r>
  <r>
    <x v="8"/>
    <s v="040333"/>
    <s v="RECONOCIMIENTO DE CREDITOS DE INNOVACION Y/O FORMACION AL PERSONAL DOCENTE PARTICIPANTE EN PROYECTOS ERASMUS+  DE LA COMUNIDAD AUTONOMA DE CASTILLA-LA MANCHA."/>
    <s v="TRES MESES."/>
    <x v="1"/>
    <x v="8"/>
    <x v="49"/>
    <s v="SL4G"/>
    <x v="1587"/>
    <s v="N"/>
    <s v="N"/>
    <s v="S"/>
    <s v="N"/>
  </r>
  <r>
    <x v="8"/>
    <s v="040334"/>
    <s v="PROGRAMAS PREPARA-T, ILUSIONA-T Y TITULA-S INTEGRADOS EN EL V PLAN DE EXITO EDUCATIVO Y PREVENCION DEL ABANDONO ESCOLAR TEMPRANO EN CENTROS PUBLICOS DE CASTILLA-LA MANCHA"/>
    <s v="3 MESES"/>
    <x v="1"/>
    <x v="8"/>
    <x v="55"/>
    <s v="SL4J"/>
    <x v="1588"/>
    <s v="N"/>
    <s v="N"/>
    <s v="S"/>
    <s v="N"/>
  </r>
  <r>
    <x v="8"/>
    <s v="040347"/>
    <s v="BECAS Y AYUDAS A ALUMNOS DE NIVELES POSTOBLIGATORIOS"/>
    <s v=""/>
    <x v="1"/>
    <x v="8"/>
    <x v="55"/>
    <s v="SLAA"/>
    <x v="1589"/>
    <s v="S"/>
    <s v="N"/>
    <s v="S"/>
    <s v="N"/>
  </r>
  <r>
    <x v="8"/>
    <s v="040349"/>
    <s v="PRUEBAS ESPECIFICAS DE CERTIFICACION NIVEL INTERMEDIO B1 EN IDIOMAS EN CENTROS EDUCATIVOS SOSTENIDOS CON FONDOS PUBLICOS EN EL MARCO DE UN PROYECTO BILINGUE O PLURILINGUE -ALUMNADO 4º ESO Y 2º CCFF GRADO MEDIO."/>
    <s v="3 MESES."/>
    <x v="1"/>
    <x v="8"/>
    <x v="48"/>
    <s v="SLCB"/>
    <x v="1590"/>
    <s v="S"/>
    <s v="N"/>
    <s v="S"/>
    <s v="N"/>
  </r>
  <r>
    <x v="8"/>
    <s v="040352"/>
    <s v="APORTACION DE LA MEMORIA ANUAL DE LOS CENTROS EDUCATIVOS SOSTENIDOS CON FONDOS PUBLICOS DE CASTILLA - LA MANCHA"/>
    <s v=""/>
    <x v="2"/>
    <x v="8"/>
    <x v="49"/>
    <s v="MLE5"/>
    <x v="1591"/>
    <s v="N"/>
    <s v="N"/>
    <s v="S"/>
    <s v="N"/>
  </r>
  <r>
    <x v="8"/>
    <s v="040357"/>
    <s v="ADMISION DE ALUMNADO EN CURSOS DE ESPECIALIZACION EN FORMACION PROFESIONAL EN CENTROS DOCENTES DE CASTILLA-LA MANCHA DE TITULARIDAD PUBLICA."/>
    <s v="3 MESES"/>
    <x v="1"/>
    <x v="8"/>
    <x v="52"/>
    <s v="SLH4"/>
    <x v="1592"/>
    <s v="N"/>
    <s v="N"/>
    <s v="S"/>
    <s v="N"/>
  </r>
  <r>
    <x v="8"/>
    <s v="040360"/>
    <s v="CONVOCATORIA DE ADMISION DE ALUMNADO EN CENTROS DE EDUCACION DE PERSONAS ADULTAS DE CASTILLA-LA MANCHA QUE IMPARTEN CICLOS FORMATIVOS DE FORMACION PROFESIONAL DE TRES CURSOS ACADEMICOS."/>
    <s v="3 MESES."/>
    <x v="1"/>
    <x v="8"/>
    <x v="52"/>
    <s v="SLMJ"/>
    <x v="1593"/>
    <s v="S"/>
    <s v="N"/>
    <s v="S"/>
    <s v="N"/>
  </r>
  <r>
    <x v="8"/>
    <s v="040364"/>
    <s v="PROGRAMA DE COOPERACION TERRITORIAL PARA LA ORIENTACION, EL AVANCE Y EL ENRIQUECIMIENTO EDUCATIVO EN CENTROS DE ESPECIAL COMPLEJIDAD EDUCATIVA, PROGRAMA PROA+, EN LOS CENTROS DOCENTES SOSTENIDOS CON FONDOS PUBLICOS DE CASTILLA-LA MANCHA."/>
    <s v=""/>
    <x v="2"/>
    <x v="8"/>
    <x v="48"/>
    <s v="SLP7"/>
    <x v="1594"/>
    <s v="N"/>
    <s v="N"/>
    <s v="N"/>
    <s v="N"/>
  </r>
  <r>
    <x v="8"/>
    <s v="040367"/>
    <s v="PROYECTO DE FORMACION &quot;AULA DEL FUTURO&quot;"/>
    <s v="2 MESES"/>
    <x v="1"/>
    <x v="8"/>
    <x v="49"/>
    <s v="SLPO"/>
    <x v="1595"/>
    <s v="N"/>
    <s v="N"/>
    <s v="S"/>
    <s v="N"/>
  </r>
  <r>
    <x v="8"/>
    <s v="040371"/>
    <s v="CONSTITUCION Y ACTUACION DE LAS COMISIONES DE ELABORACION DE LAS PRUEBAS LIBRES PARA LA OBTENCION DEL TITULO DE BACHILLER Y DE LAS PRUEBAS LIBRES PARA LA OBTENCION DEL TITULO DE GRADUADO EN EDUCACION SECUNDARIA OBLIGATORIA"/>
    <s v="3 MESES."/>
    <x v="1"/>
    <x v="8"/>
    <x v="52"/>
    <s v="SLQN"/>
    <x v="1596"/>
    <s v="N"/>
    <s v="N"/>
    <s v="S"/>
    <s v="N"/>
  </r>
  <r>
    <x v="8"/>
    <s v="040375"/>
    <s v="IMPLANTACION DE UN AULA DE TECNOLOGIA APLICADA EN  CENTROS DE TITULARIDAD PUBLICA DE CASTILLA-LA MANCHA, QUE IMPARTEN ENSEÑANZAS DE FORMACION PROFESIONAL"/>
    <s v="15 DÍAS DESDE SU PUBLICACIÓN EN EL DOCM"/>
    <x v="1"/>
    <x v="8"/>
    <x v="55"/>
    <s v="DLTM"/>
    <x v="1597"/>
    <s v="N"/>
    <s v="N"/>
    <s v="S"/>
    <s v="N"/>
  </r>
  <r>
    <x v="8"/>
    <s v="040376"/>
    <s v="IMPLANTACION DE UN AULA PROFESIONAL DE EMPRENDIMIENTO EN  CENTROS DE TITULARIDAD PUBLICA DE CASTILLA-LA MANCHA, QUE IMPARTEN ENSEÑANZAS DE FORMACION PROFESIONAL."/>
    <s v="15 DÍAS DESDE LA PUBLICACIÓN EN EL DOCM."/>
    <x v="1"/>
    <x v="8"/>
    <x v="55"/>
    <s v="DLTN"/>
    <x v="1598"/>
    <s v="S"/>
    <s v="N"/>
    <s v="S"/>
    <s v="N"/>
  </r>
  <r>
    <x v="8"/>
    <s v="040377"/>
    <s v="ADMISION DE ALUMNADO PARA CURSAR ENSEÑANZAS SUPERIORES DE ARTE DRAMATICO."/>
    <s v="TRES MESES"/>
    <x v="1"/>
    <x v="8"/>
    <x v="55"/>
    <s v="SLVH"/>
    <x v="1599"/>
    <s v="S"/>
    <s v="N"/>
    <s v="S"/>
    <s v="N"/>
  </r>
  <r>
    <x v="8"/>
    <s v="040380"/>
    <s v="RECONOCIMIENTO OFICIAL COMO CENTRO REGIONAL DE CULTURA DE CASTILLA-LA MANCHA"/>
    <s v="6 MESES"/>
    <x v="0"/>
    <x v="8"/>
    <x v="51"/>
    <s v="SLXP"/>
    <x v="1600"/>
    <s v="N"/>
    <s v="N"/>
    <s v="S"/>
    <s v="N"/>
  </r>
  <r>
    <x v="8"/>
    <s v="045329"/>
    <s v="ADMISION EN LA MODALIDAD OFERTA MODULAR PRESENCIAL EN CCFF DE FORMACION PROFESIONAL Y CURSOS DE ESPECIALIZACION."/>
    <s v="2 MESES"/>
    <x v="1"/>
    <x v="8"/>
    <x v="52"/>
    <s v="SKU3"/>
    <x v="1601"/>
    <s v="S"/>
    <s v="N"/>
    <s v="S"/>
    <s v="N"/>
  </r>
  <r>
    <x v="8"/>
    <s v="045330"/>
    <s v="PROCESO DE ADMISION DE ALUMNADO PARA CURSAR ENSEÑANZAS ARTISTICAS SUPERIORES DE DISEÑO."/>
    <s v="3 MESES."/>
    <x v="1"/>
    <x v="8"/>
    <x v="52"/>
    <s v="SK14"/>
    <x v="1602"/>
    <s v="S"/>
    <s v="N"/>
    <s v="S"/>
    <s v="N"/>
  </r>
  <r>
    <x v="8"/>
    <s v="045331"/>
    <s v="PROCESO DE ADMISION A LOS ESTUDIOS DE CICLOS FORMATIVOS DE ARTES PLASTICAS Y DISEÑO."/>
    <s v="3 MESES."/>
    <x v="1"/>
    <x v="8"/>
    <x v="52"/>
    <s v="SK13"/>
    <x v="1603"/>
    <s v="S"/>
    <s v="N"/>
    <s v="S"/>
    <s v="N"/>
  </r>
  <r>
    <x v="8"/>
    <s v="045332"/>
    <s v="ADMISION DE ALUMNADO PARA LAS ENSEÑANZAS DE IDIOMAS EN ESCUELAS OFICIALES DE IDIOMAS Y CENTROS DE EDUCACION DE PERSONAS ADULTAS."/>
    <s v="3 MESES."/>
    <x v="1"/>
    <x v="8"/>
    <x v="48"/>
    <s v="SK12"/>
    <x v="1604"/>
    <s v="N"/>
    <s v="N"/>
    <s v="S"/>
    <s v="N"/>
  </r>
  <r>
    <x v="8"/>
    <s v="045333"/>
    <s v="ADMISION A LOS ESTUDIOS ELEMENTALES Y PROFESIONALES DE MUSICA Y DANZA"/>
    <s v="3 MESES."/>
    <x v="1"/>
    <x v="8"/>
    <x v="52"/>
    <s v="SIQ8"/>
    <x v="1605"/>
    <s v="S"/>
    <s v="N"/>
    <s v="S"/>
    <s v="N"/>
  </r>
  <r>
    <x v="8"/>
    <s v="080008"/>
    <s v="EQUIVALENCIA DE ESTUDIOS CON LOS TITULOS DE GRADUADO EN EDUCACION SECUNDARIA OBLIGATORIA Y DE BACHILLER REGULADOS EN LA LEY ORGANICA 2/2006, DE 3 DE MAYO, DE EDUCACION."/>
    <s v="3 MESES"/>
    <x v="1"/>
    <x v="8"/>
    <x v="49"/>
    <s v="SLEF"/>
    <x v="1606"/>
    <s v="S"/>
    <s v="N"/>
    <s v="S"/>
    <s v="N"/>
  </r>
  <r>
    <x v="8"/>
    <s v="110013"/>
    <s v="CONCURSO- OPOSICION PARA EL INGRESO EN EL CUERPO DE MAESTROS, PROCEDIMIENTO PARA LA ADQUISICION DE NUEVAS ESPECIALIDADES POR LOS FUNCIONARIOS DEL MENCIONADO CUERPO Y PROCEDIMIENTO DE SELECCION DE ASPIRANTES A PUESTOS DE TRABAJO DOCENTE EN REGIMEN DE INTER"/>
    <s v="6 MESES"/>
    <x v="1"/>
    <x v="8"/>
    <x v="53"/>
    <s v="SINN"/>
    <x v="1607"/>
    <s v="S"/>
    <s v="N"/>
    <s v="S"/>
    <s v="N"/>
  </r>
  <r>
    <x v="8"/>
    <s v="110037"/>
    <s v="PROCESO SELECTIVO CONSTITUCION DE BOLSAS DE TRABAJO PERSONAL DOCENTE"/>
    <s v="3 MESES"/>
    <x v="1"/>
    <x v="8"/>
    <x v="50"/>
    <s v="SKS5"/>
    <x v="1608"/>
    <s v="S"/>
    <s v="N"/>
    <s v="S"/>
    <s v="N"/>
  </r>
  <r>
    <x v="8"/>
    <s v="110044"/>
    <s v="PROCESO SELECTIVO PARA CONSTITUCION DE UNA BOLSA DE PROFESORES ESPECIALISTAS DEL CICLO FORMATIVO DE GRADO SUPERIOR EN FORMACION PARA LA MOVILIDAD SEGURA Y SOSTENIBLE"/>
    <s v="3 MESES."/>
    <x v="1"/>
    <x v="8"/>
    <x v="56"/>
    <s v="SLH1"/>
    <x v="1609"/>
    <s v="S"/>
    <s v="N"/>
    <s v="S"/>
    <s v="N"/>
  </r>
  <r>
    <x v="8"/>
    <s v="110045"/>
    <s v="PROCEDIMIENTO DE CONSTITUCION DE BOLSAS DE TRABAJO DE PROFESORADO ESPECIALISTA - ESCALADA"/>
    <s v="3 MESES"/>
    <x v="1"/>
    <x v="8"/>
    <x v="56"/>
    <s v="SLH2"/>
    <x v="1610"/>
    <s v="N"/>
    <s v="N"/>
    <s v="S"/>
    <s v="N"/>
  </r>
  <r>
    <x v="8"/>
    <s v="110057"/>
    <s v="PROVISION, POR EL PROCEDIMIENTO DE LIBRE DESIGNACION DEL PUESTO DE DIRECCION DEL CENTRO INTEGRADO PUBLICO DE FORMACION PROFESIONAL"/>
    <s v="1 JULIO 2022"/>
    <x v="1"/>
    <x v="8"/>
    <x v="53"/>
    <s v="SLM2"/>
    <x v="1611"/>
    <s v="N"/>
    <s v="N"/>
    <s v="S"/>
    <s v="N"/>
  </r>
  <r>
    <x v="8"/>
    <s v="110107"/>
    <s v="PROCEDIMIENTO SELECTIVO PARA EL INGRESO MEDIANTE CONCURSO DE MERITOS, TURNO LIBRE, EN LOS CUERPOS DE SECUNDARIA, FORMACION PROFESIONAL Y ENSEÑANZAS DE REGIMEN ESPECIAL."/>
    <s v="9 MESES"/>
    <x v="1"/>
    <x v="8"/>
    <x v="53"/>
    <s v="SLZ7"/>
    <x v="1612"/>
    <s v="N"/>
    <s v="N"/>
    <s v="S"/>
    <s v="N"/>
  </r>
  <r>
    <x v="8"/>
    <s v="115413"/>
    <s v="PRUEBAS SELECTIVAS PARA INGRESO EN EL CUERPO DE PROFESORES DE ARTES PLASTICAS Y DISEÑO, ADQUISICION DE NUEVAS ESPECIALIDADES, Y SELECCION DE ASPIRANTES A PUESTOS EN REGIMEN DE INTERINIDAD."/>
    <s v="6 MESES."/>
    <x v="1"/>
    <x v="8"/>
    <x v="53"/>
    <s v="SKES"/>
    <x v="1613"/>
    <s v="S"/>
    <s v="N"/>
    <s v="S"/>
    <s v="N"/>
  </r>
  <r>
    <x v="8"/>
    <s v="115414"/>
    <s v="CONCURSO-OPOSICION PARA EL INGRESO EN EL CUERPO DE PROFESORES DE ENSEÑANZA SECUNDARIA Y MUSICA Y ARTES ESCENICAS, ACCESO, ADQUISICION DE ESPECIALIDADES Y SELECCION DE INTERINOS."/>
    <s v="6 MESES."/>
    <x v="1"/>
    <x v="8"/>
    <x v="53"/>
    <s v="SI06"/>
    <x v="1614"/>
    <s v="S"/>
    <s v="N"/>
    <s v="S"/>
    <s v="N"/>
  </r>
  <r>
    <x v="8"/>
    <s v="115415"/>
    <s v="CONCURSO-OPOSICION PARA EL INGRESO EN EL CUERPO DE PROFESORES TECNICOS DE FORMACION PROFESIONAL, ADQUISICION DE ESPECIALIDADES Y SELECCION DE INTERINOS."/>
    <s v="6 MESES."/>
    <x v="1"/>
    <x v="8"/>
    <x v="53"/>
    <s v="SKEV"/>
    <x v="1615"/>
    <s v="S"/>
    <s v="N"/>
    <s v="S"/>
    <s v="N"/>
  </r>
  <r>
    <x v="8"/>
    <s v="115457"/>
    <s v="PROCESO DE AMPLIACION DE BOLSAS DE TRABAJO DE ASPIRANTES A INTERINIDADES DE DISTINTAS ESPECIALIDADES DE CUERPOS DOCENTES (SECUNDARIA, PTFP, MUSICA,PROF. ARTES PLASTICAS Y DISEÑO Y MAESTROS)"/>
    <s v="3 MESES"/>
    <x v="1"/>
    <x v="8"/>
    <x v="53"/>
    <s v="SKFJ"/>
    <x v="1616"/>
    <s v="N"/>
    <s v="N"/>
    <s v="S"/>
    <s v="N"/>
  </r>
  <r>
    <x v="8"/>
    <s v="115458"/>
    <s v="SELECCION PROFESORADO ESPECIALISTA PARA LA ESCUELA SUPERIOR DE ARTE DRAMATICO DE CASTILLA-LA MANCHA"/>
    <s v="3 MESES"/>
    <x v="1"/>
    <x v="8"/>
    <x v="53"/>
    <s v="SJYL"/>
    <x v="1617"/>
    <s v="N"/>
    <s v="N"/>
    <s v="S"/>
    <s v="N"/>
  </r>
  <r>
    <x v="8"/>
    <s v="115593"/>
    <s v="GESTION BOLSAS DE TRABAJO DE PERSONAL DOCENTE NO UNIVERSITARIO"/>
    <s v="2 MESES"/>
    <x v="1"/>
    <x v="8"/>
    <x v="53"/>
    <s v="SK9S"/>
    <x v="1618"/>
    <s v="N"/>
    <s v="N"/>
    <s v="S"/>
    <s v="N"/>
  </r>
  <r>
    <x v="8"/>
    <s v="120035"/>
    <s v="PROCEDIMIENTO DE ADMISION DE ESCUELAS INFANTILES DEPENDIENTES DE LA ADMINISTRACION DE LA JUNTA DE COMUNIDADES DE CASTILLA - LA MANCHA"/>
    <s v="6 MESES."/>
    <x v="1"/>
    <x v="8"/>
    <x v="48"/>
    <s v="SC32"/>
    <x v="1619"/>
    <s v="S"/>
    <s v="N"/>
    <s v="S"/>
    <s v="N"/>
  </r>
  <r>
    <x v="8"/>
    <s v="120036"/>
    <s v="ADMISION DE ALUMNOS EN COMEDORES ESCOLARES"/>
    <s v="0"/>
    <x v="2"/>
    <x v="8"/>
    <x v="50"/>
    <s v="SI4J"/>
    <x v="1620"/>
    <s v="S"/>
    <s v="N"/>
    <s v="S"/>
    <s v="N"/>
  </r>
  <r>
    <x v="8"/>
    <s v="120038"/>
    <s v="SOLICITUD DE PLAZA EN EL TRANSPORTE ESCOLAR"/>
    <s v="0"/>
    <x v="2"/>
    <x v="8"/>
    <x v="50"/>
    <s v="SJ2T"/>
    <x v="1621"/>
    <s v="S"/>
    <s v="N"/>
    <s v="S"/>
    <s v="N"/>
  </r>
  <r>
    <x v="8"/>
    <s v="120039"/>
    <s v="ASISTENCIA SANITARIA AL ALUMNADO DE CENTROS DOCENTES NO UNIVERSITARIOS CON ENFERMEDAD CRÓNICA O QUE PRECISE ATENCIÓN SANITARIA ESPECÍFICA"/>
    <s v="0"/>
    <x v="2"/>
    <x v="8"/>
    <x v="48"/>
    <s v="NJN0"/>
    <x v="1622"/>
    <s v="S"/>
    <s v="N"/>
    <s v="S"/>
    <s v="N"/>
  </r>
  <r>
    <x v="8"/>
    <s v="130004"/>
    <s v="RECLAMACION DE RESPONSABILIDAD PATRIMONIAL DE LA CONSEJERIA DE EDUCACION, CULTURA Y DEPORTES"/>
    <s v="6 MESES. EN CASO TRAMITACIÓN SIMPLIFICADA, 30 DÍAS"/>
    <x v="1"/>
    <x v="8"/>
    <x v="50"/>
    <s v="SLER"/>
    <x v="1623"/>
    <s v="S"/>
    <s v="N"/>
    <s v="S"/>
    <s v="N"/>
  </r>
  <r>
    <x v="8"/>
    <s v="150002"/>
    <s v="SUSCRIPCION O MODIFICACION DE CONCIERTOS EDUCATIVOS EN LA COMUNIDAD AUTONOMA DE CASTILLA-LA MANCHA. EDUCACION PRIMARIA."/>
    <s v="ANTES DEL 15 DE ABRIL DE 2022."/>
    <x v="1"/>
    <x v="8"/>
    <x v="49"/>
    <s v="SI03"/>
    <x v="1624"/>
    <s v="N"/>
    <s v="N"/>
    <s v="S"/>
    <s v="N"/>
  </r>
  <r>
    <x v="8"/>
    <s v="180042"/>
    <s v="HOMOLOGACIÓN, RECONOCIMIENTO, REGISTRO Y CERTIFICACIÓN DE ACTIVIDADES DE FORMACIÓN PERMANENTE DEL PROFESORADO NO UNIVERSITARIO"/>
    <s v="1 MES"/>
    <x v="1"/>
    <x v="8"/>
    <x v="49"/>
    <s v="SJLC"/>
    <x v="1625"/>
    <s v="N"/>
    <s v="N"/>
    <s v="S"/>
    <s v="N"/>
  </r>
  <r>
    <x v="8"/>
    <s v="180106"/>
    <s v="CONCURSO-OPOSICION PARA EL ACCESO AL CUERPO DE INSPECTORES DE EDUCACION, EN PLAZAS VACANTES DEL AMBITO DE GESTION DE LA COMUNIDAD AUTONOMA DE CASTILLA- LA MANCHA."/>
    <s v="6 MESES"/>
    <x v="1"/>
    <x v="8"/>
    <x v="53"/>
    <s v="SK0I"/>
    <x v="1626"/>
    <s v="S"/>
    <s v="N"/>
    <s v="S"/>
    <s v="N"/>
  </r>
  <r>
    <x v="8"/>
    <s v="180127"/>
    <s v="CONCURSO TRASLADOS DOCENTES CUERPOS DE CATEDRATICOS E.SECUNDARIA, PROFESORES E. SECUNDARIA, PROF. TEC. DE FP, CATEDRATICOS DE EOI, PROF. EOI, PROF.MUSICA Y ARTES ESCENICAS, CATEDRATICOS  ARTES PLASTICAS Y DISEÑO, PROF.  ARTES PLASTICAS Y DISEÑO Y MAESTROS"/>
    <s v="6 MESES."/>
    <x v="1"/>
    <x v="8"/>
    <x v="53"/>
    <s v="SK79"/>
    <x v="1627"/>
    <s v="N"/>
    <s v="N"/>
    <s v="S"/>
    <s v="N"/>
  </r>
  <r>
    <x v="8"/>
    <s v="180128"/>
    <s v="CONCURSO DE TRASLADOS DE AMBITO ESTATAL ENTRE FUNCIONARIOS Y FUNCIONARIAS DE LOS CUERPOS DE INSPECTORES AL SERVICIO DE LA ADMINISTRACION EDUCATIVA Y DE INSPECTORES DE EDUCACION, DEPENDIENTES DEL AMBITO DE GESTION DE CASTILLA- LA MANCHA."/>
    <s v="6 MESES"/>
    <x v="1"/>
    <x v="8"/>
    <x v="53"/>
    <s v="SK7A"/>
    <x v="1628"/>
    <s v="N"/>
    <s v="N"/>
    <s v="S"/>
    <s v="N"/>
  </r>
  <r>
    <x v="8"/>
    <s v="180129"/>
    <s v="CONCURSO DE TRASLADOS DE AMBITO ESTATAL Y PROCESOS PREVIOS DEL CUERPO DE MAESTROS."/>
    <s v="6 MESES"/>
    <x v="1"/>
    <x v="8"/>
    <x v="53"/>
    <s v="SK7B"/>
    <x v="1629"/>
    <s v="N"/>
    <s v="N"/>
    <s v="S"/>
    <s v="N"/>
  </r>
  <r>
    <x v="8"/>
    <s v="180152"/>
    <s v="PROCESO DE SELECCION PARA ELABORAR UNA LISTA EXTRAORDINARIA DE ASPIRANTES A OCUPAR PUESTOS COMO INSPECTORES ACCIDENTALES, EN REGIMEN DE COMISION DE SERVICIOS."/>
    <s v="3 MESES"/>
    <x v="1"/>
    <x v="8"/>
    <x v="53"/>
    <s v="SKJ5"/>
    <x v="1630"/>
    <s v="N"/>
    <s v="N"/>
    <s v="S"/>
    <s v="N"/>
  </r>
  <r>
    <x v="8"/>
    <s v="180158"/>
    <s v="SOLICITUD DE ADJUDICACION  DE AUXILIARES DE CONVERSACION  A CENTROS PUBLICOS DOCENTES NO UNIVERSITARIOS"/>
    <s v="3 MESES"/>
    <x v="1"/>
    <x v="8"/>
    <x v="48"/>
    <s v="SKLZ"/>
    <x v="1631"/>
    <s v="N"/>
    <s v="N"/>
    <s v="S"/>
    <s v="N"/>
  </r>
  <r>
    <x v="8"/>
    <s v="180165"/>
    <s v="PLAN DE FORMACION PERMANENTE DEL PROFESORADO EN CASTILLA - LA MANCHA"/>
    <s v="DOS MESES"/>
    <x v="1"/>
    <x v="8"/>
    <x v="49"/>
    <s v="SKVM"/>
    <x v="1632"/>
    <s v="N"/>
    <s v="N"/>
    <s v="S"/>
    <s v="N"/>
  </r>
  <r>
    <x v="8"/>
    <s v="180166"/>
    <s v="ACREDITACION DE NUEVOS DE MERITOS EN BOLSAS PROVINCIALES DEL PROFESORADO DE RELIGION"/>
    <s v="2 MESES"/>
    <x v="1"/>
    <x v="8"/>
    <x v="55"/>
    <s v="SKWP"/>
    <x v="1633"/>
    <s v="N"/>
    <s v="N"/>
    <s v="S"/>
    <s v="N"/>
  </r>
  <r>
    <x v="8"/>
    <s v="180172"/>
    <s v="PROCEDIMIENTO PARA LA CONSTITUCION  Y ACTUACION DE LAS COMISIONES DE ELABORACION DE PRUEBAS DE CERTIFICACION DE NIVEL DE COMPETENCIA LINGUISTICA DE ENSEÑANZAS DE IDIOMAS DE REGIMEN ESPECIAL EN LA COMUNIDAD AUTONOMA DE CASTILLA-LA MANCHA."/>
    <s v="3 MESES"/>
    <x v="1"/>
    <x v="8"/>
    <x v="48"/>
    <s v="SL1U"/>
    <x v="1634"/>
    <s v="N"/>
    <s v="N"/>
    <s v="S"/>
    <s v="N"/>
  </r>
  <r>
    <x v="8"/>
    <s v="180196"/>
    <s v="COMUNICACION DE PRESUNTO ACOSO SEXUAL O POR RAZON DE SEXO AL PERSONAL EN EL AMBITO EDUCATIVO"/>
    <s v="45 DÍAS HÁBILES"/>
    <x v="2"/>
    <x v="8"/>
    <x v="53"/>
    <s v="MLK2"/>
    <x v="1635"/>
    <s v="S"/>
    <s v="N"/>
    <s v="S"/>
    <s v="N"/>
  </r>
  <r>
    <x v="8"/>
    <s v="180213"/>
    <s v="PROCESO MOVILIDAD PARA LA PROVISION DE PUESTOS DEL PROFESORADO QUE IMPARTE ENSEÑANZAS DE RELIGION EN LOS CENTROS DOCENTES PUBLICOS NO UNIVERSITARIOS DEPENDIENTES DE CASTILLA LA- MANCHA"/>
    <s v="2 MESES"/>
    <x v="1"/>
    <x v="8"/>
    <x v="53"/>
    <s v="SLLY"/>
    <x v="1636"/>
    <s v="N"/>
    <s v="N"/>
    <s v="S"/>
    <s v="N"/>
  </r>
  <r>
    <x v="8"/>
    <s v="180218"/>
    <s v="LIQUIDACION DE GASTOS POR TRASLADOS, ALOJAMIENTO Y MANUTENCION DEL PROFESORADO PARTICIPANTE EN LAS ACCIONES  FORMATIVAS DE LA OPERACION DE FORMACION,  PERFECCIONAMIENTO Y MOVILIDAD DEL PROFESORADO DE FP"/>
    <s v="3 MESES"/>
    <x v="1"/>
    <x v="8"/>
    <x v="55"/>
    <s v="LLNM"/>
    <x v="1637"/>
    <s v="S"/>
    <s v="N"/>
    <s v="S"/>
    <s v="N"/>
  </r>
  <r>
    <x v="8"/>
    <s v="180232"/>
    <s v="PROVISION POR EL PROCEDIMIENTO DE LIBRE DESIGNACION (LD EDCD F2/2022) DE PUESTOS DE TRABAJO VACANTES EN LA ADMINISTRACION DE LA JUNTA DE COMUNIDADES DE CASTILLA-LA MANCHA"/>
    <s v="DOS MESES DESDE LA PUBLICACIÓN DE LA CONVOCATORIA."/>
    <x v="1"/>
    <x v="8"/>
    <x v="50"/>
    <s v="SLTJ"/>
    <x v="1638"/>
    <s v="N"/>
    <s v="N"/>
    <s v="S"/>
    <s v="N"/>
  </r>
  <r>
    <x v="8"/>
    <s v="180251"/>
    <s v="ADJUDICACION DE AUXILIARES DE CONVERSACION A CENTROS PUBLICOS DOCENTES NO UNIVERSITARIOS CON PROYECTOS BILINGUES EN CICLOS FORMATIVOS DE FORMACION PROFESIONAL."/>
    <s v="3 MESES"/>
    <x v="1"/>
    <x v="8"/>
    <x v="48"/>
    <s v="SLYH"/>
    <x v="1639"/>
    <s v="N"/>
    <s v="N"/>
    <s v="S"/>
    <s v="N"/>
  </r>
  <r>
    <x v="8"/>
    <s v="185423"/>
    <s v="PROVISION DE PUESTOS DE TRABAJO DE PERSONAL FUNCIONARIO POR EL PROCEDIMIENTO DE LIBRE DESIGNACION (LD EDCD F3/2022) EN LA CONSEJERIA DE EDUCACION, CULTURA Y DEPORTES."/>
    <s v="2 MESES"/>
    <x v="1"/>
    <x v="8"/>
    <x v="50"/>
    <s v="SJ4U"/>
    <x v="1640"/>
    <s v="N"/>
    <s v="N"/>
    <s v="S"/>
    <s v="N"/>
  </r>
  <r>
    <x v="8"/>
    <s v="185425"/>
    <s v="CONVOCATORIA DE CONCURSO SINGULARIZADO DE MERITOS PARA LA PROVISION DE PUESTOS DE TRABAJO VACANTES  (PERSONAL OTRAS ADMINISTRACIONES)"/>
    <s v="4 MESES"/>
    <x v="1"/>
    <x v="8"/>
    <x v="50"/>
    <s v="SL5U"/>
    <x v="1641"/>
    <s v="N"/>
    <s v="N"/>
    <s v="S"/>
    <s v="N"/>
  </r>
  <r>
    <x v="8"/>
    <s v="185426"/>
    <s v="CONVOCATORIA DE CONCURSO SINGULARIZADO DE MERITOS PARA LA PROVISION DE PUESTOS DE TRABAJO VACANTES  (PERSONAL DE LA ADMINISTRACION DE LA JCCM)"/>
    <s v="4 MESES"/>
    <x v="1"/>
    <x v="8"/>
    <x v="50"/>
    <s v="SJUD"/>
    <x v="1642"/>
    <s v="N"/>
    <s v="N"/>
    <s v="S"/>
    <s v="N"/>
  </r>
  <r>
    <x v="8"/>
    <s v="185427"/>
    <s v="PROCEDIMIENTO DE SELECCION DE DIRECTORAS Y DIRECTORES DE LOS CENTROS DOCENTES PUBLICOS RECONOCIDOS COMO COMUNIDAD DE APRENDIZAJE: CEIP LA PAZ Y CEIP ENTRE CULTURAS."/>
    <s v="CON ANTERIORIDAD AL 7 DE JUNIO DE 2022."/>
    <x v="1"/>
    <x v="8"/>
    <x v="48"/>
    <s v="SL96"/>
    <x v="1643"/>
    <s v="N"/>
    <s v="N"/>
    <s v="S"/>
    <s v="N"/>
  </r>
  <r>
    <x v="8"/>
    <s v="185428"/>
    <s v="RENOVACION, SELECCION Y NOMBRAMIENTO DE DIRECTORAS Y DE DIRECTORES DE LOS CENTROS DOCENTES PUBLICOS NO UNIVERSITARIOS DE CASTILLA-LA MANCHA"/>
    <s v="CON ANTERIORIDAD AL 9 DE JUNIO DE 2023."/>
    <x v="1"/>
    <x v="8"/>
    <x v="48"/>
    <s v="SJUH"/>
    <x v="1644"/>
    <s v="N"/>
    <s v="N"/>
    <s v="S"/>
    <s v="N"/>
  </r>
  <r>
    <x v="8"/>
    <s v="185484"/>
    <s v="CONVOCATORIA DE PROCEDIMIENTO PARA LA RENOVACION O RENUNCIA DE COMISION DE SERVICIO EN PUESTOS ESPECIFICOS DE CICLOS FORMATIVOS"/>
    <s v="3 MESES."/>
    <x v="1"/>
    <x v="8"/>
    <x v="52"/>
    <s v="SLDL"/>
    <x v="1645"/>
    <s v="N"/>
    <s v="N"/>
    <s v="S"/>
    <s v="N"/>
  </r>
  <r>
    <x v="8"/>
    <s v="185485"/>
    <s v="CONVOCATORIA DE PROCEDIMIENTO PARA LA  PROVISION DE PUESTOS EN COMISION DE SERVICIO EN AULAS ABIERTAS ESPECIALIZADAS Y EQUIPOS DE ATENCION EDUCATIVA PARA ALUMNADO CON TEA."/>
    <s v="3 MESES."/>
    <x v="1"/>
    <x v="8"/>
    <x v="48"/>
    <s v="SKL9"/>
    <x v="1646"/>
    <s v="N"/>
    <s v="N"/>
    <s v="S"/>
    <s v="N"/>
  </r>
  <r>
    <x v="8"/>
    <s v="185486"/>
    <s v="COMISIONES DE SERVICIO PARA PERSONAL DOCENTE EN CENTROS DE EDUCACION ESPECIAL Y PARA PERSONAL DOCENTE DEL SERVICIO DEL ASESORAMIENTO Y APOYO ESPECIALIZADO EN LOS CENTROS DE EDUCACION ESPECIAL"/>
    <s v="3 MESES."/>
    <x v="1"/>
    <x v="8"/>
    <x v="48"/>
    <s v="SLLA"/>
    <x v="1647"/>
    <s v="N"/>
    <s v="N"/>
    <s v="S"/>
    <s v="N"/>
  </r>
  <r>
    <x v="8"/>
    <s v="185487"/>
    <s v="CONVOCATORIA DE PROCEDIMIENTO PARA LA RENOVACION DE COMISION DE SERVICIO EN UNIDADES DE EDUCACION ESPECIAL."/>
    <s v="3 MESES."/>
    <x v="1"/>
    <x v="8"/>
    <x v="48"/>
    <s v="SLDN"/>
    <x v="1648"/>
    <s v="N"/>
    <s v="N"/>
    <s v="S"/>
    <s v="N"/>
  </r>
  <r>
    <x v="8"/>
    <s v="185488"/>
    <s v="CONVOCATORIA DE CONCESION DE COMISIONES DE SERVICIO A FUNCIONARIOS/AS DOCENTES DE NIVELES DE ENSEÑANZA NO UNIVERSITARIA EN PUESTOS DEPENDIENTES DE LA CONSEJERIA DE EDUCACION, CULTURA Y DEPORTES"/>
    <s v="3 MESES."/>
    <x v="1"/>
    <x v="8"/>
    <x v="53"/>
    <s v="SLDM"/>
    <x v="1649"/>
    <s v="N"/>
    <s v="N"/>
    <s v="S"/>
    <s v="N"/>
  </r>
  <r>
    <x v="8"/>
    <s v="185489"/>
    <s v="RENOVACION, RENUNCIA Y PROVISION DE PUESTOS DE TRABAJO EN COMISION DE SERVICIO EN LOS EAEHD Y EAERM DE CASTILLA-LA MANCHA."/>
    <s v="3 MESES."/>
    <x v="1"/>
    <x v="8"/>
    <x v="48"/>
    <s v="SIMH"/>
    <x v="1650"/>
    <s v="N"/>
    <s v="N"/>
    <s v="S"/>
    <s v="N"/>
  </r>
  <r>
    <x v="8"/>
    <s v="185490"/>
    <s v="CONVOCATORIA DE PROCEDIMIENTO PARA LA  PROVISION Y RENOVACION DE PUESTOS EN COMISION DE SERVICIO PARA LOS EQUIPOS DE ATENCION EDUCATIVA PARA EL ALUMNADO CON CEGUERA O DISCAPACIDAD VISUAL GRAVE."/>
    <s v="3 MESES."/>
    <x v="1"/>
    <x v="8"/>
    <x v="48"/>
    <s v="SKL8"/>
    <x v="1651"/>
    <s v="N"/>
    <s v="N"/>
    <s v="S"/>
    <s v="N"/>
  </r>
  <r>
    <x v="8"/>
    <s v="185491"/>
    <s v="RENOVACION, RENUNCIA Y PROVISION DE PUESTOS DE TRABAJO EN COMISION DE SERVICIO EN LOS CENTROS RECONOCIDOS COMO COMUNIDAD DE APRENDIZAJE DE CASTILLA-LA MANCHA."/>
    <s v="3 MESES."/>
    <x v="1"/>
    <x v="8"/>
    <x v="48"/>
    <s v="SL0N"/>
    <x v="1652"/>
    <s v="N"/>
    <s v="N"/>
    <s v="S"/>
    <s v="N"/>
  </r>
  <r>
    <x v="8"/>
    <s v="185492"/>
    <s v="RENOVACION, RENUNCIA Y PROVISION DE PUESTOS DE TRABAJO EN COMISION DE SERVICIO PARA CONFORMAR UNIDADES DE ACOMPAÑAMIENTO Y ORIENTACION-C-LM."/>
    <s v="3 MESES."/>
    <x v="1"/>
    <x v="8"/>
    <x v="48"/>
    <s v="SLVT"/>
    <x v="1653"/>
    <s v="N"/>
    <s v="N"/>
    <s v="S"/>
    <s v="N"/>
  </r>
  <r>
    <x v="8"/>
    <s v="185493"/>
    <s v="PROVISION DE COMISIONES DE SERVICIO PARA LA OFERTA DE CARACTER EXPERIMENTAL DE LOS CURSOS DE ESPECIALIZACION EN FABRICACION ADITIVA Y EN AERONAVES PILOTADAS DE FORMA REMOTA-DRONES"/>
    <s v="3 MESES."/>
    <x v="1"/>
    <x v="8"/>
    <x v="55"/>
    <s v="SLW9"/>
    <x v="1654"/>
    <s v="N"/>
    <s v="N"/>
    <s v="S"/>
    <s v="N"/>
  </r>
  <r>
    <x v="8"/>
    <s v="185880"/>
    <s v="COMUNICACION  DE PRESUNTO ACOSO LABORAL EN EL AMBITO EDUCATIVO"/>
    <s v="VENDRÁ DETERMINADO POR LA ADICIÓN DE LOS PLAZOS ESTABLECIDOS EN EL PROTOCOLO PARA LAS DISTINTAS FASES DEL PROCEDIMIENTO CON UNA DURACIÓN ESTIMADA DE 45 DÍAS HÁBILES."/>
    <x v="2"/>
    <x v="8"/>
    <x v="53"/>
    <s v="ML77"/>
    <x v="1655"/>
    <s v="N"/>
    <s v="N"/>
    <s v="S"/>
    <s v="N"/>
  </r>
  <r>
    <x v="8"/>
    <s v="190006"/>
    <s v="AUTORIZACION DEL CAMBIO DE USO DE LOS BIENES DE INTERES CULTURAL EN CASTILLA - LA MANCHA"/>
    <s v="3 MESES"/>
    <x v="1"/>
    <x v="8"/>
    <x v="51"/>
    <s v="SJQX"/>
    <x v="1656"/>
    <s v="S"/>
    <s v="N"/>
    <s v="S"/>
    <s v="N"/>
  </r>
  <r>
    <x v="8"/>
    <s v="210003"/>
    <s v="INCLUSION EN EL CATALOGO DE OBRAS DE CARÁCTER DOCUMENTAL DE INTERES PARA CASTILLA-LA MANCHA"/>
    <s v="6 MESES"/>
    <x v="1"/>
    <x v="8"/>
    <x v="51"/>
    <s v="SJ0G"/>
    <x v="1657"/>
    <s v="S"/>
    <s v="N"/>
    <s v="S"/>
    <s v="N"/>
  </r>
  <r>
    <x v="8"/>
    <s v="210009"/>
    <s v="PARTICIPACION DE LOS CENTROS DOCENTES EN EL PROYECTO ¿FORMACION EN COMPETENCIA  (STEAM) EN PRIMARIA, SECUNDARIA, REGIMEN ESPECIAL Y EDUCACION DE PERSONAS ADULTAS"/>
    <s v="1 MES."/>
    <x v="1"/>
    <x v="8"/>
    <x v="49"/>
    <s v="SL2Z"/>
    <x v="1658"/>
    <s v="N"/>
    <s v="N"/>
    <s v="S"/>
    <s v="N"/>
  </r>
  <r>
    <x v="8"/>
    <s v="210010"/>
    <s v="LIBRAMIENTO DE FONDOS PARA LA IMPLANTACION Y DESARROLLO DEL PROGRAMA DE REFUERZO DE COMPETENCIAS ESPECIFICAS, OCIO RESPONSABLE, CULTURA Y DEPORTE  EN CRA Y CENTROS INCOMPLETOS"/>
    <s v="3 MESES"/>
    <x v="1"/>
    <x v="8"/>
    <x v="49"/>
    <s v="SLZF"/>
    <x v="1659"/>
    <s v="N"/>
    <s v="N"/>
    <s v="S"/>
    <s v="N"/>
  </r>
  <r>
    <x v="8"/>
    <s v="180152"/>
    <s v="PROCESO DE SELECCION PARA ELABORAR UNA LISTA EXTRAORDINARIA DE ASPIRANTES A OCUPAR PUESTOS COMO INSPECTORES ACCIDENTALES, EN REGIMEN DE COMISION DE SERVICIOS."/>
    <s v="3 MESES"/>
    <x v="1"/>
    <x v="8"/>
    <x v="53"/>
    <s v="SKJ5"/>
    <x v="1630"/>
    <s v="N"/>
    <s v="N"/>
    <s v="S"/>
    <s v="N"/>
  </r>
  <r>
    <x v="8"/>
    <s v="180158"/>
    <s v="SOLICITUD DE ADJUDICACION  DE AUXILIARES DE CONVERSACION  A CENTROS PUBLICOS DOCENTES NO UNIVERSITARIOS"/>
    <s v="3 MESES"/>
    <x v="1"/>
    <x v="8"/>
    <x v="48"/>
    <s v="SKLZ"/>
    <x v="1631"/>
    <s v="N"/>
    <s v="N"/>
    <s v="S"/>
    <s v="N"/>
  </r>
  <r>
    <x v="8"/>
    <s v="180162"/>
    <s v="PROCESO SELECTIVO PARA NOMBRAMIENTO DE FUNCIONARIO INTERINO DEL CUERPO TECNICO, ESCALA ARCHIVOS, BIBLIOTECAS Y MUSEOS, ESPECIALIDAD BIBLIOTECAS"/>
    <s v="6 MESES"/>
    <x v="1"/>
    <x v="8"/>
    <x v="51"/>
    <s v="SIKL"/>
    <x v="1660"/>
    <s v="S"/>
    <s v="N"/>
    <s v="S"/>
    <s v="N"/>
  </r>
  <r>
    <x v="8"/>
    <s v="180165"/>
    <s v="PLAN DE FORMACION PERMANENTE DEL PROFESORADO EN CASTILLA - LA MANCHA"/>
    <s v="DOS MESES"/>
    <x v="1"/>
    <x v="8"/>
    <x v="49"/>
    <s v="SKVM"/>
    <x v="1632"/>
    <s v="N"/>
    <s v="N"/>
    <s v="S"/>
    <s v="N"/>
  </r>
  <r>
    <x v="8"/>
    <s v="180166"/>
    <s v="ACREDITACION DE NUEVOS DE MERITOS EN BOLSAS PROVINCIALES DEL PROFESORADO DE RELIGION"/>
    <s v="2 MESES"/>
    <x v="1"/>
    <x v="8"/>
    <x v="55"/>
    <s v="SKWP"/>
    <x v="1633"/>
    <s v="N"/>
    <s v="N"/>
    <s v="S"/>
    <s v="N"/>
  </r>
  <r>
    <x v="8"/>
    <s v="180168"/>
    <s v="PROCEDIMIENTO PARA LA PREVENCION, IDENTIFICACION Y ACTUACION FRENTE AL ACOSO EN EL LUGAR DE TRABAJO EN LA ADMINISTRACION DE LA JUNTA DE COMUNIDADES DE CASTILLA-LA MANCHA Y SUS ORGANISMOS AUTONOMOS."/>
    <s v="VENDRÁ DETERMINADO POR LA ADICIÓN DE LOS PLAZOS ESTABLECIDOS EN EL PROTOCOLO PARA LAS DISTINTAS FASES DEL PROCEDIMIENTO CON UNA DURACIÓN ESTIMADA DE 45 DÍAS HÁBILES."/>
    <x v="2"/>
    <x v="8"/>
    <x v="53"/>
    <s v="ML77"/>
    <x v="1655"/>
    <s v="N"/>
    <s v="N"/>
    <s v="S"/>
    <s v="N"/>
  </r>
  <r>
    <x v="8"/>
    <s v="180172"/>
    <s v="PROCEDIMIENTO PARA LA CONSTITUCION  Y ACTUACION DE LAS COMISIONES DE ELABORACION DE PRUEBAS DE CERTIFICACION DE NIVEL DE COMPETENCIA LINGUISTICA DE ENSEÑANZAS DE IDIOMAS DE REGIMEN ESPECIAL EN LA COMUNIDAD AUTONOMA DE CASTILLA-LA MANCHA."/>
    <s v="3 MESES"/>
    <x v="1"/>
    <x v="8"/>
    <x v="48"/>
    <s v="SL1U"/>
    <x v="1634"/>
    <s v="N"/>
    <s v="N"/>
    <s v="S"/>
    <s v="N"/>
  </r>
  <r>
    <x v="8"/>
    <s v="180196"/>
    <s v="COMUNICACION DE PRESUNTO ACOSO SEXUAL O POR RAZON DE SEXO AL PERSONAL EN EL AMBITO EDUCATIVO"/>
    <s v="45 DÍAS HÁBILES"/>
    <x v="2"/>
    <x v="8"/>
    <x v="53"/>
    <s v="MLK2"/>
    <x v="1635"/>
    <s v="S"/>
    <s v="N"/>
    <s v="S"/>
    <s v="N"/>
  </r>
  <r>
    <x v="8"/>
    <s v="180213"/>
    <s v="PROCESO MOVILIDAD PARA LA PROVISION DE PUESTOS DEL PROFESORADO QUE IMPARTE ENSEÑANZAS DE RELIGION EN LOS CENTROS DOCENTES PUBLICOS NO UNIVERSITARIOS DEPENDIENTES DE CASTILLA LA- MANCHA"/>
    <s v="2 MESES"/>
    <x v="1"/>
    <x v="8"/>
    <x v="53"/>
    <s v="SLLY"/>
    <x v="1636"/>
    <s v="N"/>
    <s v="N"/>
    <s v="S"/>
    <s v="N"/>
  </r>
  <r>
    <x v="8"/>
    <s v="180218"/>
    <s v="LIQUIDACION DE GASTOS POR TRASLADOS, ALOJAMIENTO Y MANUTENCION DEL PROFESORADO PARTICIPANTE EN LAS ACCIONES  FORMATIVAS DE LA OPERACION DE FORMACION,  PERFECCIONAMIENTO Y MOVILIDAD DEL PROFESORADO DE FP"/>
    <s v="3 MESES"/>
    <x v="1"/>
    <x v="8"/>
    <x v="55"/>
    <s v="LLNM"/>
    <x v="1637"/>
    <s v="S"/>
    <s v="N"/>
    <s v="S"/>
    <s v="N"/>
  </r>
  <r>
    <x v="8"/>
    <s v="180232"/>
    <s v="PROVISION POR EL PROCEDIMIENTO DE LIBRE DESIGNACION (LD EDCD F2/2022) DE PUESTOS DE TRABAJO VACANTES EN LA ADMINISTRACION DE LA JUNTA DE COMUNIDADES DE CASTILLA-LA MANCHA"/>
    <s v="DOS MESES DESDE LA PUBLICACIÓN DE LA CONVOCATORIA."/>
    <x v="1"/>
    <x v="8"/>
    <x v="50"/>
    <s v="SLTJ"/>
    <x v="1638"/>
    <s v="N"/>
    <s v="N"/>
    <s v="S"/>
    <s v="N"/>
  </r>
  <r>
    <x v="8"/>
    <s v="180251"/>
    <s v="ADJUDICACION DE AUXILIARES DE CONVERSACION A CENTROS PUBLICOS DOCENTES NO UNIVERSITARIOS CON PROYECTOS BILINGUES EN CICLOS FORMATIVOS DE FORMACION PROFESIONAL."/>
    <s v="3 MESES"/>
    <x v="1"/>
    <x v="8"/>
    <x v="48"/>
    <s v="SLYH"/>
    <x v="1639"/>
    <s v="N"/>
    <s v="N"/>
    <s v="S"/>
    <s v="N"/>
  </r>
  <r>
    <x v="8"/>
    <s v="190006"/>
    <s v="AUTORIZACION DEL CAMBIO DE USO DE LOS BIENES DE INTERES CULTURAL EN CASTILLA - LA MANCHA"/>
    <s v="3 MESES"/>
    <x v="1"/>
    <x v="8"/>
    <x v="51"/>
    <s v="SJQX"/>
    <x v="1656"/>
    <s v="S"/>
    <s v="N"/>
    <s v="S"/>
    <s v="N"/>
  </r>
  <r>
    <x v="8"/>
    <s v="210003"/>
    <s v="INCLUSION EN EL CATALOGO DE OBRAS DE CARÁCTER DOCUMENTAL DE INTERES PARA CASTILLA-LA MANCHA"/>
    <s v="6 MESES"/>
    <x v="1"/>
    <x v="8"/>
    <x v="51"/>
    <s v="SJ0G"/>
    <x v="1657"/>
    <s v="S"/>
    <s v="N"/>
    <s v="S"/>
    <s v="N"/>
  </r>
  <r>
    <x v="8"/>
    <s v="210009"/>
    <s v="PARTICIPACION DE LOS CENTROS DOCENTES EN EL PROYECTO ¿FORMACION EN COMPETENCIA  (STEAM) EN PRIMARIA, SECUNDARIA, REGIMEN ESPECIAL Y EDUCACION DE PERSONAS ADULTAS"/>
    <s v="1 MES."/>
    <x v="1"/>
    <x v="8"/>
    <x v="49"/>
    <s v="SL2Z"/>
    <x v="1658"/>
    <s v="N"/>
    <s v="N"/>
    <s v="S"/>
    <s v="N"/>
  </r>
  <r>
    <x v="9"/>
    <s v="010072"/>
    <s v="AUTORIZACION CONSTRUCCION ESTACIONES DE SERVICIO"/>
    <s v="3 MESES"/>
    <x v="1"/>
    <x v="9"/>
    <x v="57"/>
    <s v="SJ7B"/>
    <x v="1661"/>
    <s v="S"/>
    <s v="N"/>
    <s v="S"/>
    <s v="S"/>
  </r>
  <r>
    <x v="9"/>
    <s v="010073"/>
    <s v="AUTORIZACION DE ACCESOS A CARRETERAS O CAMBIO DE USO DE LOS EXISTENTES EN CARRETERAS DE LA JUNTA DE COMUNIDADES"/>
    <s v="3 MESES"/>
    <x v="1"/>
    <x v="9"/>
    <x v="57"/>
    <s v="S127"/>
    <x v="1662"/>
    <s v="S"/>
    <s v="N"/>
    <s v="S"/>
    <s v="N"/>
  </r>
  <r>
    <x v="9"/>
    <s v="010074"/>
    <s v="AUTORIZACION DE OBRAS DE CONDUCCION EN PARALELO O CRUCE EN CARRETERAS TITULARIDAD DE LA JUNTA DE COMUNIDADES"/>
    <s v="3 MESES"/>
    <x v="1"/>
    <x v="9"/>
    <x v="57"/>
    <s v="S241"/>
    <x v="1663"/>
    <s v="S"/>
    <s v="N"/>
    <s v="S"/>
    <s v="N"/>
  </r>
  <r>
    <x v="9"/>
    <s v="010075"/>
    <s v="AUTORIZACION OBRAS, USOS O ACTIVIDADES EN ZONA DE SERVIDUMBRE"/>
    <s v="3 MESES"/>
    <x v="1"/>
    <x v="9"/>
    <x v="57"/>
    <s v="SJ4Z"/>
    <x v="1664"/>
    <s v="N"/>
    <s v="N"/>
    <s v="S"/>
    <s v="N"/>
  </r>
  <r>
    <x v="9"/>
    <s v="010076"/>
    <s v="AUTORIZACION CARTELES INFORMATIVOS (SIN PUBLICIDAD)"/>
    <s v="3 MESES"/>
    <x v="1"/>
    <x v="9"/>
    <x v="57"/>
    <s v="SIIX"/>
    <x v="1665"/>
    <s v="S"/>
    <s v="N"/>
    <s v="S"/>
    <s v="N"/>
  </r>
  <r>
    <x v="9"/>
    <s v="010079"/>
    <s v="AUTORIZACION VENTA VIVIENDAS PROTEGIDAS"/>
    <s v="3 MESES"/>
    <x v="0"/>
    <x v="9"/>
    <x v="58"/>
    <s v="SJQC"/>
    <x v="1666"/>
    <s v="S"/>
    <s v="N"/>
    <s v="S"/>
    <s v="N"/>
  </r>
  <r>
    <x v="9"/>
    <s v="010141"/>
    <s v="AUTORIZACION PERCIBO CANTIDADES A CUENTA"/>
    <s v="3 MESES"/>
    <x v="0"/>
    <x v="9"/>
    <x v="58"/>
    <s v="SJQE"/>
    <x v="1667"/>
    <s v="S"/>
    <s v="N"/>
    <s v="S"/>
    <s v="N"/>
  </r>
  <r>
    <x v="9"/>
    <s v="010320"/>
    <s v="AUTORIZACION DE TRANSMISION DE CONCESION DE SERVICIO PUBLICO REGULAR DE TRANSPORTE DE VIAJEROS"/>
    <s v="3 MESES"/>
    <x v="0"/>
    <x v="9"/>
    <x v="59"/>
    <s v="S059"/>
    <x v="1668"/>
    <s v="N"/>
    <s v="N"/>
    <s v="S"/>
    <s v="N"/>
  </r>
  <r>
    <x v="9"/>
    <s v="010321"/>
    <s v="AUTORIZACION DE TRANSPORTE PUBLICO DISCRECIONAL DE VIAJEROS EN AUTOBUS (VD)"/>
    <s v="5 MESES"/>
    <x v="1"/>
    <x v="9"/>
    <x v="59"/>
    <s v="S128"/>
    <x v="1669"/>
    <s v="N"/>
    <s v="N"/>
    <s v="S"/>
    <s v="S"/>
  </r>
  <r>
    <x v="9"/>
    <s v="010322"/>
    <s v="AUTORIZACION DE INSTALACION DE LINEAS AEREAS ELECTRICAS Y TELEFONICAS QUE AFECTEN A CARRETERAS DE LA JUNTA DE COMUNIDADES"/>
    <s v="3 MESES"/>
    <x v="1"/>
    <x v="9"/>
    <x v="57"/>
    <s v="S213"/>
    <x v="1670"/>
    <s v="S"/>
    <s v="N"/>
    <s v="S"/>
    <s v="N"/>
  </r>
  <r>
    <x v="9"/>
    <s v="010323"/>
    <s v="AUTORIZACION DE TRANSPORTE REGULAR DE USO ESPECIAL (TRANSPORTE DE TRABAJADORES)"/>
    <s v="5 MESES"/>
    <x v="1"/>
    <x v="9"/>
    <x v="59"/>
    <s v="S271"/>
    <x v="1671"/>
    <s v="N"/>
    <s v="N"/>
    <s v="S"/>
    <s v="N"/>
  </r>
  <r>
    <x v="9"/>
    <s v="010324"/>
    <s v="AUTORIZACION DE TRANSPORTE ESCOLAR"/>
    <s v="5 MESES"/>
    <x v="1"/>
    <x v="9"/>
    <x v="59"/>
    <s v="S272"/>
    <x v="1672"/>
    <s v="N"/>
    <s v="N"/>
    <s v="S"/>
    <s v="N"/>
  </r>
  <r>
    <x v="9"/>
    <s v="010325"/>
    <s v="AUTORIZACIONES DE TRANSPORTE SANITARIO PUBLICO (VS) Y PRIVADO COMPLEMENTARIO (VSPC)"/>
    <s v="5 MESES"/>
    <x v="1"/>
    <x v="9"/>
    <x v="59"/>
    <s v="S273"/>
    <x v="1673"/>
    <s v="N"/>
    <s v="N"/>
    <s v="S"/>
    <s v="N"/>
  </r>
  <r>
    <x v="9"/>
    <s v="010326"/>
    <s v="AUTORIZACION DE TRANSPORTE PRIVADO DE MERCANCIAS (MPC)"/>
    <s v="5 MESES"/>
    <x v="1"/>
    <x v="9"/>
    <x v="59"/>
    <s v="SI5C"/>
    <x v="1674"/>
    <s v="N"/>
    <s v="N"/>
    <s v="S"/>
    <s v="S"/>
  </r>
  <r>
    <x v="9"/>
    <s v="010327"/>
    <s v="AUTORIZACION DE TRANSPORTE PUBLICO DE MERCANCIAS (MDP Y MDL)"/>
    <s v="5 MESES"/>
    <x v="1"/>
    <x v="9"/>
    <x v="59"/>
    <s v="SI5D"/>
    <x v="1675"/>
    <s v="N"/>
    <s v="N"/>
    <s v="S"/>
    <s v="S"/>
  </r>
  <r>
    <x v="9"/>
    <s v="010328"/>
    <s v="AUTORIZACION DE ARRENDAMIENTO DE VEHICULOS CON CONDUCTOR (VTC)"/>
    <s v="5 MESES"/>
    <x v="1"/>
    <x v="9"/>
    <x v="59"/>
    <s v="SI5G"/>
    <x v="1676"/>
    <s v="N"/>
    <s v="N"/>
    <s v="S"/>
    <s v="N"/>
  </r>
  <r>
    <x v="9"/>
    <s v="010329"/>
    <s v="AUTORIZACION DE TRANSPORTE PRIVADO DE VIAJEROS (VPC)"/>
    <s v="5 MESES"/>
    <x v="1"/>
    <x v="9"/>
    <x v="59"/>
    <s v="SI5H"/>
    <x v="1677"/>
    <s v="N"/>
    <s v="N"/>
    <s v="S"/>
    <s v="S"/>
  </r>
  <r>
    <x v="9"/>
    <s v="010335"/>
    <s v="AUTORIZACION DE CERRAMIENTOS PROXIMOS A CARRETERAS DE LA RED AUTONOMICA"/>
    <s v="3 MESES"/>
    <x v="1"/>
    <x v="9"/>
    <x v="57"/>
    <s v="SJ4X"/>
    <x v="1678"/>
    <s v="S"/>
    <s v="N"/>
    <s v="S"/>
    <s v="N"/>
  </r>
  <r>
    <x v="9"/>
    <s v="010339"/>
    <s v="INSCRIPCION LABORATORIOS DE ENSAYOS PARA EL CONTROL DE LA CALIDAD DE LA EDIFICACION DECLARADOS EN CASTILLA-LA MANCHA"/>
    <s v="3 MESES"/>
    <x v="0"/>
    <x v="9"/>
    <x v="58"/>
    <s v="SJ7I"/>
    <x v="1679"/>
    <s v="S"/>
    <s v="N"/>
    <s v="S"/>
    <s v="N"/>
  </r>
  <r>
    <x v="9"/>
    <s v="010340"/>
    <s v="AUTORIZACION DE USO DE BIENES Y/O DERECHOS DE TITULARIDAD DE LA JUNTA DE COMUNIDADES DE CASTILLA-LA MANCHA ADSCRITOS A LA CONSEJERIA DE FOMENTO"/>
    <s v="- ADJUDICACIÓN DIRECTA: TRES MESES._x000d__x000a_- ADJUDICACIÓN EN RÉGIMEN DE CONCURRENCIA COMPETITIVA: SEIS MESES."/>
    <x v="1"/>
    <x v="9"/>
    <x v="60"/>
    <s v="SJ7P"/>
    <x v="1680"/>
    <s v="S"/>
    <s v="N"/>
    <s v="S"/>
    <s v="N"/>
  </r>
  <r>
    <x v="9"/>
    <s v="010342"/>
    <s v="AUTORIZACION DE CENTROS DE FORMACION DE CONDUCTORES."/>
    <s v="3 MESES."/>
    <x v="1"/>
    <x v="9"/>
    <x v="59"/>
    <s v="SJAH"/>
    <x v="1681"/>
    <s v="N"/>
    <s v="N"/>
    <s v="S"/>
    <s v="S"/>
  </r>
  <r>
    <x v="9"/>
    <s v="010343"/>
    <s v="AUTORIZACION DE OPERADOR DE TRANSPORTE DE MERCANCIAS (OT)"/>
    <s v="5 MESES"/>
    <x v="1"/>
    <x v="9"/>
    <x v="59"/>
    <s v="SJAI"/>
    <x v="1682"/>
    <s v="N"/>
    <s v="N"/>
    <s v="S"/>
    <s v="S"/>
  </r>
  <r>
    <x v="9"/>
    <s v="010345"/>
    <s v="AUTORIZACION DE EDIFICACIONES PROXIMAS A CARRETERAS DE LA RED AUTONOMICA"/>
    <s v="3 MESES"/>
    <x v="1"/>
    <x v="9"/>
    <x v="57"/>
    <s v="SJKW"/>
    <x v="1683"/>
    <s v="S"/>
    <s v="N"/>
    <s v="S"/>
    <s v="N"/>
  </r>
  <r>
    <x v="9"/>
    <s v="010346"/>
    <s v="INSCRIPCION DE ENTIDADES DE CONTROL DE LA CALIDAD DE LA EDIFICACION DECLARADAS EN CASTILLA-LA MANCHA"/>
    <s v="3 MESES"/>
    <x v="0"/>
    <x v="9"/>
    <x v="58"/>
    <s v="SJO2"/>
    <x v="1684"/>
    <s v="S"/>
    <s v="N"/>
    <s v="S"/>
    <s v="N"/>
  </r>
  <r>
    <x v="9"/>
    <s v="010347"/>
    <s v="APORTACION DE GANANCIALES DE VIVIENDA PROTEGIDA"/>
    <s v="3 MESES"/>
    <x v="0"/>
    <x v="9"/>
    <x v="58"/>
    <s v="SJQP"/>
    <x v="1685"/>
    <s v="S"/>
    <s v="N"/>
    <s v="S"/>
    <s v="N"/>
  </r>
  <r>
    <x v="9"/>
    <s v="010348"/>
    <s v="EXTINCION DEL CONDOMINIO EN VIVIENDA DE PROTECCION PUBLICA"/>
    <s v="3 MESES"/>
    <x v="0"/>
    <x v="9"/>
    <x v="58"/>
    <s v="SJQQ"/>
    <x v="1686"/>
    <s v="S"/>
    <s v="N"/>
    <s v="S"/>
    <s v="N"/>
  </r>
  <r>
    <x v="9"/>
    <s v="010425"/>
    <s v="SUBROGACION POR FALLECIMIENTO DEL TITULAR O SUPUESTOS DE NULIDAD, SEPARACION O DIVORCIO, DE VIVIENDA DE PROMOCION PUBLICA ARRENDADA EN FAVOR DE CIERTOS FAMILIARES."/>
    <s v="3 MESES"/>
    <x v="0"/>
    <x v="9"/>
    <x v="58"/>
    <s v="SJXI"/>
    <x v="1687"/>
    <s v="S"/>
    <s v="N"/>
    <s v="S"/>
    <s v="N"/>
  </r>
  <r>
    <x v="9"/>
    <s v="010426"/>
    <s v="AUTORIZACION PARA POSTERIORES TRANSMISIONES DE SUELO, ORIGINALMENTE PROPIEDAD DE LA JUNTA DE COMUNIDADES DE CASTILLA-LA MANCHA."/>
    <s v="3 MESES"/>
    <x v="1"/>
    <x v="9"/>
    <x v="58"/>
    <s v="SJXJ"/>
    <x v="1688"/>
    <s v="S"/>
    <s v="N"/>
    <s v="S"/>
    <s v="N"/>
  </r>
  <r>
    <x v="9"/>
    <s v="010427"/>
    <s v="CANCELACION DE CONDICIONES RESOLUTORIAS, POR CUMPLIMIENTO DE OBLIGACIONES CONTRACTUALES, INCLUIDAS EN LAS ENAJENACIONES DE SUELO DE LA JCCM"/>
    <s v="3 MESES"/>
    <x v="1"/>
    <x v="9"/>
    <x v="58"/>
    <s v="SJXK"/>
    <x v="1689"/>
    <s v="S"/>
    <s v="N"/>
    <s v="S"/>
    <s v="N"/>
  </r>
  <r>
    <x v="9"/>
    <s v="010428"/>
    <s v="AUTORIZACION PARA REALIZAR OBRAS MENORES EN LAS VIVIENDAS DE PROMOCION PUBLICA A COSTA DEL INTERESADO."/>
    <s v="3 MESES"/>
    <x v="1"/>
    <x v="9"/>
    <x v="58"/>
    <s v="SJXL"/>
    <x v="1690"/>
    <s v="S"/>
    <s v="N"/>
    <s v="S"/>
    <s v="N"/>
  </r>
  <r>
    <x v="9"/>
    <s v="010430"/>
    <s v="AMORTIZACION ANTICIPADA DE UNA VIVIENDA DE PROMOCION PUBLICA ADJUDICADA EN COMPRAVENTA APLAZADA Y CITACION NOTARIAL PARA ELEVACION DE LA COMPRAVENTA A ESCRITURA PUBLICA, EN EL CASO DE QUE SE HAYA AMORTIZADO LA TOTALIDAD."/>
    <s v="3 MESES"/>
    <x v="0"/>
    <x v="9"/>
    <x v="58"/>
    <s v="SJXN"/>
    <x v="1691"/>
    <s v="S"/>
    <s v="N"/>
    <s v="S"/>
    <s v="N"/>
  </r>
  <r>
    <x v="9"/>
    <s v="010431"/>
    <s v="AUTORIZACION PARA HIPOTECAR LOS TERRENOS CUANDO LA HIPOTECA SE CONSTITUYA EN GARANTIA DE PRESTAMOS PARA LLEVAR A CABO EDIFICACIONES SOBRE SUELO ENAJENADO POR LA JCCM"/>
    <s v="3 MESES"/>
    <x v="1"/>
    <x v="9"/>
    <x v="58"/>
    <s v="SJXO"/>
    <x v="1692"/>
    <s v="S"/>
    <s v="N"/>
    <s v="S"/>
    <s v="N"/>
  </r>
  <r>
    <x v="9"/>
    <s v="010455"/>
    <s v="AUTORIZACION PARA PLANTACIONES Y TRABAJOS DE TALA Y PODA EN CARRETERAS DE LA JUNTA DE COMUNIDADES"/>
    <s v="3 MESES"/>
    <x v="1"/>
    <x v="9"/>
    <x v="57"/>
    <s v="MK0P"/>
    <x v="1693"/>
    <s v="S"/>
    <s v="N"/>
    <s v="S"/>
    <s v="N"/>
  </r>
  <r>
    <x v="9"/>
    <s v="010456"/>
    <s v="AUTORIZACION PARA INSTALACIONES DE RIEGO EN CARRETERAS DE LA JUNTA DE COMUNIDADES"/>
    <s v="3 MESES"/>
    <x v="1"/>
    <x v="9"/>
    <x v="57"/>
    <s v="MK0Q"/>
    <x v="1694"/>
    <s v="S"/>
    <s v="N"/>
    <s v="S"/>
    <s v="N"/>
  </r>
  <r>
    <x v="9"/>
    <s v="020017"/>
    <s v="REGISTRO DE DEMANDANTES DE VIVIENDA"/>
    <s v="1 MES"/>
    <x v="0"/>
    <x v="9"/>
    <x v="58"/>
    <s v="SJ4W"/>
    <x v="1695"/>
    <s v="S"/>
    <s v="N"/>
    <s v="S"/>
    <s v="N"/>
  </r>
  <r>
    <x v="9"/>
    <s v="020019"/>
    <s v="INSCRIPCION EN EL REGISTRO ADMINISTRATIVO DE AGRUPACIONES DE INTERES URBANISTICO Y ENTIDADES URBANISTICAS COLABORADORAS DE CONSERVACION."/>
    <s v="2 MESES"/>
    <x v="0"/>
    <x v="9"/>
    <x v="61"/>
    <s v="SJ7M"/>
    <x v="1696"/>
    <s v="S"/>
    <s v="N"/>
    <s v="S"/>
    <s v="N"/>
  </r>
  <r>
    <x v="9"/>
    <s v="020230"/>
    <s v="INSCRIPCION EN EL REGISTRO DE INFORMES DE EVALUACION DEL EDIFICIO"/>
    <s v="INSCRIPCIÓN AUTOMÁTICA E INMEDIATA"/>
    <x v="0"/>
    <x v="9"/>
    <x v="58"/>
    <s v="SKGA"/>
    <x v="1697"/>
    <s v="S"/>
    <s v="N"/>
    <s v="S"/>
    <s v="N"/>
  </r>
  <r>
    <x v="9"/>
    <s v="020281"/>
    <s v="COMUNICACION DE ALTAS Y BAJAS PARA CONSEJEROS DE SEGURIDAD PARA EL TRANSPORTE DE MERCANCIAS PELIGROSAS DE PERSONAS FISICAS O JURIDICAS OBLIGADAS A SU NOMBRAMIENTO Y CON DOMICILIO FISCAL EN CASTILLA-LA MANCHA"/>
    <s v=""/>
    <x v="2"/>
    <x v="9"/>
    <x v="59"/>
    <s v="MLJZ"/>
    <x v="1698"/>
    <s v="S"/>
    <s v="N"/>
    <s v="S"/>
    <s v="N"/>
  </r>
  <r>
    <x v="9"/>
    <s v="025647"/>
    <s v="COMUNICACION DE INCIDENCIAS AL REGISTRO DE INFORMES DE EVALUACION DE EDIFICIOS DE CASTILLA LA MANCHA."/>
    <s v="TRES MESES, DESDE EL ACUERDO DE INICIO DEL PROCEDIMIENTO DE SUSPENSIÓN DE LAS INSCRIPCIÓN"/>
    <x v="0"/>
    <x v="9"/>
    <x v="58"/>
    <s v="SKGB"/>
    <x v="1699"/>
    <s v="N"/>
    <s v="N"/>
    <s v="S"/>
    <s v="N"/>
  </r>
  <r>
    <x v="9"/>
    <s v="030070"/>
    <s v="REDUCCION DE RENTA EN CONTRATO DE ARRENDAMIENTO DE VIVIENDAS DE PROMOCION PUBLICA PROPIEDAD DE LA JUNTA DE COMUNIDADES."/>
    <s v="3 MESES"/>
    <x v="0"/>
    <x v="9"/>
    <x v="58"/>
    <s v="SJQL"/>
    <x v="1700"/>
    <s v="S"/>
    <s v="N"/>
    <s v="S"/>
    <s v="N"/>
  </r>
  <r>
    <x v="9"/>
    <s v="030079"/>
    <s v="PARTICIPACION EN PROCEDIMIENTOS DE ADJUDICACION DE VIVIENDAS DE  INICIATIVA PUBLICA REGIONAL"/>
    <s v="3 MESES"/>
    <x v="1"/>
    <x v="9"/>
    <x v="58"/>
    <s v="SJ4V"/>
    <x v="1701"/>
    <s v="S"/>
    <s v="N"/>
    <s v="S"/>
    <s v="N"/>
  </r>
  <r>
    <x v="9"/>
    <s v="030868"/>
    <s v="AYUDAS PARA CONTRIBUIR A MINIMIZAR EL IMPACTO ECONOMICO Y SOCIAL DEL COVID-19 EN LOS ALQUILERES DE VIVIENDA HABITUAL DEL PLAN ESTATAL DE VIVIENDA 2018-2021"/>
    <s v="3 MESES, A CONTAR DESDE LA PRESENTACIÓN DE LA SOLICITUD."/>
    <x v="1"/>
    <x v="9"/>
    <x v="58"/>
    <s v="SLD8"/>
    <x v="1702"/>
    <s v="S"/>
    <s v="N"/>
    <s v="S"/>
    <s v="N"/>
  </r>
  <r>
    <x v="9"/>
    <s v="030897"/>
    <s v="AYUDAS POR LA COVID-19 A OPERADORES QUE PRESTAN EL SERVICIO DE TRANSPORTE PUBLICO REGULAR DE VIAJEROS"/>
    <s v="1 MES"/>
    <x v="1"/>
    <x v="9"/>
    <x v="59"/>
    <s v="SLFO"/>
    <x v="1703"/>
    <s v="S"/>
    <s v="N"/>
    <s v="S"/>
    <s v="N"/>
  </r>
  <r>
    <x v="9"/>
    <s v="031073"/>
    <s v=".AYUDAS PARA LA ELABORACION DEL LIBRO DEL EDIFICIO EXISTENTE PARA LA REHABILITACION Y LA REDACCION DE PROYECTOS TECNICOS DE REHABILITACION INTEGRAL DE EDIFICIOS DE CASTILLA-LA MANCHA."/>
    <s v="3 MESES"/>
    <x v="1"/>
    <x v="9"/>
    <x v="58"/>
    <s v="SLRG"/>
    <x v="1704"/>
    <s v="S"/>
    <s v="N"/>
    <s v="S"/>
    <s v="N"/>
  </r>
  <r>
    <x v="9"/>
    <s v="031075"/>
    <s v="REHABILITACION DEL PROGRAMA DE AYUDAS A LAS ACTUACIONES DE REHABILITACION A NIVEL DE EDIFICIO EN CASTILLA-LA MANCHA"/>
    <s v="3 MESES"/>
    <x v="0"/>
    <x v="9"/>
    <x v="58"/>
    <s v="SLRM"/>
    <x v="1705"/>
    <s v="N"/>
    <s v="N"/>
    <s v="S"/>
    <s v="N"/>
  </r>
  <r>
    <x v="9"/>
    <s v="031076"/>
    <s v="REHABILITACION DEL PROGRAMA DE AYUDAS A LAS ACTUACIONES DE MEJORA DE LA EFICIENCIA ENERGETICA EN VIVIENDAS EN CASTILLA-LA MANCHA."/>
    <s v="3 MESES"/>
    <x v="0"/>
    <x v="9"/>
    <x v="58"/>
    <s v="SLRN"/>
    <x v="1706"/>
    <s v="N"/>
    <s v="N"/>
    <s v="S"/>
    <s v="N"/>
  </r>
  <r>
    <x v="9"/>
    <s v="031095"/>
    <s v="AYUDAS A LAS ACTUACIONES DE REHABILITACION A NIVEL DE EDIFICIO EN CASTILLA-LA MANCHA, DENTRO DEL MARCO GENERAL DEL PLAN DE RECUPERACION, TRANSFORMACION Y RESILIENCIA, PARA LA ANUALIDAD 2022."/>
    <s v="EL PLAZO MÁXIMO PARA RESOLVER LA SOLICITUD DE AYUDA ES DE 3 MESES CONTADOS DESDE LA PRESENTACIÓN DE LA SOLICITUD."/>
    <x v="1"/>
    <x v="9"/>
    <x v="58"/>
    <s v="SLSM"/>
    <x v="1707"/>
    <s v="N"/>
    <s v="N"/>
    <s v="S"/>
    <s v="N"/>
  </r>
  <r>
    <x v="9"/>
    <s v="031096"/>
    <s v="AYUDAS A LAS ACTUACIONES DE MEJORA DE LA EFICIENCIA ENERGETICA EN VIVIENDAS EN CASTILLA-LA MANCHA, DENTRO DEL MARCO GENERAL DEL PLAN DE RECUPERACION, TRANSFORMACION Y RESILIENCIA."/>
    <s v="EL PLAZO MÁXIMO PARA RESOLVER LA SOLICITUD DE AYUDA ES DE 3 MESES CONTADOS DESDE LA PRESENTACIÓN DE LA SOLICITUD."/>
    <x v="1"/>
    <x v="9"/>
    <x v="58"/>
    <s v="SLSN"/>
    <x v="1708"/>
    <s v="N"/>
    <s v="N"/>
    <s v="S"/>
    <s v="N"/>
  </r>
  <r>
    <x v="9"/>
    <s v="031100"/>
    <s v="AYUDAS AL ¿BONO ALQUILER JOVEN¿ EN CASTILLA- LA MANCHA."/>
    <s v="3 MESES CONTADOS DESDE LA PRESENTACIÓN DE LA SOLICITUD."/>
    <x v="1"/>
    <x v="9"/>
    <x v="58"/>
    <s v="SLSV"/>
    <x v="1709"/>
    <s v="S"/>
    <s v="N"/>
    <s v="S"/>
    <s v="N"/>
  </r>
  <r>
    <x v="9"/>
    <s v="031101"/>
    <s v="AYUDAS PARA LA TRANSFORMACION DE FLOTAS DE TRANSPORTES DE MERCANCIAS Y VIAJEROS DE EMPRESAS PRIVADAS PRESTADORAS DE SERVICIOS DE TRANSPORTE POR CARRETERA Y PRIVADO COMPLEMENTARIO."/>
    <s v="EL PLAZO MÁXIMO PARA RESOLVER Y NOTIFICAR LA RESOLUCIÓN DE CONCESIÓN DE LA AYUDA SOLICITADA SERÁ DE SEIS MESES (6 MESES) CONTADOS DESDE LA FECHA DE REGISTRO DE LA SOLICITUD."/>
    <x v="1"/>
    <x v="9"/>
    <x v="59"/>
    <s v="SLSX"/>
    <x v="1710"/>
    <s v="S"/>
    <s v="N"/>
    <s v="S"/>
    <s v="N"/>
  </r>
  <r>
    <x v="9"/>
    <s v="031132"/>
    <s v="AYUDA PARA LA IMPLANTACION DE LAS OFICINAS DE REHABILITACION EN EL AMBITO TERRITORIAL DE CASTILLA- LA MANCHA"/>
    <s v="15 DIAS DESDE LA ENTRADA EN VIGOR DEL DECRETO"/>
    <x v="1"/>
    <x v="9"/>
    <x v="58"/>
    <s v="SLUP"/>
    <x v="1711"/>
    <s v="N"/>
    <s v="N"/>
    <s v="S"/>
    <s v="N"/>
  </r>
  <r>
    <x v="9"/>
    <s v="031144"/>
    <s v="AYUDAS DESTINADAS A LAS PERSONAS TITULARES DE LAS AUTORIZACIONES DE TRANSPORTE PUBLICO DE VIAJEROS EN VEHICULOS DE TURISMO AUTO-TAXI (VT) EN EL MARCO DEL PROGRAMA DE FOMENTO A LA ADAPTACION DE VEHICULOS TAXI A PERSONAS CON MOVILIDAD REDUCIDA"/>
    <s v="EL PLAZO MÁXIMO PARA RESOLVER Y NOTIFICAR LA RESOLUCIÓN NO PODRÁ EXCEDER DE 1 MES, A CONTAR DESDE LA FECHA DE FINALIZACIÓN DEL PLAZO DE PRESENTACIÓN DE SOLICITUDES."/>
    <x v="1"/>
    <x v="9"/>
    <x v="59"/>
    <s v="SLVG"/>
    <x v="1712"/>
    <s v="S"/>
    <s v="N"/>
    <s v="S"/>
    <s v="N"/>
  </r>
  <r>
    <x v="9"/>
    <s v="031158"/>
    <s v="CONCESION DIRECTA DE UNA SUBVENCION A LA COMUNIDAD DE PROPIETARIOS RIO MARIANA 3, (CUENCA), PARA DESARROLLO OBRA INSTALACION ASCENSOR HASTA LA COTA CERO DEL EDIFICIO, CON OBJETO CONSEGUIR LA ACCESIBILIDAD UNIVERSAL DEL MISMO, EN EL MARCO DEL PLAN DE RECUP"/>
    <s v=""/>
    <x v="1"/>
    <x v="9"/>
    <x v="62"/>
    <s v="PLW4"/>
    <x v="1713"/>
    <s v="N"/>
    <s v="N"/>
    <s v="S"/>
    <s v="N"/>
  </r>
  <r>
    <x v="9"/>
    <s v="031178"/>
    <s v="AYUDAS A LA MEJORA DE LA ACCESIBILIDAD EN Y A LAS VIVIENDAS DE CASTILLA-LA MANCHA, EN EL MARCO DEL PLAN ESTATAL DE VIVIENDA 2022-2025."/>
    <s v="LA SOLICITUD SE RESOLVERÁ EN EL PLAZO MÁXIMO DE 3 MESES CONTADOS DESDE SU PRESENTACIÓN DE LA SOLICITUD."/>
    <x v="1"/>
    <x v="9"/>
    <x v="58"/>
    <s v="SLX1"/>
    <x v="1714"/>
    <s v="S"/>
    <s v="N"/>
    <s v="S"/>
    <s v="N"/>
  </r>
  <r>
    <x v="9"/>
    <s v="035465"/>
    <s v="ABONO DE AYUDAS AL ARRENDAMIENTO DE VIVIENDAS"/>
    <s v="3 MESES."/>
    <x v="1"/>
    <x v="9"/>
    <x v="58"/>
    <s v="PK4A"/>
    <x v="1715"/>
    <s v="S"/>
    <s v="N"/>
    <s v="S"/>
    <s v="N"/>
  </r>
  <r>
    <x v="9"/>
    <s v="035466"/>
    <s v="COMUNICACION DE MODIFICACION DE LAS CONDICIONES"/>
    <s v="3 MESES."/>
    <x v="1"/>
    <x v="9"/>
    <x v="58"/>
    <s v="ML1D"/>
    <x v="1716"/>
    <s v="S"/>
    <s v="N"/>
    <s v="S"/>
    <s v="N"/>
  </r>
  <r>
    <x v="9"/>
    <s v="035467"/>
    <s v="AYUDAS AL ALQUILER DE VIVIENDA EN CASTILLA-LA MANCHA, EN EL MARCO DEL PLAN ESTATAL DE VIVIENDA 2022-2025."/>
    <s v="3 MESES."/>
    <x v="1"/>
    <x v="9"/>
    <x v="58"/>
    <s v="SI4L"/>
    <x v="1717"/>
    <s v="S"/>
    <s v="N"/>
    <s v="S"/>
    <s v="N"/>
  </r>
  <r>
    <x v="9"/>
    <s v="035504"/>
    <s v="SOLICITUD DE AYUDA PARA LA FINANCIACION DE ACTUACIONES EN MATERIA DE REDACCION DE DIVERSOS INSTRUMENTOS DE PLANEAMIENTO URBANISTICO."/>
    <s v="2 MESES"/>
    <x v="1"/>
    <x v="9"/>
    <x v="61"/>
    <s v="SL35"/>
    <x v="1718"/>
    <s v="N"/>
    <s v="N"/>
    <s v="S"/>
    <s v="N"/>
  </r>
  <r>
    <x v="9"/>
    <s v="035505"/>
    <s v="MODIFICACION DE LA RESOLUCION DE CONCESION DE LA SUBVENCION PARA REDACCION DE INSTRUMENTOS DE PLANEAMIENTO."/>
    <s v="2 MESES"/>
    <x v="1"/>
    <x v="9"/>
    <x v="61"/>
    <s v="SL37"/>
    <x v="1719"/>
    <s v="N"/>
    <s v="N"/>
    <s v="S"/>
    <s v="N"/>
  </r>
  <r>
    <x v="9"/>
    <s v="035506"/>
    <s v="SOLICITUD DE ABONO DE LA SUBVENCION PARA LA REDACCION DE INSTRUMENTOS DE PLANEAMIENTO."/>
    <s v="2 MESES"/>
    <x v="1"/>
    <x v="9"/>
    <x v="61"/>
    <s v="PL36"/>
    <x v="1720"/>
    <s v="N"/>
    <s v="N"/>
    <s v="S"/>
    <s v="N"/>
  </r>
  <r>
    <x v="9"/>
    <s v="035640"/>
    <s v="COMUNICACION DE MODIFICACION DE LAS ACTUACIONES- LINEAS B Y C"/>
    <s v="3 MESES"/>
    <x v="1"/>
    <x v="9"/>
    <x v="58"/>
    <s v="SKGO"/>
    <x v="1721"/>
    <s v="S"/>
    <s v="N"/>
    <s v="S"/>
    <s v="N"/>
  </r>
  <r>
    <x v="9"/>
    <s v="035641"/>
    <s v="SOLICITUD DE ABONO DE LA AYUDA. LINEAS B Y C."/>
    <s v="3 MESES"/>
    <x v="1"/>
    <x v="9"/>
    <x v="58"/>
    <s v="PKGP"/>
    <x v="1722"/>
    <s v="S"/>
    <s v="N"/>
    <s v="S"/>
    <s v="N"/>
  </r>
  <r>
    <x v="9"/>
    <s v="035642"/>
    <s v="SOLICITUD DE AYUDAS A LA REHABILITACION EDIFICATORIA. LINEAS B Y C."/>
    <s v="3 MESES"/>
    <x v="1"/>
    <x v="9"/>
    <x v="58"/>
    <s v="SKG8"/>
    <x v="1723"/>
    <s v="S"/>
    <s v="N"/>
    <s v="S"/>
    <s v="N"/>
  </r>
  <r>
    <x v="9"/>
    <s v="035643"/>
    <s v="ABONO DE LA AYUDA REHABILITACION DE ELEMENTOS COMUNES DE EDIFICIOS DE TIPOLOGIA RESIDENCIAL COLECTIVA DE VIVIENDAS."/>
    <s v="3 MESES"/>
    <x v="1"/>
    <x v="9"/>
    <x v="58"/>
    <s v="PL2P"/>
    <x v="1724"/>
    <s v="S"/>
    <s v="N"/>
    <s v="S"/>
    <s v="N"/>
  </r>
  <r>
    <x v="9"/>
    <s v="035644"/>
    <s v="PROGRAMA DE FOMENTO DE LA MEJORA DE LA EFICIENCIA ENERGETICA Y SOSTENIBILIDAD DE VIVIENDAS Y PROG.  DE FOMENTO DE LA CONSERVACION, MEJORA DE LA SEGURIDAD DE UTILIZACION Y DE LA ACCESIBILIDAD- LINEA A"/>
    <s v="3 MESES"/>
    <x v="1"/>
    <x v="9"/>
    <x v="58"/>
    <s v="SL2N"/>
    <x v="1725"/>
    <s v="S"/>
    <s v="N"/>
    <s v="S"/>
    <s v="N"/>
  </r>
  <r>
    <x v="9"/>
    <s v="035645"/>
    <s v="COMUNICACION DE MODIFICACION DE LAS ACTUACIONES"/>
    <s v="3 MESES"/>
    <x v="1"/>
    <x v="9"/>
    <x v="58"/>
    <s v="ML2O"/>
    <x v="1726"/>
    <s v="S"/>
    <s v="N"/>
    <s v="S"/>
    <s v="N"/>
  </r>
  <r>
    <x v="9"/>
    <s v="035685"/>
    <s v="SOLICITUD DE DECLARACION Y FINANCIACION DEL AREA DE REGENERACION Y RENOVACION URBANA Y RURAL"/>
    <s v="3 MESES"/>
    <x v="1"/>
    <x v="9"/>
    <x v="61"/>
    <s v="SKKG"/>
    <x v="1727"/>
    <s v="N"/>
    <s v="N"/>
    <s v="S"/>
    <s v="N"/>
  </r>
  <r>
    <x v="9"/>
    <s v="035686"/>
    <s v="COMUNICACION DE MODIFICACION DE LAS ACTUACIONES"/>
    <s v="3 MESES"/>
    <x v="1"/>
    <x v="9"/>
    <x v="61"/>
    <s v="MKKI"/>
    <x v="1726"/>
    <s v="S"/>
    <s v="N"/>
    <s v="S"/>
    <s v="N"/>
  </r>
  <r>
    <x v="9"/>
    <s v="035687"/>
    <s v="SOLICITUD DEL RECONOCIMIENTO DEL DERECHO A LA SUBVENCION"/>
    <s v="3 MESES"/>
    <x v="1"/>
    <x v="9"/>
    <x v="58"/>
    <s v="SKKF"/>
    <x v="1728"/>
    <s v="N"/>
    <s v="N"/>
    <s v="S"/>
    <s v="N"/>
  </r>
  <r>
    <x v="9"/>
    <s v="035688"/>
    <s v="SOLICITUD DE ABONO DE LA AYUDA RECONOCIDA PARA ACTUACIONES DE REHABILITACION DE VIVIENDAS, SUSTITUCION DE VIVIENDAS, MEJORA DEL MEDIO URBANO, REALOJOS TEMPORALES Y EQUIPOS DE GESTION EN EL ARRUR"/>
    <s v="3 MESES"/>
    <x v="1"/>
    <x v="9"/>
    <x v="58"/>
    <s v="PKKJ"/>
    <x v="1729"/>
    <s v="S"/>
    <s v="N"/>
    <s v="S"/>
    <s v="N"/>
  </r>
  <r>
    <x v="9"/>
    <s v="035958"/>
    <s v="SOLICITUD DE ABONO PARA AYUDA RECONOCIDA PARA LA ADQUISICION DE VIVIENDA HABITUAL Y PERMANENTE EN REGIMEN DE PROPIEDAD POR JOVENES."/>
    <s v="EL PLAZO PARA DICTAR Y NOTIFICAR LA RESOLUCIÓN SERÁ DE 3 MESES, CONTADOS A PARTIR DE LA PRESENTACIÓN DE LA SOLICITUD."/>
    <x v="1"/>
    <x v="9"/>
    <x v="58"/>
    <s v="PL67"/>
    <x v="1730"/>
    <s v="S"/>
    <s v="N"/>
    <s v="S"/>
    <s v="N"/>
  </r>
  <r>
    <x v="9"/>
    <s v="035959"/>
    <s v="AYUDAS A LA ADQUISICION DE VIVIENDA EN PROPIEDAD POR LOS JOVENES PARA CONTRIBUIR AL RETO DEMOGRAFICO DE CASTILLA-LA MANCHA, EN EL MARCO DEL PLAN ESTATAL DE VIVIENDA 2022-2025."/>
    <s v="EL PLAZO PARA DICTAR Y NOTIFICAR LA RESOLUCIÓN SERÁ DE 3 MESES, CONTADOS A PARTIR DE LA PRESENTACIÓN DE LA SOLICITUD."/>
    <x v="1"/>
    <x v="9"/>
    <x v="58"/>
    <s v="SL66"/>
    <x v="1731"/>
    <s v="S"/>
    <s v="N"/>
    <s v="S"/>
    <s v="N"/>
  </r>
  <r>
    <x v="9"/>
    <s v="035995"/>
    <s v="COMUNICACION DE MODIFICACION DE LAS CONDICIONES DE LAS AYUDAS AL ARRENDAMIENTO DE VIVIENDAS DIRIGIDAS A VICTIMAS DE VIOLENCIA DE GENERO."/>
    <s v="1 MES DESDE LA FINALIZACIÓN DEL PLAZO PARA PRESENTAR SOLICITUDES."/>
    <x v="1"/>
    <x v="9"/>
    <x v="58"/>
    <s v="MLAL"/>
    <x v="1732"/>
    <s v="S"/>
    <s v="N"/>
    <s v="S"/>
    <s v="N"/>
  </r>
  <r>
    <x v="9"/>
    <s v="035996"/>
    <s v="ABONO DE LAS AYUDAS AL ARRENDAMIENTO DE VIVIENDAS DIRIGIDAS A VICTIMAS DE VIOLENCIA DE GENERO"/>
    <s v="1 MES DESDE LA FINALIZACIÓN DEL PLAZO PARA PRESENTAR SOLICITUDES."/>
    <x v="1"/>
    <x v="9"/>
    <x v="58"/>
    <s v="PLAN"/>
    <x v="1733"/>
    <s v="S"/>
    <s v="N"/>
    <s v="S"/>
    <s v="N"/>
  </r>
  <r>
    <x v="9"/>
    <s v="035997"/>
    <s v="SOLICITUD DE AYUDAS AL ARRENDAMIENTO DE VIVIENDAS DIRIGIDAS A VICTIMAS DE VIOLENCIA DE GENERO."/>
    <s v="1 MES DESDE LA FINALIZACIÓN DEL PLAZO PARA PRESENTAR SOLICITUDES."/>
    <x v="1"/>
    <x v="9"/>
    <x v="58"/>
    <s v="SLAM"/>
    <x v="1734"/>
    <s v="S"/>
    <s v="N"/>
    <s v="S"/>
    <s v="N"/>
  </r>
  <r>
    <x v="9"/>
    <s v="036048"/>
    <s v="SOLICITUD DE AYUDA PARA ACTUACIONES DE REHABILITACION ENERGETICA EN VIVIENDAS EXISTENTES."/>
    <s v="6 MESES"/>
    <x v="1"/>
    <x v="9"/>
    <x v="58"/>
    <s v="SLGX"/>
    <x v="1735"/>
    <s v="S"/>
    <s v="N"/>
    <s v="S"/>
    <s v="N"/>
  </r>
  <r>
    <x v="9"/>
    <s v="036049"/>
    <s v="ABONO DE LA AYUDA PARA LA REHABILITACION ENERGETICA EN EDIFICIOS EXISTENTES"/>
    <s v="6 MESES"/>
    <x v="1"/>
    <x v="9"/>
    <x v="58"/>
    <s v="PLGZ"/>
    <x v="1736"/>
    <s v="S"/>
    <s v="N"/>
    <s v="S"/>
    <s v="N"/>
  </r>
  <r>
    <x v="9"/>
    <s v="036140"/>
    <s v="AYUDA PARA LA REHABILITACION ENERGETICA EN VIVIENDAS EXISTENTES EN MUNICIPIOS DE RETO DEMOGRAFICO."/>
    <s v="6 MESES."/>
    <x v="1"/>
    <x v="9"/>
    <x v="58"/>
    <s v="SLPQ"/>
    <x v="1737"/>
    <s v="S"/>
    <s v="N"/>
    <s v="S"/>
    <s v="N"/>
  </r>
  <r>
    <x v="9"/>
    <s v="040028"/>
    <s v="CALIFICACION/ DECLARACION PROVISIONAL VIVIENDAS CON PROTECCION PUBLICA"/>
    <s v="3 MESES"/>
    <x v="0"/>
    <x v="9"/>
    <x v="58"/>
    <s v="SJA6"/>
    <x v="1738"/>
    <s v="S"/>
    <s v="N"/>
    <s v="S"/>
    <s v="N"/>
  </r>
  <r>
    <x v="9"/>
    <s v="040029"/>
    <s v="CALIFICACION/DECLARACION DEFINITIVA VIVIENDAS CON PROTECCION PUBLICA"/>
    <s v="3 MESES"/>
    <x v="0"/>
    <x v="9"/>
    <x v="58"/>
    <s v="SJA7"/>
    <x v="1739"/>
    <s v="S"/>
    <s v="N"/>
    <s v="S"/>
    <s v="N"/>
  </r>
  <r>
    <x v="9"/>
    <s v="040032"/>
    <s v="DECLARACION DE INTERES REGIONAL DE LOS PROYECTOS DE SINGULAR INTERES PROMOVIDOS POR PERSONAS O ENTIDADES PARTICULARES"/>
    <s v="2 MESES"/>
    <x v="1"/>
    <x v="9"/>
    <x v="61"/>
    <s v="SJ7N"/>
    <x v="1740"/>
    <s v="S"/>
    <s v="N"/>
    <s v="S"/>
    <s v="N"/>
  </r>
  <r>
    <x v="9"/>
    <s v="040067"/>
    <s v="VISADO DE CONTRATOS (VIVIENDA)"/>
    <s v="3 MESES"/>
    <x v="0"/>
    <x v="9"/>
    <x v="58"/>
    <s v="SJQR"/>
    <x v="1741"/>
    <s v="S"/>
    <s v="N"/>
    <s v="S"/>
    <s v="N"/>
  </r>
  <r>
    <x v="9"/>
    <s v="040173"/>
    <s v="PRUEBAS DE COMPETENCIA PROFESIONAL PARA LA REALIZACION DE TRANSPORTE PUBLICO INTERIOR E INTERNACIONAL DE VIAJEROS Y DE MERCANCIAS"/>
    <s v=""/>
    <x v="2"/>
    <x v="9"/>
    <x v="59"/>
    <s v="SH30"/>
    <x v="1742"/>
    <s v="N"/>
    <s v="N"/>
    <s v="S"/>
    <s v="S"/>
  </r>
  <r>
    <x v="9"/>
    <s v="040174"/>
    <s v="PRUEBAS DE CONSEJEROS DE SEGURIDAD PARA EL TRANSPORTE"/>
    <s v=""/>
    <x v="2"/>
    <x v="9"/>
    <x v="59"/>
    <s v="SH50"/>
    <x v="1743"/>
    <s v="S"/>
    <s v="N"/>
    <s v="S"/>
    <s v="N"/>
  </r>
  <r>
    <x v="9"/>
    <s v="040177"/>
    <s v="PRUEBAS PARA LA OBTENCION DEL CERTIFICADO DE APTITUD PROFESIONAL ACREDITATIVO DE LA CUALIFICACION INICIAL DE LOS CONDUCTORES DE DETERMINADOS VEHICULOS DESTINADOS AL TRANSPORTE POR CARRETERA."/>
    <s v=""/>
    <x v="2"/>
    <x v="9"/>
    <x v="59"/>
    <s v="SJ3K"/>
    <x v="1744"/>
    <s v="N"/>
    <s v="N"/>
    <s v="S"/>
    <s v="S"/>
  </r>
  <r>
    <x v="9"/>
    <s v="040180"/>
    <s v="HOMOLOGACION DE CURSOS DE FORMACION DE CONDUCTORES (CAP)"/>
    <s v="3 MESES."/>
    <x v="0"/>
    <x v="9"/>
    <x v="59"/>
    <s v="SJAK"/>
    <x v="1745"/>
    <s v="N"/>
    <s v="N"/>
    <s v="S"/>
    <s v="S"/>
  </r>
  <r>
    <x v="9"/>
    <s v="040232"/>
    <s v="PROYECTO DE SINGULAR INTERES PROMOVIDO POR PERSONAS O ENTIDADES PARTICULARES"/>
    <s v="2 MESES"/>
    <x v="1"/>
    <x v="9"/>
    <x v="61"/>
    <s v="SJA2"/>
    <x v="1746"/>
    <s v="S"/>
    <s v="N"/>
    <s v="S"/>
    <s v="N"/>
  </r>
  <r>
    <x v="9"/>
    <s v="040327"/>
    <s v="SOLICITUD POR AYUNTAMIENTOS A LA CONSEJERIA DE FOMENTO PARA EMISION INFORME EN AUTORIZACIONES INTERURBANAS DE TAXI."/>
    <s v="3 MESES"/>
    <x v="0"/>
    <x v="9"/>
    <x v="59"/>
    <s v="SKZZ"/>
    <x v="1747"/>
    <s v="N"/>
    <s v="N"/>
    <s v="S"/>
    <s v="N"/>
  </r>
  <r>
    <x v="9"/>
    <s v="040369"/>
    <s v="SOLICITUD DE AYUDAS AL ARRENDAMIENTO DE VIVIENDA LIBRE A TRAVES DEL PROGRAMA DE ALQUILER CON GARANTIAS ESPECIALES"/>
    <s v="1 MES."/>
    <x v="1"/>
    <x v="9"/>
    <x v="58"/>
    <s v="SLQ9"/>
    <x v="1748"/>
    <s v="N"/>
    <s v="N"/>
    <s v="S"/>
    <s v="N"/>
  </r>
  <r>
    <x v="9"/>
    <s v="045309"/>
    <s v="EXPEDICION (PRIMERA EMISION), RENOVACION, MODIFICACION DE DATOS O SUSTITUCION DE LA TARJETA DE TACOGRAFO DIGITAL DE EMPRESA."/>
    <s v="3 MESES"/>
    <x v="1"/>
    <x v="9"/>
    <x v="59"/>
    <s v="SJAL"/>
    <x v="1749"/>
    <s v="N"/>
    <s v="N"/>
    <s v="S"/>
    <s v="N"/>
  </r>
  <r>
    <x v="9"/>
    <s v="045310"/>
    <s v="EXPEDICION (PRIMERA EMISION), RENOVACION, MODIFICACION DE DATOS O SUSTITUCION DE TARJETA DE TACOGRAFO DIGITAL DE CENTRO DE ENSAYO."/>
    <s v="3 MESES"/>
    <x v="1"/>
    <x v="9"/>
    <x v="59"/>
    <s v="SKZE"/>
    <x v="1750"/>
    <s v="N"/>
    <s v="N"/>
    <s v="S"/>
    <s v="N"/>
  </r>
  <r>
    <x v="9"/>
    <s v="045311"/>
    <s v="EXPEDICION (PRIMERA EMISION), RENOVACION, MODIFICACION DE DATOS, SUSTITUCION O CANJE DE TARJETA DE TACOGRAFO DIGITAL DE CONDUCTOR."/>
    <s v="3 MESES"/>
    <x v="1"/>
    <x v="9"/>
    <x v="59"/>
    <s v="SJAE"/>
    <x v="1751"/>
    <s v="N"/>
    <s v="N"/>
    <s v="S"/>
    <s v="N"/>
  </r>
  <r>
    <x v="9"/>
    <s v="050002"/>
    <s v="REVERSION"/>
    <s v="3 MESES"/>
    <x v="1"/>
    <x v="9"/>
    <x v="60"/>
    <s v="SJ7Q"/>
    <x v="1752"/>
    <s v="S"/>
    <s v="N"/>
    <s v="S"/>
    <s v="N"/>
  </r>
  <r>
    <x v="9"/>
    <s v="055950"/>
    <s v="ALEGACIONES AL TRAMITE DE INFORMACION PUBLICA EN EL PROCEDIMIENTO DE EXPROPIACION FORZOSA"/>
    <s v=""/>
    <x v="2"/>
    <x v="9"/>
    <x v="60"/>
    <s v="MLSZ"/>
    <x v="1753"/>
    <s v="S"/>
    <s v="N"/>
    <s v="S"/>
    <s v="N"/>
  </r>
  <r>
    <x v="9"/>
    <s v="055951"/>
    <s v="HOJA DE APRECIO PARA LA FIJACION DEL JUSTIPRECIO"/>
    <s v=""/>
    <x v="2"/>
    <x v="9"/>
    <x v="60"/>
    <s v="ML53"/>
    <x v="1754"/>
    <s v="S"/>
    <s v="N"/>
    <s v="S"/>
    <s v="N"/>
  </r>
  <r>
    <x v="9"/>
    <s v="070007"/>
    <s v="PROCEDIMIENTO SANCIONADOR EN MATERIA DE TRANSPORTES"/>
    <s v="UN AÑO,  DESDE LA FECHA DEL ACUERDO DE INICIACIÓN DEL PROCEDIMIENTO."/>
    <x v="3"/>
    <x v="9"/>
    <x v="59"/>
    <s v="SKPF"/>
    <x v="1755"/>
    <s v="S"/>
    <s v="N"/>
    <s v="S"/>
    <s v="N"/>
  </r>
  <r>
    <x v="9"/>
    <s v="080006"/>
    <s v="PROGRAMA DE ASISTENCIA, ASESORAMIENTO E INTERMEDIACION HIPOTECARIA"/>
    <s v="3 MESES"/>
    <x v="0"/>
    <x v="9"/>
    <x v="58"/>
    <s v="SKK2"/>
    <x v="1756"/>
    <s v="S"/>
    <s v="N"/>
    <s v="S"/>
    <s v="N"/>
  </r>
  <r>
    <x v="9"/>
    <s v="110038"/>
    <s v="PROCESO SELECTIVO PARA LA AMPLIACION DE LA BOLSA DE TRABAJO DEL CUERPO TECNICO, ESPECIALIDAD ARQUITECTURA TECNICA."/>
    <s v="6 MESES"/>
    <x v="1"/>
    <x v="9"/>
    <x v="62"/>
    <s v="SKXA"/>
    <x v="1757"/>
    <s v="N"/>
    <s v="N"/>
    <s v="S"/>
    <s v="N"/>
  </r>
  <r>
    <x v="9"/>
    <s v="110097"/>
    <s v="PROCESO SELECTIVO PARA LA AMPLIACION DE LA BOLSA DE TRABAJO DEL CUERPO SUPERIOR, ESPECIALIDAD ARQUITECTURA SUPERIOR."/>
    <s v="6 MESES"/>
    <x v="1"/>
    <x v="9"/>
    <x v="62"/>
    <s v="SLWX"/>
    <x v="1758"/>
    <s v="N"/>
    <s v="N"/>
    <s v="S"/>
    <s v="N"/>
  </r>
  <r>
    <x v="9"/>
    <s v="130001"/>
    <s v="RECLAMACION DE RESPONSABILIDAD PATRIMONIAL."/>
    <s v="SEIS MESES DESDE QUE SE INICIA EL PROCEDIMIENTO. EN CASO DE TRAMITACIÓN SIMPLIFICADA DEL PROCEDIMIENTO, TREINTA DÍAS DESDE QUE SE NOTIFICA AL INTERESADO EL ACUERDO DE TRAMITACIÓN SIMPLIFICADA DEL PROCEDIMIENTO."/>
    <x v="1"/>
    <x v="9"/>
    <x v="60"/>
    <s v="SJ7R"/>
    <x v="1759"/>
    <s v="S"/>
    <s v="N"/>
    <s v="S"/>
    <s v="N"/>
  </r>
  <r>
    <x v="9"/>
    <s v="176017"/>
    <s v="MORATORIA EXTRAORDINARIA EN EL PAGO DE LA RENTA, PARA PERSONAS EN SITUACION DE VULNERABILIDAD ECONOMICA A CAUSA DEL COVID-19. VIVIENDAS PERTENECIENTES AL PARQUE PUBLICO DE VIVIENDA JCCM"/>
    <s v="SIETE DÍAS LABORABLES, CONTADOS A PARTIR DE LA FECHA DE PRESENTACIÓN DE LA SOLICITUD."/>
    <x v="1"/>
    <x v="9"/>
    <x v="58"/>
    <s v="SLD1"/>
    <x v="1760"/>
    <s v="N"/>
    <s v="N"/>
    <s v="S"/>
    <s v="N"/>
  </r>
  <r>
    <x v="9"/>
    <s v="176018"/>
    <s v="MORATORIA EXTRAORDINARIA EN EL PAGO DE LA RENTA, PARA PERSONAS EN SITUACION DE VULNERABILIDAD ECONOMICA A CAUSA DEL COVID-19. VIVIENDAS PERTENECIENTES A LA EMPRESA PUBLICA GICAMAN"/>
    <s v="SIETE DÍAS LABORABLES, CONTADOS A PARTIR DE LA FECHA DE PRESENTACIÓN DE LA SOLICITUD."/>
    <x v="1"/>
    <x v="9"/>
    <x v="58"/>
    <s v="SLD2"/>
    <x v="1761"/>
    <s v="N"/>
    <s v="N"/>
    <s v="S"/>
    <s v="N"/>
  </r>
  <r>
    <x v="9"/>
    <s v="176039"/>
    <s v="MODIFICACION DEL DEPOSITO DE FIANZA DE ARRENDAMIENTOS URBANOS."/>
    <s v=""/>
    <x v="2"/>
    <x v="9"/>
    <x v="58"/>
    <s v="SLGK"/>
    <x v="1762"/>
    <s v="S"/>
    <s v="N"/>
    <s v="S"/>
    <s v="N"/>
  </r>
  <r>
    <x v="9"/>
    <s v="176040"/>
    <s v="SOLICITUD DE CERTIFICACION DE CONSTITUCION DEL DEPOSITO DE FIANZAS DE ARRENDAMIENTOS URBANOS."/>
    <s v=""/>
    <x v="2"/>
    <x v="9"/>
    <x v="58"/>
    <s v="SLGL"/>
    <x v="1763"/>
    <s v="S"/>
    <s v="N"/>
    <s v="S"/>
    <s v="N"/>
  </r>
  <r>
    <x v="9"/>
    <s v="176041"/>
    <s v="DEVOLUCION DEL DEPOSITO DE FIANZA DE ARRENDAMIENTOS URBANOS."/>
    <s v=""/>
    <x v="2"/>
    <x v="9"/>
    <x v="58"/>
    <s v="SL7X"/>
    <x v="1764"/>
    <s v="S"/>
    <s v="N"/>
    <s v="S"/>
    <s v="N"/>
  </r>
  <r>
    <x v="9"/>
    <s v="176042"/>
    <s v="LIQUIDACION ORDINARIA/EXTRAORDINARIA."/>
    <s v="3 MESES"/>
    <x v="0"/>
    <x v="9"/>
    <x v="58"/>
    <s v="SLGN"/>
    <x v="1765"/>
    <s v="S"/>
    <s v="N"/>
    <s v="S"/>
    <s v="N"/>
  </r>
  <r>
    <x v="9"/>
    <s v="176043"/>
    <s v="MODIFICACION DEL CONCIERTO"/>
    <s v="3 MESES"/>
    <x v="0"/>
    <x v="9"/>
    <x v="58"/>
    <s v="SLGO"/>
    <x v="1766"/>
    <s v="S"/>
    <s v="N"/>
    <s v="S"/>
    <s v="N"/>
  </r>
  <r>
    <x v="9"/>
    <s v="176044"/>
    <s v="CESE DEL CONCIERTO."/>
    <s v="3 MESES"/>
    <x v="0"/>
    <x v="9"/>
    <x v="58"/>
    <s v="SLGP"/>
    <x v="1767"/>
    <s v="S"/>
    <s v="N"/>
    <s v="S"/>
    <s v="N"/>
  </r>
  <r>
    <x v="9"/>
    <s v="176045"/>
    <s v="ACCESO AL REGIMEN ESPECIAL DE CONCIERTO."/>
    <s v="3 MESES"/>
    <x v="0"/>
    <x v="9"/>
    <x v="58"/>
    <s v="SLGM"/>
    <x v="1768"/>
    <s v="N"/>
    <s v="N"/>
    <s v="S"/>
    <s v="N"/>
  </r>
  <r>
    <x v="9"/>
    <s v="180110"/>
    <s v="PROCEDIMIENTO DE PROVISION DE PUESTOS DE TRABAJO POR EL PROCEDIMIENTO LIBRE DESIGNACION."/>
    <s v="DOS MESES"/>
    <x v="1"/>
    <x v="9"/>
    <x v="60"/>
    <s v="SK1K"/>
    <x v="1769"/>
    <s v="N"/>
    <s v="N"/>
    <s v="S"/>
    <s v="N"/>
  </r>
  <r>
    <x v="9"/>
    <s v="180236"/>
    <s v="CONCURSO SINGULARIZADO DE MERITOS (CSM FOM 1/2022) PARA LA PROVISION DE PUESTOS DE TRABAJO VACANTES EN LA ADMINISTRACION DE LA JUNTA DE COMUNIDADES DE CASTILLA-LA MANCHA."/>
    <s v="4 MESES"/>
    <x v="1"/>
    <x v="9"/>
    <x v="60"/>
    <s v="SLU5"/>
    <x v="1770"/>
    <s v="N"/>
    <s v="N"/>
    <s v="S"/>
    <s v="N"/>
  </r>
  <r>
    <x v="9"/>
    <s v="190003"/>
    <s v="CONCESION SOBRE BIENES Y/O DERECHOS DE TITULARIDAD DE LA JUNTA DE COMUNIDADES DE CASTILLA-LA MANCHA ADSCRITOS A LA CONSEJERIA DE FOMENTO"/>
    <s v="- ADJUDICACIÓN DIRECTA: TRES MESES._x000d__x000a_- ADJUDICACIÓN EN RÉGIMEN DE CONCURRENCIA:SEIS MESES."/>
    <x v="1"/>
    <x v="9"/>
    <x v="60"/>
    <s v="SJ7S"/>
    <x v="1771"/>
    <s v="S"/>
    <s v="N"/>
    <s v="S"/>
    <s v="N"/>
  </r>
  <r>
    <x v="9"/>
    <s v="190004"/>
    <s v="ENAJENACION DE BIENES Y/O DERECHOS TITULARIDAD DE LA JUNTA DE COMUNIDADES DE CASTILLA-LA MANCHA ADSCRITOS A LA CONSEJERIA DE FOMENTO"/>
    <s v="- ADJUDICACIÓN MEDIANTE SUBASTA: TRES MESES._x000d__x000a_- ADJUDICACIÓN MEDIANTE CONCURSO: SEIS MESES."/>
    <x v="1"/>
    <x v="9"/>
    <x v="60"/>
    <s v="SJ7V"/>
    <x v="1772"/>
    <s v="S"/>
    <s v="N"/>
    <s v="S"/>
    <s v="N"/>
  </r>
  <r>
    <x v="9"/>
    <s v="190005"/>
    <s v="CESION GRATUITA DE BIENES DE TITULARIDAD DE LA JUNTA DE COMUNIDADES DE CASTILLA-LA MANCHA ADSCRITOS A LA CONSEJERIA DE FOMENTO."/>
    <s v="3 MESES."/>
    <x v="1"/>
    <x v="9"/>
    <x v="60"/>
    <s v="SJ7W"/>
    <x v="1773"/>
    <s v="N"/>
    <s v="N"/>
    <s v="S"/>
    <s v="N"/>
  </r>
  <r>
    <x v="9"/>
    <s v="210008"/>
    <s v="PRESENTACION DE ALEGACIONES DURANTE EL PERIODO DE INFORMACION PUBLICA DE EXPEDIENTES DE PROYECTOS Y ESTUDIOS DE CARRETERAS."/>
    <s v="3 MESES"/>
    <x v="1"/>
    <x v="9"/>
    <x v="57"/>
    <s v="ML0Q"/>
    <x v="1774"/>
    <s v="S"/>
    <s v="N"/>
    <s v="S"/>
    <s v="N"/>
  </r>
  <r>
    <x v="10"/>
    <s v="030172"/>
    <s v="AYUDAS SOCIALES A MUJERES VICTIMAS DE VIOLENCIA DE GENERO CON ESPECIALES DIFICULTADES PARA ENCONTRAR EMPLEO"/>
    <s v="3 MESES"/>
    <x v="1"/>
    <x v="10"/>
    <x v="63"/>
    <s v="SIV5"/>
    <x v="1775"/>
    <s v="S"/>
    <s v="N"/>
    <s v="S"/>
    <s v="N"/>
  </r>
  <r>
    <x v="10"/>
    <s v="030174"/>
    <s v="AYUDAS DE SOLIDARIDAD PARA MUJERES VICTIMAS DE VIOLENCIA DOMESTICA"/>
    <s v="3 MESES"/>
    <x v="1"/>
    <x v="10"/>
    <x v="63"/>
    <s v="SIMG"/>
    <x v="1776"/>
    <s v="S"/>
    <s v="N"/>
    <s v="S"/>
    <s v="N"/>
  </r>
  <r>
    <x v="10"/>
    <s v="030514"/>
    <s v="CONCESION DEL DISTINTIVO DE EXCELENCIA EN IGUALDAD DE GENERO."/>
    <s v="6 MESES"/>
    <x v="1"/>
    <x v="10"/>
    <x v="63"/>
    <s v="SJZU"/>
    <x v="1777"/>
    <s v="N"/>
    <s v="N"/>
    <s v="S"/>
    <s v="N"/>
  </r>
  <r>
    <x v="10"/>
    <s v="030564"/>
    <s v="SUBVENCIONES  PARA EL ACCESO A PISOS TUTELADOS DESTINADOS A MUJERES VICTIMAS DE VIOLENCIA DE GENERO, MEDIANTE LA MODALIDAD DE SUBVENCION EN ESPECIE"/>
    <s v="1 MES"/>
    <x v="1"/>
    <x v="10"/>
    <x v="63"/>
    <s v="SKAF"/>
    <x v="1778"/>
    <s v="S"/>
    <s v="N"/>
    <s v="S"/>
    <s v="N"/>
  </r>
  <r>
    <x v="10"/>
    <s v="030565"/>
    <s v="AYUDAS PARA PLANES DE IGUALDAD"/>
    <s v="3 MESES"/>
    <x v="1"/>
    <x v="10"/>
    <x v="63"/>
    <s v="SKAL"/>
    <x v="1779"/>
    <s v="N"/>
    <s v="N"/>
    <s v="S"/>
    <s v="N"/>
  </r>
  <r>
    <x v="10"/>
    <s v="030573"/>
    <s v="AYUDAS PARA LA REDUCCION DE BRECHAS DE GENERO EN EL AMBITO LABORAL"/>
    <s v="3 MESES"/>
    <x v="1"/>
    <x v="10"/>
    <x v="63"/>
    <s v="SKBI"/>
    <x v="1780"/>
    <s v="N"/>
    <s v="N"/>
    <s v="S"/>
    <s v="N"/>
  </r>
  <r>
    <x v="10"/>
    <s v="030644"/>
    <s v="PREMIO INTERNACIONAL DE CASTILLA-LA MANCHA A LA IGUALDAD DE GENERO &quot;LUISA DE MEDRANO&quot;"/>
    <s v="6 MESES"/>
    <x v="1"/>
    <x v="10"/>
    <x v="63"/>
    <s v="SKMC"/>
    <x v="1781"/>
    <s v="N"/>
    <s v="N"/>
    <s v="S"/>
    <s v="N"/>
  </r>
  <r>
    <x v="10"/>
    <s v="030650"/>
    <s v="AYUDAS A LA INVESTIGACION"/>
    <s v="3 MESES"/>
    <x v="1"/>
    <x v="10"/>
    <x v="63"/>
    <s v="SKMS"/>
    <x v="1782"/>
    <s v="S"/>
    <s v="N"/>
    <s v="S"/>
    <s v="N"/>
  </r>
  <r>
    <x v="10"/>
    <s v="030651"/>
    <s v="AYUDAS PARA LOS CONSEJOS LOCALES DE LA MUJER O DE IGUALDAD ."/>
    <s v="3 MESES"/>
    <x v="1"/>
    <x v="10"/>
    <x v="63"/>
    <s v="SKMU"/>
    <x v="1783"/>
    <s v="N"/>
    <s v="N"/>
    <s v="S"/>
    <s v="N"/>
  </r>
  <r>
    <x v="10"/>
    <s v="030660"/>
    <s v="RESOLUCION POR LA QUE SE CONVOCAN LOS PREMIOS Y MUESTRA MUJERES EN EL ARTE DEL INSTITUTO DE LA MUJER DE CASTILLA-LA MANCHA  AMALIA AVIA  EN EL AÑO 2022."/>
    <s v="6 MESES A PARTIR DE LA FECHA DE PUBLICACIÓN DE LA RESOLUCIÓN DE CONVOCATORIA EN EL DIARIO OFICIAL DE CASTILLA-LA MANCHA"/>
    <x v="1"/>
    <x v="10"/>
    <x v="63"/>
    <s v="SKNQ"/>
    <x v="1784"/>
    <s v="S"/>
    <s v="N"/>
    <s v="S"/>
    <s v="N"/>
  </r>
  <r>
    <x v="10"/>
    <s v="030666"/>
    <s v="BECAS LEONOR SERRANO PABLO DE ESTUDIOS UNIVERSITARIOS A MUJERES VICTIMAS DE VIOLENCIA DE GENERO Y A SUS HIJAS E HIJOS"/>
    <s v="UN MES A PARTIR DE LA FECHA DE PUBLICACIÓN DE LA CONVOCATORIA EN EL DIARIO OFICIAL DE CASTILLA-LA MANCHA."/>
    <x v="1"/>
    <x v="10"/>
    <x v="63"/>
    <s v="SKO2"/>
    <x v="1785"/>
    <s v="S"/>
    <s v="N"/>
    <s v="S"/>
    <s v="N"/>
  </r>
  <r>
    <x v="10"/>
    <s v="030688"/>
    <s v="REINTEGRO DE SUBVENCIONES EN EL AMBITO DEL INSTITUTO DE LA MUJER DE CASTILLA-LA MANCHA"/>
    <s v="12 MESES"/>
    <x v="3"/>
    <x v="10"/>
    <x v="63"/>
    <s v="NKRI"/>
    <x v="1786"/>
    <s v="S"/>
    <s v="N"/>
    <s v="S"/>
    <s v="N"/>
  </r>
  <r>
    <x v="10"/>
    <s v="030729"/>
    <s v="PRESENTACION DE ALEGACIONES Y/O DOCUMENTACION EN PROCEDIMIENTOS DEL INSTITUTO DE LA MUJER DE CASTILLA-LA MANCHA"/>
    <s v=""/>
    <x v="2"/>
    <x v="10"/>
    <x v="63"/>
    <s v="SKWB"/>
    <x v="1787"/>
    <s v="S"/>
    <s v="N"/>
    <s v="S"/>
    <s v="N"/>
  </r>
  <r>
    <x v="10"/>
    <s v="030741"/>
    <s v="AYUDAS PARA PLANES ESTRATEGICOS DE IGUALDAD MUNICIPALES."/>
    <s v="TRES MESES DESDE LA FECHA DE LA FECHA DE PUBLICACIÓN DE LA RESOLUCIÓN DE CONVOCATORIA EN EL DIARIO OFICIAL DE CASTILLA-LA MANCHA."/>
    <x v="1"/>
    <x v="10"/>
    <x v="63"/>
    <s v="SKYT"/>
    <x v="1788"/>
    <s v="N"/>
    <s v="N"/>
    <s v="S"/>
    <s v="N"/>
  </r>
  <r>
    <x v="10"/>
    <s v="030742"/>
    <s v="AYUDAS PARA FAVORECER LA NO DISCRIMINACION DE LAS PERSONAS PERTENECIENTES AL COLECTIVO LGTBI"/>
    <s v="TRES MESES DESDE LA FECHA DE PUBLICACIÓN DE LA PRESENTE CONVOCATORIA EN EL DIARIO OFICIAL DE CASTILLA-LA MANCHA"/>
    <x v="1"/>
    <x v="10"/>
    <x v="63"/>
    <s v="SKYU"/>
    <x v="1789"/>
    <s v="N"/>
    <s v="N"/>
    <s v="S"/>
    <s v="N"/>
  </r>
  <r>
    <x v="10"/>
    <s v="030760"/>
    <s v="AYUDAS PARA LA PROMOCION DE LA IGUALDAD DE GENERO"/>
    <s v="3 MESES A PARTIR DE LA FECHA DE PUBLICACIÓN DE LA RESOLUCIÓN DE CONVOCATORIA EN EL DIARIO OFICIAL DE CASTILLA-LA MANCHA."/>
    <x v="1"/>
    <x v="10"/>
    <x v="63"/>
    <s v="SKZT"/>
    <x v="1790"/>
    <s v="N"/>
    <s v="N"/>
    <s v="S"/>
    <s v="N"/>
  </r>
  <r>
    <x v="10"/>
    <s v="030763"/>
    <s v="AYUDAS PARA LA PREVENCION DE LA MUTILACION GENITAL FEMENINA (MGF)"/>
    <s v="3 MESES."/>
    <x v="1"/>
    <x v="10"/>
    <x v="63"/>
    <s v="SKZY"/>
    <x v="1791"/>
    <s v="N"/>
    <s v="N"/>
    <s v="S"/>
    <s v="N"/>
  </r>
  <r>
    <x v="10"/>
    <s v="030777"/>
    <s v="CONVOCATORIA DE SUBVENCIONES DIRIGIDAS A LA REALIZACION DE ACTIVIDADES O ACTUACIONES DE PROMOCION RELACIONADAS CON LOS VALORES, PRINCIPIOS Y ESTRATEGIAS DEL INSTITUTO DE LA MUJER DE CASTILLA-LA MANCHA"/>
    <s v="3 MESES"/>
    <x v="1"/>
    <x v="10"/>
    <x v="63"/>
    <s v="SL1K"/>
    <x v="1792"/>
    <s v="N"/>
    <s v="N"/>
    <s v="S"/>
    <s v="N"/>
  </r>
  <r>
    <x v="10"/>
    <s v="030881"/>
    <s v="AYUDAS PARA FOMENTAR EL ASOCIACIONISMO DE MUJERES"/>
    <s v="3 MESES"/>
    <x v="1"/>
    <x v="10"/>
    <x v="63"/>
    <s v="SLE4"/>
    <x v="1793"/>
    <s v="N"/>
    <s v="N"/>
    <s v="S"/>
    <s v="N"/>
  </r>
  <r>
    <x v="10"/>
    <s v="030917"/>
    <s v="DECRETO SUBVENCION DIRECTA PROYECTO CALI PARA LA PROMOCION DE LA IGUALDAD Y ATENCION A LA MULTIPLE DISCRIMINACION DE LAS MUJERES GITANAS"/>
    <s v=""/>
    <x v="2"/>
    <x v="10"/>
    <x v="63"/>
    <s v="PLGW"/>
    <x v="1794"/>
    <s v="S"/>
    <s v="N"/>
    <s v="S"/>
    <s v="N"/>
  </r>
  <r>
    <x v="10"/>
    <s v="030928"/>
    <s v="PREMIO PERIODISTICO LUISA ALBERCA LORENTE POR LA IGUALDAD DE GENERO CLM"/>
    <s v="3 MESES A PARTIR DE LA FECHA DE PUBLICACIÓN DE LA RESOLUCIÓN DE CONVOCATORIA EN EL DIARIO OFICIAL DE CASTILLA-LA MANCHA"/>
    <x v="1"/>
    <x v="10"/>
    <x v="63"/>
    <s v="SLHO"/>
    <x v="1795"/>
    <s v="N"/>
    <s v="N"/>
    <s v="S"/>
    <s v="N"/>
  </r>
  <r>
    <x v="10"/>
    <s v="030934"/>
    <s v="JUSTIFICACION DE CONCESION DIRECTA DE UNA SUBVENCION A LA FUNDACION MUJERES PARA FINANCIAR EL PROYECTO DANA + EN CASTILLA-LA MANCHA"/>
    <s v=""/>
    <x v="2"/>
    <x v="10"/>
    <x v="63"/>
    <s v="PLHZ"/>
    <x v="1796"/>
    <s v="N"/>
    <s v="N"/>
    <s v="S"/>
    <s v="N"/>
  </r>
  <r>
    <x v="10"/>
    <s v="030996"/>
    <s v="CONCESION DIRECTA DE SUBVENCIONES A MUNICIPIOS Y A ENTIDADES DE AMBITO TERRITORIAL INFERIOR AL MUNICIPIO (EATIM) DE C-LM, A UGT Y CCOO, PARA EL DESARROLLO DE ACTUACIONES INCLUIDAS EN EL PLAN CORRESPONSABLES."/>
    <s v=""/>
    <x v="2"/>
    <x v="10"/>
    <x v="63"/>
    <s v="PLMK"/>
    <x v="1797"/>
    <s v="N"/>
    <s v="N"/>
    <s v="S"/>
    <s v="N"/>
  </r>
  <r>
    <x v="10"/>
    <s v="031038"/>
    <s v="SUBVENCIONES DESTINADAS A ACTUACIONES DE INVERSION EN LOS CENTROS DE LA MUJER Y RECURSOS DE ACOGIDA DE CASTILLA-LA MANCHA."/>
    <s v="3 MESES"/>
    <x v="1"/>
    <x v="10"/>
    <x v="63"/>
    <s v="SLPL"/>
    <x v="1798"/>
    <s v="N"/>
    <s v="N"/>
    <s v="S"/>
    <s v="N"/>
  </r>
  <r>
    <x v="10"/>
    <s v="031077"/>
    <s v="PREMIO A LAS BUENAS PRACTICAS EN IGUALDAD DE GENERO Y CONTRA LA VIOLENCIA MACHISTA QUE IMPULSEN LOS CENTROS DE LA MUJER DE CASTILLA-LA MANCHA."/>
    <s v="6 MESES."/>
    <x v="1"/>
    <x v="10"/>
    <x v="63"/>
    <s v="SLRP"/>
    <x v="1799"/>
    <s v="N"/>
    <s v="N"/>
    <s v="S"/>
    <s v="N"/>
  </r>
  <r>
    <x v="10"/>
    <s v="031135"/>
    <s v="CONCESION DIRECTA DE SUBVENCIONES A MUNICIPIOS Y A ENTIDADES DE AMBITO TERRITORIAL INFERIOR AL MUNICIPIO (EATIM) DE CASTILLA-LA MANCHA, PARA EL DESARROLLO DE ACTUACIONES INCLUIDAS EN EL PLAN CORRESPONSABLES"/>
    <s v=""/>
    <x v="2"/>
    <x v="10"/>
    <x v="63"/>
    <s v="PLUZ"/>
    <x v="1800"/>
    <s v="N"/>
    <s v="N"/>
    <s v="S"/>
    <s v="N"/>
  </r>
  <r>
    <x v="10"/>
    <s v="031209"/>
    <s v="RESOLUCION POR LA QUE SE CONVOCAN LOS PREMIOS DE CASTILLA -LA MANCHA MUJERES EN EL CINE ALICE GUY."/>
    <s v="6 MESES A PARTIR DE LA FECHA DE PUBLICACIÓN DE LA RESOLUCIÓN DE CONVOCATORIA EN EL DIARIO OFICIAL DE CASTILLA-LA MANCHA"/>
    <x v="1"/>
    <x v="10"/>
    <x v="63"/>
    <s v="SLZ9"/>
    <x v="1801"/>
    <s v="N"/>
    <s v="N"/>
    <s v="S"/>
    <s v="N"/>
  </r>
  <r>
    <x v="10"/>
    <s v="035513"/>
    <s v="AYUDAS PARA LA PREVENCION DE LA TRATA Y LA EXPLOTACION SEXUAL"/>
    <s v="1 MES Y 15 DÍAS NATURALES"/>
    <x v="1"/>
    <x v="10"/>
    <x v="63"/>
    <s v="SK31"/>
    <x v="1802"/>
    <s v="N"/>
    <s v="N"/>
    <s v="S"/>
    <s v="N"/>
  </r>
  <r>
    <x v="10"/>
    <s v="035514"/>
    <s v="AYUDAS PARA LA PREVENCION DE LA DISCRIMINACION MULTIPLE"/>
    <s v="1 MES Y 15 DÍAS NATURALES"/>
    <x v="1"/>
    <x v="10"/>
    <x v="63"/>
    <s v="SK30"/>
    <x v="1803"/>
    <s v="N"/>
    <s v="N"/>
    <s v="S"/>
    <s v="N"/>
  </r>
  <r>
    <x v="10"/>
    <s v="035561"/>
    <s v="CONVOCATORIA DE SUBVENCIONES PARA LA GESTION DEL FUNCIONAMIENTO DE CENTROS DE LA MUJER PARA VICTIMAS DE VIOLENCIA DE GENERO EN CASTILLA- LA MANCHA, PARA 2023-2024"/>
    <s v="1 MESES Y 15 DÍAS"/>
    <x v="1"/>
    <x v="10"/>
    <x v="63"/>
    <s v="SK5K"/>
    <x v="1804"/>
    <s v="N"/>
    <s v="N"/>
    <s v="S"/>
    <s v="N"/>
  </r>
  <r>
    <x v="10"/>
    <s v="035562"/>
    <s v="CONVOCATORIA DE SUBVENCIONES PARA LA GESTION DEL FUNCIONAMIENTO DE RECURSOS DE ACOGIDA PARA VICTIMAS DE VIOLENCIA DE GENERO EN CASTILLA- LA MANCHA, PARA 2023-2024"/>
    <s v="1 MESES Y 15 DÍAS"/>
    <x v="1"/>
    <x v="10"/>
    <x v="63"/>
    <s v="SKJH"/>
    <x v="1805"/>
    <s v="N"/>
    <s v="N"/>
    <s v="S"/>
    <s v="N"/>
  </r>
  <r>
    <x v="10"/>
    <s v="035940"/>
    <s v="AYUDAS A FAMILIARES EN SITUACION DE DEPENDENCIA DE LA MUJER VICTIMA MORTAL POR VIOLENCIA DE GENERO"/>
    <s v="3 MESES"/>
    <x v="1"/>
    <x v="10"/>
    <x v="63"/>
    <s v="SL52"/>
    <x v="1806"/>
    <s v="S"/>
    <s v="N"/>
    <s v="S"/>
    <s v="N"/>
  </r>
  <r>
    <x v="10"/>
    <s v="035941"/>
    <s v="AYUDAS A MENORES DE EDAD EN SITUACION DE ORFANDAD COMO CONSECUENCIA DE LA VIOLENCIA DE GENERO"/>
    <s v="3 MESES"/>
    <x v="1"/>
    <x v="10"/>
    <x v="63"/>
    <s v="SL4I"/>
    <x v="1807"/>
    <s v="S"/>
    <s v="N"/>
    <s v="S"/>
    <s v="N"/>
  </r>
  <r>
    <x v="10"/>
    <s v="040363"/>
    <s v="RECONOCIMIENTO DE LA EXPERIENCIA LABORAL FORMAL O NO FORMAL EN EL SECTOR DE LOS CUIDADOS DE MENORES HASTA 14 AÑOS EN EL AMBITO DEL PLAN CORRESPONSABLES."/>
    <s v=""/>
    <x v="2"/>
    <x v="10"/>
    <x v="63"/>
    <s v="SLOO"/>
    <x v="1808"/>
    <s v="S"/>
    <s v="N"/>
    <s v="S"/>
    <s v="N"/>
  </r>
  <r>
    <x v="10"/>
    <s v="040378"/>
    <s v="ACREDITACION ADMINISTRATIVA DE LA CONDICION DE VICTIMA DE VIOLENCIA DE GENERO"/>
    <s v="1 MES"/>
    <x v="1"/>
    <x v="10"/>
    <x v="63"/>
    <s v="SLVW"/>
    <x v="1809"/>
    <s v="S"/>
    <s v="N"/>
    <s v="S"/>
    <s v="N"/>
  </r>
  <r>
    <x v="10"/>
    <s v="180081"/>
    <s v="PROCEDIMIENTO DE PROVISION DE PUESTO DE TRABAJO L.D. IM F1/2022"/>
    <s v="2 MESES"/>
    <x v="1"/>
    <x v="10"/>
    <x v="63"/>
    <s v="SJUJ"/>
    <x v="1810"/>
    <s v="N"/>
    <s v="N"/>
    <s v="S"/>
    <s v="N"/>
  </r>
  <r>
    <x v="11"/>
    <s v="030887"/>
    <s v="CASTILLA-LA MANCHA OPEN DAY DE CHINA 2022"/>
    <s v="3 MESES"/>
    <x v="1"/>
    <x v="11"/>
    <x v="64"/>
    <s v="SLF0"/>
    <x v="1811"/>
    <s v="N"/>
    <s v="N"/>
    <s v="S"/>
    <s v="N"/>
  </r>
  <r>
    <x v="11"/>
    <s v="030889"/>
    <s v="MISION COMERCIAL VIRTUAL A PAISES NORDICOS"/>
    <s v="3 M."/>
    <x v="1"/>
    <x v="11"/>
    <x v="64"/>
    <s v="SLF7"/>
    <x v="1812"/>
    <s v="N"/>
    <s v="N"/>
    <s v="S"/>
    <s v="N"/>
  </r>
  <r>
    <x v="11"/>
    <s v="030899"/>
    <s v="V2B WINE MEETING PEKIN"/>
    <s v="3 MESES"/>
    <x v="1"/>
    <x v="11"/>
    <x v="64"/>
    <s v="SLFR"/>
    <x v="1813"/>
    <s v="N"/>
    <s v="N"/>
    <s v="S"/>
    <s v="N"/>
  </r>
  <r>
    <x v="11"/>
    <s v="030904"/>
    <s v="V2B WINE MEETING GUANGZHOU"/>
    <s v="3 MESES"/>
    <x v="1"/>
    <x v="11"/>
    <x v="64"/>
    <s v="SLFX"/>
    <x v="1814"/>
    <s v="N"/>
    <s v="N"/>
    <s v="S"/>
    <s v="N"/>
  </r>
  <r>
    <x v="11"/>
    <s v="030907"/>
    <s v="V2B WINE MEETING TAILANDIA"/>
    <s v="3 MESES"/>
    <x v="1"/>
    <x v="11"/>
    <x v="64"/>
    <s v="SLG2"/>
    <x v="1815"/>
    <s v="N"/>
    <s v="N"/>
    <s v="S"/>
    <s v="N"/>
  </r>
  <r>
    <x v="11"/>
    <s v="030910"/>
    <s v="FERIA WBWE."/>
    <s v="3 MESES"/>
    <x v="1"/>
    <x v="11"/>
    <x v="64"/>
    <s v="SLGE"/>
    <x v="1816"/>
    <s v="N"/>
    <s v="N"/>
    <s v="S"/>
    <s v="N"/>
  </r>
  <r>
    <x v="11"/>
    <s v="030922"/>
    <s v="PROMOCION EN MARKETPLACES INTERNACIONALES DE MODA B2B  JOOR Y WE WANT SHOES"/>
    <s v="3 MESES"/>
    <x v="1"/>
    <x v="11"/>
    <x v="64"/>
    <s v="SLH7"/>
    <x v="1817"/>
    <s v="N"/>
    <s v="N"/>
    <s v="S"/>
    <s v="N"/>
  </r>
  <r>
    <x v="11"/>
    <s v="030923"/>
    <s v="FERIAS INTERNACIONALES AGROALIMENTARIAS"/>
    <s v="3 MESES"/>
    <x v="1"/>
    <x v="11"/>
    <x v="64"/>
    <s v="SLH9"/>
    <x v="1818"/>
    <s v="N"/>
    <s v="N"/>
    <s v="S"/>
    <s v="N"/>
  </r>
  <r>
    <x v="11"/>
    <s v="030932"/>
    <s v="IMPULSA TU EMPRESA EN CHINA"/>
    <s v="3 MESES"/>
    <x v="1"/>
    <x v="11"/>
    <x v="64"/>
    <s v="SLHX"/>
    <x v="1819"/>
    <s v="N"/>
    <s v="N"/>
    <s v="S"/>
    <s v="N"/>
  </r>
  <r>
    <x v="11"/>
    <s v="030938"/>
    <s v="FERIA DE HOTELES DE CHENGDU"/>
    <s v="3 MESES"/>
    <x v="1"/>
    <x v="11"/>
    <x v="64"/>
    <s v="SLI9"/>
    <x v="1820"/>
    <s v="N"/>
    <s v="N"/>
    <s v="S"/>
    <s v="N"/>
  </r>
  <r>
    <x v="11"/>
    <s v="030942"/>
    <s v="ANTAD RETAIL CONNECT: INTERNATIONAL WEEK 2021"/>
    <s v="3 MESES"/>
    <x v="1"/>
    <x v="11"/>
    <x v="64"/>
    <s v="SLIG"/>
    <x v="1821"/>
    <s v="N"/>
    <s v="N"/>
    <s v="S"/>
    <s v="N"/>
  </r>
  <r>
    <x v="11"/>
    <s v="030952"/>
    <s v="FERIAS INTERNACIONALES AGROALIMENTARIAS SEGUNDO TRIMESTRE 2021."/>
    <s v="3 MESES."/>
    <x v="1"/>
    <x v="11"/>
    <x v="64"/>
    <s v="SLIT"/>
    <x v="1822"/>
    <s v="N"/>
    <s v="N"/>
    <s v="S"/>
    <s v="N"/>
  </r>
  <r>
    <x v="11"/>
    <s v="030953"/>
    <s v="FERIAS INTERNACIONALES SECTORES INDUSTRIALES CUARTO TRIMESTRE 2022"/>
    <s v="3 MESES."/>
    <x v="1"/>
    <x v="11"/>
    <x v="64"/>
    <s v="SLIU"/>
    <x v="1823"/>
    <s v="N"/>
    <s v="N"/>
    <s v="S"/>
    <s v="N"/>
  </r>
  <r>
    <x v="11"/>
    <s v="030954"/>
    <s v="FERIAS INTERNACIONALES BIENES DE CONSUMO CUARTO TRIMESTRE 2022, (2ª CONVOCATORIA)."/>
    <s v="3 MESES"/>
    <x v="1"/>
    <x v="11"/>
    <x v="64"/>
    <s v="SLIV"/>
    <x v="1824"/>
    <s v="N"/>
    <s v="N"/>
    <s v="S"/>
    <s v="N"/>
  </r>
  <r>
    <x v="11"/>
    <s v="030955"/>
    <s v="FERIAS INTERNACIONALES SECTOR MODA"/>
    <s v="3 MESES."/>
    <x v="1"/>
    <x v="11"/>
    <x v="64"/>
    <s v="SLIW"/>
    <x v="1825"/>
    <s v="N"/>
    <s v="N"/>
    <s v="S"/>
    <s v="N"/>
  </r>
  <r>
    <x v="11"/>
    <s v="030959"/>
    <s v="V2B WINE MEETING EN SINGAPUR 2022"/>
    <s v="3 MESES"/>
    <x v="1"/>
    <x v="11"/>
    <x v="64"/>
    <s v="SLJ4"/>
    <x v="1826"/>
    <s v="N"/>
    <s v="N"/>
    <s v="S"/>
    <s v="N"/>
  </r>
  <r>
    <x v="11"/>
    <s v="030960"/>
    <s v="V2B WINE MEETING EN TAILANDIA."/>
    <s v="3 MESES"/>
    <x v="1"/>
    <x v="11"/>
    <x v="64"/>
    <s v="SLJ5"/>
    <x v="1827"/>
    <s v="N"/>
    <s v="N"/>
    <s v="S"/>
    <s v="N"/>
  </r>
  <r>
    <x v="11"/>
    <s v="030962"/>
    <s v="V2B WINE MEETING CHINA: CHENGDU"/>
    <s v="3 MESES"/>
    <x v="1"/>
    <x v="11"/>
    <x v="64"/>
    <s v="SLJA"/>
    <x v="1828"/>
    <s v="N"/>
    <s v="N"/>
    <s v="S"/>
    <s v="N"/>
  </r>
  <r>
    <x v="11"/>
    <s v="030964"/>
    <s v="MISION COMERCIAL VIRTUAL DE VINO EN COSTA DE MARFIL"/>
    <s v="3 MESES"/>
    <x v="1"/>
    <x v="11"/>
    <x v="64"/>
    <s v="SLJC"/>
    <x v="1829"/>
    <s v="N"/>
    <s v="N"/>
    <s v="S"/>
    <s v="N"/>
  </r>
  <r>
    <x v="11"/>
    <s v="030965"/>
    <s v="MISION COMERCIAL DIRECTA DE VINO EN GHANA"/>
    <s v="3 MESES"/>
    <x v="1"/>
    <x v="11"/>
    <x v="64"/>
    <s v="SLJD"/>
    <x v="1830"/>
    <s v="N"/>
    <s v="N"/>
    <s v="S"/>
    <s v="N"/>
  </r>
  <r>
    <x v="11"/>
    <s v="030966"/>
    <s v="MISION COMERCIAL DIRECTA DE VINO EN CAMERUN"/>
    <s v="3 MESES"/>
    <x v="1"/>
    <x v="11"/>
    <x v="64"/>
    <s v="SLJH"/>
    <x v="1831"/>
    <s v="N"/>
    <s v="N"/>
    <s v="S"/>
    <s v="N"/>
  </r>
  <r>
    <x v="11"/>
    <s v="030975"/>
    <s v="VISITA FERIA A TASTE OF TAVOLA 2021 Y PLATAFORMA TAVOLA ONLINE"/>
    <s v="3 MESES"/>
    <x v="1"/>
    <x v="11"/>
    <x v="64"/>
    <s v="SLK3"/>
    <x v="1832"/>
    <s v="N"/>
    <s v="N"/>
    <s v="S"/>
    <s v="N"/>
  </r>
  <r>
    <x v="11"/>
    <s v="030986"/>
    <s v="VISITA A FERIA YUMMEX"/>
    <s v="3 MESES"/>
    <x v="1"/>
    <x v="11"/>
    <x v="64"/>
    <s v="SLLI"/>
    <x v="1833"/>
    <s v="N"/>
    <s v="N"/>
    <s v="S"/>
    <s v="N"/>
  </r>
  <r>
    <x v="11"/>
    <s v="030991"/>
    <s v="VISITA FERIA AMERICAS FOOD&amp;BEVERAGES SHOW 2021."/>
    <s v="3 MESES."/>
    <x v="1"/>
    <x v="11"/>
    <x v="64"/>
    <s v="SLM0"/>
    <x v="1834"/>
    <s v="N"/>
    <s v="N"/>
    <s v="S"/>
    <s v="N"/>
  </r>
  <r>
    <x v="11"/>
    <s v="030997"/>
    <s v="MISION COMERCIAL DIRECTA MULTISECTORIAL A MARRUECOS 2021"/>
    <s v="3 MESES."/>
    <x v="1"/>
    <x v="11"/>
    <x v="64"/>
    <s v="SLMO"/>
    <x v="1835"/>
    <s v="N"/>
    <s v="N"/>
    <s v="S"/>
    <s v="N"/>
  </r>
  <r>
    <x v="11"/>
    <s v="030998"/>
    <s v="MISION COMERCIAL DIRECTA A ETIOPIA"/>
    <s v="3 MESES."/>
    <x v="1"/>
    <x v="11"/>
    <x v="64"/>
    <s v="SLMZ"/>
    <x v="1836"/>
    <s v="N"/>
    <s v="N"/>
    <s v="S"/>
    <s v="N"/>
  </r>
  <r>
    <x v="11"/>
    <s v="031000"/>
    <s v="SPANISH EXTRAVAGANZA CIUDAD DE MEXICO."/>
    <s v="3 MESES."/>
    <x v="1"/>
    <x v="11"/>
    <x v="64"/>
    <s v="SLN2"/>
    <x v="1837"/>
    <s v="N"/>
    <s v="N"/>
    <s v="S"/>
    <s v="N"/>
  </r>
  <r>
    <x v="11"/>
    <s v="031003"/>
    <s v="MISION COMERCIAL DIRECTA A ESTADOS UNIDOS"/>
    <s v="3 MESES."/>
    <x v="1"/>
    <x v="11"/>
    <x v="64"/>
    <s v="SLNL"/>
    <x v="1838"/>
    <s v="N"/>
    <s v="N"/>
    <s v="S"/>
    <s v="N"/>
  </r>
  <r>
    <x v="11"/>
    <s v="031005"/>
    <s v="V2B WINE MEETING EN TAIWAN 2021."/>
    <s v="3 MESES."/>
    <x v="1"/>
    <x v="11"/>
    <x v="64"/>
    <s v="SLNP"/>
    <x v="1839"/>
    <s v="N"/>
    <s v="N"/>
    <s v="S"/>
    <s v="N"/>
  </r>
  <r>
    <x v="11"/>
    <s v="031009"/>
    <s v="MISION COMERCIAL DIRECTA A SENEGAL Y COSTA DE MARFIL"/>
    <s v="3 MESES."/>
    <x v="1"/>
    <x v="11"/>
    <x v="64"/>
    <s v="SLNW"/>
    <x v="1840"/>
    <s v="N"/>
    <s v="N"/>
    <s v="S"/>
    <s v="N"/>
  </r>
  <r>
    <x v="11"/>
    <s v="031010"/>
    <s v="V2B WINE MEETING EN COREA 2021."/>
    <s v="3 MESES."/>
    <x v="1"/>
    <x v="11"/>
    <x v="64"/>
    <s v="SLNX"/>
    <x v="1841"/>
    <s v="N"/>
    <s v="N"/>
    <s v="S"/>
    <s v="N"/>
  </r>
  <r>
    <x v="11"/>
    <s v="031014"/>
    <s v="V2B WINE MEETING EN NINGBO."/>
    <s v="3 MESES."/>
    <x v="1"/>
    <x v="11"/>
    <x v="64"/>
    <s v="SLO5"/>
    <x v="1842"/>
    <s v="N"/>
    <s v="N"/>
    <s v="S"/>
    <s v="N"/>
  </r>
  <r>
    <x v="11"/>
    <s v="031015"/>
    <s v="V2B WINE MEETING EN QUINGDAO."/>
    <s v="3 MESES."/>
    <x v="1"/>
    <x v="11"/>
    <x v="64"/>
    <s v="SLO6"/>
    <x v="1843"/>
    <s v="N"/>
    <s v="N"/>
    <s v="S"/>
    <s v="N"/>
  </r>
  <r>
    <x v="11"/>
    <s v="031020"/>
    <s v="AYUDAS PARA PLANES INDIVIDUALES DE INTERNACIONALIZACION"/>
    <s v="4 MESES."/>
    <x v="1"/>
    <x v="11"/>
    <x v="64"/>
    <s v="SLOE"/>
    <x v="1844"/>
    <s v="N"/>
    <s v="N"/>
    <s v="S"/>
    <s v="N"/>
  </r>
  <r>
    <x v="11"/>
    <s v="031025"/>
    <s v="FERIA WORLD BULK WINE EXHIBITION 2022"/>
    <s v="3 MESES."/>
    <x v="1"/>
    <x v="11"/>
    <x v="64"/>
    <s v="SLP0"/>
    <x v="1845"/>
    <s v="N"/>
    <s v="N"/>
    <s v="S"/>
    <s v="N"/>
  </r>
  <r>
    <x v="11"/>
    <s v="031026"/>
    <s v="FOOD AND HOTEL PROWINE CHINA."/>
    <s v="3 MESES"/>
    <x v="1"/>
    <x v="11"/>
    <x v="64"/>
    <s v="SLP1"/>
    <x v="1846"/>
    <s v="N"/>
    <s v="N"/>
    <s v="S"/>
    <s v="N"/>
  </r>
  <r>
    <x v="11"/>
    <s v="031027"/>
    <s v="FERIA BATIMATEC ARGELIA."/>
    <s v="3 MESES."/>
    <x v="1"/>
    <x v="11"/>
    <x v="64"/>
    <s v="SLP2"/>
    <x v="1847"/>
    <s v="N"/>
    <s v="N"/>
    <s v="S"/>
    <s v="N"/>
  </r>
  <r>
    <x v="11"/>
    <s v="031028"/>
    <s v="VISITA A LA FERIA WORLD TRAVEL MARKET LONDRES"/>
    <s v="3 MESES."/>
    <x v="1"/>
    <x v="11"/>
    <x v="64"/>
    <s v="SLP3"/>
    <x v="1848"/>
    <s v="N"/>
    <s v="N"/>
    <s v="S"/>
    <s v="N"/>
  </r>
  <r>
    <x v="11"/>
    <s v="031030"/>
    <s v="FERIA BIOFACH"/>
    <s v="3 MESES."/>
    <x v="1"/>
    <x v="11"/>
    <x v="64"/>
    <s v="SLP8"/>
    <x v="1849"/>
    <s v="N"/>
    <s v="N"/>
    <s v="S"/>
    <s v="N"/>
  </r>
  <r>
    <x v="11"/>
    <s v="031031"/>
    <s v="FERIA FRUIT LOGISTICA 2023"/>
    <s v="3 MESES."/>
    <x v="1"/>
    <x v="11"/>
    <x v="64"/>
    <s v="SLP9"/>
    <x v="1850"/>
    <s v="N"/>
    <s v="N"/>
    <s v="S"/>
    <s v="N"/>
  </r>
  <r>
    <x v="11"/>
    <s v="031032"/>
    <s v="FERIA VINEXPO NUEVA YORK."/>
    <s v="3 MESES."/>
    <x v="1"/>
    <x v="11"/>
    <x v="64"/>
    <s v="SLPA"/>
    <x v="1851"/>
    <s v="N"/>
    <s v="N"/>
    <s v="S"/>
    <s v="N"/>
  </r>
  <r>
    <x v="11"/>
    <s v="031033"/>
    <s v="CONVOCATORIA FERIA PROWEIN"/>
    <s v="3 MESES."/>
    <x v="1"/>
    <x v="11"/>
    <x v="64"/>
    <s v="SLPB"/>
    <x v="1852"/>
    <s v="N"/>
    <s v="N"/>
    <s v="S"/>
    <s v="N"/>
  </r>
  <r>
    <x v="11"/>
    <s v="031034"/>
    <s v="FERIA FERIA MILLESIME BIO 2022"/>
    <s v="3 MESES."/>
    <x v="1"/>
    <x v="11"/>
    <x v="64"/>
    <s v="SLPC"/>
    <x v="1853"/>
    <s v="N"/>
    <s v="N"/>
    <s v="S"/>
    <s v="N"/>
  </r>
  <r>
    <x v="11"/>
    <s v="031047"/>
    <s v="FERIA ISM"/>
    <s v="3 MESES"/>
    <x v="1"/>
    <x v="11"/>
    <x v="64"/>
    <s v="SLQG"/>
    <x v="1854"/>
    <s v="N"/>
    <s v="N"/>
    <s v="S"/>
    <s v="N"/>
  </r>
  <r>
    <x v="11"/>
    <s v="031048"/>
    <s v="SALON DU FROMAGE ET DES PRODUITS LAITIERS"/>
    <s v="3 MESES."/>
    <x v="1"/>
    <x v="11"/>
    <x v="64"/>
    <s v="SLQH"/>
    <x v="1855"/>
    <s v="N"/>
    <s v="N"/>
    <s v="S"/>
    <s v="N"/>
  </r>
  <r>
    <x v="11"/>
    <s v="031049"/>
    <s v="MISION COMERCIAL DIRECTA A MEXICO."/>
    <s v="3 MESES."/>
    <x v="1"/>
    <x v="11"/>
    <x v="64"/>
    <s v="SLQI"/>
    <x v="1856"/>
    <s v="N"/>
    <s v="N"/>
    <s v="S"/>
    <s v="N"/>
  </r>
  <r>
    <x v="11"/>
    <s v="031055"/>
    <s v="FERIA TAVOLA."/>
    <s v="3 MESES."/>
    <x v="1"/>
    <x v="11"/>
    <x v="64"/>
    <s v="SLQP"/>
    <x v="1857"/>
    <s v="N"/>
    <s v="N"/>
    <s v="S"/>
    <s v="N"/>
  </r>
  <r>
    <x v="11"/>
    <s v="031065"/>
    <s v="FERIA SHANGRI LA CHENGDU"/>
    <s v="3 MESES."/>
    <x v="1"/>
    <x v="11"/>
    <x v="64"/>
    <s v="SLR7"/>
    <x v="1858"/>
    <s v="N"/>
    <s v="N"/>
    <s v="S"/>
    <s v="N"/>
  </r>
  <r>
    <x v="11"/>
    <s v="031070"/>
    <s v="B2B MEETINGS BRASIL"/>
    <s v="3 MESES"/>
    <x v="1"/>
    <x v="11"/>
    <x v="64"/>
    <s v="SLRD"/>
    <x v="1859"/>
    <s v="N"/>
    <s v="N"/>
    <s v="S"/>
    <s v="N"/>
  </r>
  <r>
    <x v="11"/>
    <s v="031078"/>
    <s v="MISION COMERCIAL DIRECTA A SUDAFRICA Y MOZAMBIQUE."/>
    <s v="3 MESES."/>
    <x v="1"/>
    <x v="11"/>
    <x v="64"/>
    <s v="SLRR"/>
    <x v="1860"/>
    <s v="N"/>
    <s v="N"/>
    <s v="S"/>
    <s v="N"/>
  </r>
  <r>
    <x v="11"/>
    <s v="031079"/>
    <s v="PREPARA TU EMPRESA PARA VENDER EN EEUU"/>
    <s v="3 MESES."/>
    <x v="1"/>
    <x v="11"/>
    <x v="64"/>
    <s v="SLRS"/>
    <x v="1861"/>
    <s v="N"/>
    <s v="N"/>
    <s v="S"/>
    <s v="N"/>
  </r>
  <r>
    <x v="11"/>
    <s v="031080"/>
    <s v="MISION COMERCIAL DIRECTA A COLOMBIA"/>
    <s v="3 MESES"/>
    <x v="1"/>
    <x v="11"/>
    <x v="64"/>
    <s v="SLRT"/>
    <x v="1862"/>
    <s v="N"/>
    <s v="N"/>
    <s v="S"/>
    <s v="N"/>
  </r>
  <r>
    <x v="11"/>
    <s v="031081"/>
    <s v="FERIA GULFOOD"/>
    <s v="3 MESES"/>
    <x v="1"/>
    <x v="11"/>
    <x v="64"/>
    <s v="SLRU"/>
    <x v="1863"/>
    <s v="N"/>
    <s v="N"/>
    <s v="S"/>
    <s v="N"/>
  </r>
  <r>
    <x v="11"/>
    <s v="031083"/>
    <s v="FERIA IWA NUREMBERG"/>
    <s v="3 MESES"/>
    <x v="1"/>
    <x v="11"/>
    <x v="64"/>
    <s v="SLRW"/>
    <x v="1864"/>
    <s v="N"/>
    <s v="N"/>
    <s v="S"/>
    <s v="N"/>
  </r>
  <r>
    <x v="11"/>
    <s v="031084"/>
    <s v="MISION COMERCIAL DIRECTA A RUSIA"/>
    <s v="TRES MESES CONTADOS DESDE EL DÍA SIGUIENTE DE LA PUBLICACIÓN DE LA CONVOCATORIA."/>
    <x v="1"/>
    <x v="11"/>
    <x v="64"/>
    <s v="SLRX"/>
    <x v="1865"/>
    <s v="N"/>
    <s v="N"/>
    <s v="S"/>
    <s v="N"/>
  </r>
  <r>
    <x v="11"/>
    <s v="031090"/>
    <s v="FERIA IBERICA EXPO LONDON 2022"/>
    <s v="3 MESES"/>
    <x v="1"/>
    <x v="11"/>
    <x v="64"/>
    <s v="SLSE"/>
    <x v="1866"/>
    <s v="N"/>
    <s v="N"/>
    <s v="S"/>
    <s v="N"/>
  </r>
  <r>
    <x v="11"/>
    <s v="031091"/>
    <s v="ENCUENTRO EMPRESARIAL DE HABITAT B2B EN FRANCIA 2022"/>
    <s v="TRES MESES CONTADOS DESDE EL DÍA SIGUIENTE DE LA PUBLICACIÓN DE LA CONVOCATORIA."/>
    <x v="1"/>
    <x v="11"/>
    <x v="64"/>
    <s v="SLSD"/>
    <x v="1867"/>
    <s v="N"/>
    <s v="N"/>
    <s v="S"/>
    <s v="N"/>
  </r>
  <r>
    <x v="11"/>
    <s v="031092"/>
    <s v="SIAL PARIS"/>
    <s v="3 MESES"/>
    <x v="1"/>
    <x v="11"/>
    <x v="64"/>
    <s v="SLSH"/>
    <x v="1868"/>
    <s v="N"/>
    <s v="N"/>
    <s v="S"/>
    <s v="N"/>
  </r>
  <r>
    <x v="11"/>
    <s v="031093"/>
    <s v="PROMOCION EN PUNTO DE VENTA EN TIENDA ON-LINE IBERICA FOOD"/>
    <s v="3 MESES"/>
    <x v="1"/>
    <x v="11"/>
    <x v="64"/>
    <s v="SLSI"/>
    <x v="1869"/>
    <s v="N"/>
    <s v="N"/>
    <s v="S"/>
    <s v="N"/>
  </r>
  <r>
    <x v="11"/>
    <s v="031104"/>
    <s v="MISION COMERCIAL DIRECTA DE VINO EN COSTA DE MARFIL"/>
    <s v="3 MESES"/>
    <x v="1"/>
    <x v="11"/>
    <x v="64"/>
    <s v="SLTC"/>
    <x v="1870"/>
    <s v="N"/>
    <s v="N"/>
    <s v="S"/>
    <s v="N"/>
  </r>
  <r>
    <x v="11"/>
    <s v="031113"/>
    <s v="V2B WINE MEETING HANGZHOU"/>
    <s v="TRES MESES CONTADOS DESDE EL DÍA SIGUIENTE DE LA PUBLICACIÓN DE LA CONVOCATORIA"/>
    <x v="1"/>
    <x v="11"/>
    <x v="64"/>
    <s v="SLTY"/>
    <x v="1871"/>
    <s v="N"/>
    <s v="N"/>
    <s v="S"/>
    <s v="N"/>
  </r>
  <r>
    <x v="11"/>
    <s v="031114"/>
    <s v="V2B WINE MEETING TIANJIN Y XIAMEN"/>
    <s v="SERÁ DE TRES MESES CONTADOS DESDE EL DÍA SIGUIENTE DE LA PUBLICACIÓN DE LA CONVOCATORIA"/>
    <x v="1"/>
    <x v="11"/>
    <x v="64"/>
    <s v="SLTZ"/>
    <x v="1872"/>
    <s v="N"/>
    <s v="N"/>
    <s v="S"/>
    <s v="N"/>
  </r>
  <r>
    <x v="11"/>
    <s v="031115"/>
    <s v="MISION COMERCIAL DIRECTA NUEVA DELHI"/>
    <s v="3 MESES"/>
    <x v="1"/>
    <x v="11"/>
    <x v="64"/>
    <s v="SLU0"/>
    <x v="1873"/>
    <s v="N"/>
    <s v="N"/>
    <s v="S"/>
    <s v="N"/>
  </r>
  <r>
    <x v="11"/>
    <s v="031116"/>
    <s v="MISION COMERCIAL DIRECTA A EMIRATOS ARABES UNIDOS Y ARABIA SAUDI"/>
    <s v="3 MESES"/>
    <x v="1"/>
    <x v="11"/>
    <x v="64"/>
    <s v="SLU1"/>
    <x v="1874"/>
    <s v="N"/>
    <s v="N"/>
    <s v="S"/>
    <s v="N"/>
  </r>
  <r>
    <x v="11"/>
    <s v="031117"/>
    <s v="VISITA FERIA SUMMER FANCY FOOD SHOW"/>
    <s v="TRES MESES CONTADOS DESDE EL DÍA SIGUIENTE DE LA PUBLICACIÓN DE LA CONVOCATORIA."/>
    <x v="1"/>
    <x v="11"/>
    <x v="64"/>
    <s v="SLU3"/>
    <x v="1875"/>
    <s v="N"/>
    <s v="N"/>
    <s v="S"/>
    <s v="N"/>
  </r>
  <r>
    <x v="11"/>
    <s v="031119"/>
    <s v="PROMOCION EN PUNTO DE VENTA EN LA TIENDA ONLINE DE RIVERA WINE AND GOURMET"/>
    <s v="EL PLAZO MÁXIMO PARA LA RESOLUCIÓN SERÁ DE TRES MESES CONTADOS DESDE EL DÍA SIGUIENTE DE LA PUBLICACIÓN DE LA CONVOCATORIA."/>
    <x v="1"/>
    <x v="11"/>
    <x v="64"/>
    <s v="SLU6"/>
    <x v="1876"/>
    <s v="N"/>
    <s v="N"/>
    <s v="S"/>
    <s v="N"/>
  </r>
  <r>
    <x v="11"/>
    <s v="031126"/>
    <s v="MISION COMERCIAL DIRECTA A ECUADOR"/>
    <s v="EL PLAZO MÁXIMO PARA LA RESOLUCIÓN SERÁ DE TRES MESES CONTADOS DESDE EL DÍA SIGUIENTE DE LA PUBLICACIÓN DE LA CONVOCATORIA."/>
    <x v="1"/>
    <x v="11"/>
    <x v="64"/>
    <s v="SLUG"/>
    <x v="1877"/>
    <s v="N"/>
    <s v="N"/>
    <s v="S"/>
    <s v="N"/>
  </r>
  <r>
    <x v="11"/>
    <s v="031134"/>
    <s v="PROMOCION EN PUNTO DE VENTA EN MERCADOS ELECTRONICOS DE EEUU + PLATAFORMA LOGISTICA  2022"/>
    <s v="SERÁ DE TRES MESES CONTADOS DESDE EL DÍA SIGUIENTE DE LA PUBLICACIÓN DE LA CONVOCATORIA."/>
    <x v="1"/>
    <x v="11"/>
    <x v="64"/>
    <s v="SLUY"/>
    <x v="1878"/>
    <s v="N"/>
    <s v="N"/>
    <s v="S"/>
    <s v="N"/>
  </r>
  <r>
    <x v="11"/>
    <s v="031136"/>
    <s v="ACCEDE AL MERCADO ESTADOS UNIDOS 2022"/>
    <s v="TRES MESES"/>
    <x v="1"/>
    <x v="11"/>
    <x v="64"/>
    <s v="SLV1"/>
    <x v="1879"/>
    <s v="N"/>
    <s v="N"/>
    <s v="S"/>
    <s v="N"/>
  </r>
  <r>
    <x v="11"/>
    <s v="031137"/>
    <s v="VISITA A LA FERIA DEL LIBRO DE FRANFURT 2022"/>
    <s v="TRES MESES"/>
    <x v="1"/>
    <x v="11"/>
    <x v="64"/>
    <s v="SLV2"/>
    <x v="1880"/>
    <s v="N"/>
    <s v="N"/>
    <s v="S"/>
    <s v="N"/>
  </r>
  <r>
    <x v="11"/>
    <s v="031138"/>
    <s v="MISION COMERCIAL DIRECTA A REPUBLICA DOMINICANA Y PUERTO RICO 2022"/>
    <s v="TRES MESES"/>
    <x v="1"/>
    <x v="11"/>
    <x v="64"/>
    <s v="SLV3"/>
    <x v="1881"/>
    <s v="N"/>
    <s v="N"/>
    <s v="S"/>
    <s v="N"/>
  </r>
  <r>
    <x v="11"/>
    <s v="031141"/>
    <s v="FERIA ISM MIDDLE EAST"/>
    <s v="3 MESES"/>
    <x v="1"/>
    <x v="11"/>
    <x v="64"/>
    <s v="SLVA"/>
    <x v="1882"/>
    <s v="N"/>
    <s v="N"/>
    <s v="S"/>
    <s v="N"/>
  </r>
  <r>
    <x v="11"/>
    <s v="031142"/>
    <s v="MISION COMERCIAL DIRECTA A RUMANIA SEGUNDA CONVOCATORIA"/>
    <s v="EL PLAZO MÁXIMO PARA LA RESOLUCIÓN SERÁ DE TRES MESES CONTADOS DESDE EL DÍA SIGUIENTE DE LA PUBLICACIÓN DE LA CONVOCATORIA."/>
    <x v="1"/>
    <x v="11"/>
    <x v="64"/>
    <s v="SLVE"/>
    <x v="1883"/>
    <s v="N"/>
    <s v="N"/>
    <s v="S"/>
    <s v="N"/>
  </r>
  <r>
    <x v="11"/>
    <s v="031148"/>
    <s v="MISION COMERCIAL DIRECTA A PAISES BAJOS"/>
    <s v="EL PLAZO MÁXIMO PARA LA RESOLUCIÓN SERÁ DE TRES MESES CONTADOS DESDE EL DÍA SIGUIENTE DE LA PUBLICACIÓN DE LA CONVOCATORIA."/>
    <x v="1"/>
    <x v="11"/>
    <x v="64"/>
    <s v="SLVO"/>
    <x v="1884"/>
    <s v="N"/>
    <s v="N"/>
    <s v="S"/>
    <s v="N"/>
  </r>
  <r>
    <x v="11"/>
    <s v="031149"/>
    <s v="MISION COMERCIAL DIRECTA A REINO UNIDO"/>
    <s v="EL PLAZO MÁXIMO PARA LA RESOLUCIÓN SERÁ DE TRES MESES CONTADOS DESDE EL DÍA SIGUIENTE DE LA PUBLICACIÓN DE LA CONVOCATORIA."/>
    <x v="1"/>
    <x v="11"/>
    <x v="64"/>
    <s v="SLVP"/>
    <x v="1885"/>
    <s v="N"/>
    <s v="N"/>
    <s v="S"/>
    <s v="N"/>
  </r>
  <r>
    <x v="11"/>
    <s v="031150"/>
    <s v="VISITA A LA FERIA SIAL PARIS 2022"/>
    <s v="EL PLAZO MÁXIMO PARA LA RESOLUCIÓN SERÁ DE TRES MESES CONTADOS DESDE EL DÍA SIGUIENTE DE LA PUBLICACIÓN DE LA CONVOCATORIA."/>
    <x v="1"/>
    <x v="11"/>
    <x v="64"/>
    <s v="SLVQ"/>
    <x v="1886"/>
    <s v="N"/>
    <s v="N"/>
    <s v="S"/>
    <s v="N"/>
  </r>
  <r>
    <x v="11"/>
    <s v="031154"/>
    <s v="B2B WINE ROAD SHOW JAPON Y COREA DEL SUR"/>
    <s v="EL PLAZO MÁXIMO PARA LA RESOLUCIÓN SERÁ DE TRES MESES CONTADOS DESDE EL DÍA SIGUIENTE DE LA PUBLICACIÓN DE LA CONVOCATORIA."/>
    <x v="1"/>
    <x v="11"/>
    <x v="64"/>
    <s v="SLVV"/>
    <x v="1887"/>
    <s v="N"/>
    <s v="N"/>
    <s v="S"/>
    <s v="N"/>
  </r>
  <r>
    <x v="11"/>
    <s v="031155"/>
    <s v="PRESENTACION DE PRODUCTOS EN PERU"/>
    <s v="EL PLAZO MÁXIMO PARA LA RESOLUCIÓN SERÁ DE TRES MESES CONTADOS DESDE EL DÍA SIGUIENTE DE LA PUBLICACIÓN DE LA CONVOCATORIA."/>
    <x v="1"/>
    <x v="11"/>
    <x v="64"/>
    <s v="SLVY"/>
    <x v="1888"/>
    <s v="N"/>
    <s v="N"/>
    <s v="S"/>
    <s v="N"/>
  </r>
  <r>
    <x v="11"/>
    <s v="031156"/>
    <s v="V2B FOOD MEETINGS BRASIL 2022"/>
    <s v="EL PLAZO MÁXIMO PARA LA RESOLUCIÓN SERÁ DE TRES MESES CONTADOS DESDE EL DÍA SIGUIENTE DE LA PUBLICACIÓN DE LA CONVOCATORIA."/>
    <x v="1"/>
    <x v="11"/>
    <x v="64"/>
    <s v="SLVZ"/>
    <x v="1889"/>
    <s v="N"/>
    <s v="N"/>
    <s v="S"/>
    <s v="N"/>
  </r>
  <r>
    <x v="11"/>
    <s v="031157"/>
    <s v="MISION COMERCIAL DIRECTA A JAPON Y COREA DEL SUR"/>
    <s v="3 MESES"/>
    <x v="1"/>
    <x v="11"/>
    <x v="64"/>
    <s v="SLW5"/>
    <x v="1890"/>
    <s v="N"/>
    <s v="N"/>
    <s v="S"/>
    <s v="N"/>
  </r>
  <r>
    <x v="11"/>
    <s v="031159"/>
    <s v="FERIA RESTAURANT AND BAR HONG KONG"/>
    <s v="3 MESES"/>
    <x v="1"/>
    <x v="11"/>
    <x v="64"/>
    <s v="SLW6"/>
    <x v="1891"/>
    <s v="N"/>
    <s v="N"/>
    <s v="S"/>
    <s v="N"/>
  </r>
  <r>
    <x v="11"/>
    <s v="031162"/>
    <s v="B2B WINE ROADSHOW FILIPINAS Y VIETNAM"/>
    <s v="3 MESES"/>
    <x v="1"/>
    <x v="11"/>
    <x v="64"/>
    <s v="SLWA"/>
    <x v="1892"/>
    <s v="N"/>
    <s v="N"/>
    <s v="S"/>
    <s v="N"/>
  </r>
  <r>
    <x v="11"/>
    <s v="031163"/>
    <s v="MISION COMERCIAL DIRECTA A CAMERUN Y GABON 2022"/>
    <s v="EL PLAZO MÁXIMO PARA LA RESOLUCIÓN SERÁ DE TRES MESES CONTADOS DESDE EL DÍA SIGUIENTE DE LA PUBLICACIÓN DE LA CONVOCATORIA."/>
    <x v="1"/>
    <x v="11"/>
    <x v="64"/>
    <s v="SLWC"/>
    <x v="1893"/>
    <s v="N"/>
    <s v="N"/>
    <s v="S"/>
    <s v="N"/>
  </r>
  <r>
    <x v="11"/>
    <s v="031164"/>
    <s v="B2B WINE ROADSHOW INDONESIA Y TAIWAN"/>
    <s v="3 MESES"/>
    <x v="1"/>
    <x v="11"/>
    <x v="64"/>
    <s v="SLWF"/>
    <x v="1894"/>
    <s v="N"/>
    <s v="N"/>
    <s v="S"/>
    <s v="N"/>
  </r>
  <r>
    <x v="11"/>
    <s v="031169"/>
    <s v="V2B WINE MEETING WUHAN 2022"/>
    <s v="3 MESES"/>
    <x v="1"/>
    <x v="11"/>
    <x v="64"/>
    <s v="SLWK"/>
    <x v="1895"/>
    <s v="N"/>
    <s v="N"/>
    <s v="S"/>
    <s v="N"/>
  </r>
  <r>
    <x v="11"/>
    <s v="031171"/>
    <s v="ACCESS TO MARKET WINE USA 2022"/>
    <s v="3 MESES"/>
    <x v="1"/>
    <x v="11"/>
    <x v="64"/>
    <s v="SLWM"/>
    <x v="1896"/>
    <s v="N"/>
    <s v="N"/>
    <s v="S"/>
    <s v="N"/>
  </r>
  <r>
    <x v="11"/>
    <s v="031174"/>
    <s v="EXPOSICION DE PRODUCTOS EN MEXICO"/>
    <s v="TRES MESES"/>
    <x v="1"/>
    <x v="11"/>
    <x v="64"/>
    <s v="SLWU"/>
    <x v="1897"/>
    <s v="N"/>
    <s v="N"/>
    <s v="S"/>
    <s v="N"/>
  </r>
  <r>
    <x v="11"/>
    <s v="031179"/>
    <s v="PROMOCION PUNTO DE VENTA VINO:GRUPO CORNERS DELI CHINA"/>
    <s v="3 MESES"/>
    <x v="1"/>
    <x v="11"/>
    <x v="64"/>
    <s v="SLX2"/>
    <x v="1898"/>
    <s v="N"/>
    <s v="N"/>
    <s v="S"/>
    <s v="N"/>
  </r>
  <r>
    <x v="11"/>
    <s v="031188"/>
    <s v="FERIA FOOD EXPO GREECE"/>
    <s v="3 MESES."/>
    <x v="1"/>
    <x v="11"/>
    <x v="64"/>
    <s v="SLXJ"/>
    <x v="1899"/>
    <s v="N"/>
    <s v="N"/>
    <s v="S"/>
    <s v="N"/>
  </r>
  <r>
    <x v="11"/>
    <s v="031195"/>
    <s v="B2B WINE MEETING SUIZA"/>
    <s v="3 MESES"/>
    <x v="1"/>
    <x v="11"/>
    <x v="64"/>
    <s v="SLY0"/>
    <x v="1900"/>
    <s v="N"/>
    <s v="N"/>
    <s v="S"/>
    <s v="N"/>
  </r>
  <r>
    <x v="11"/>
    <s v="031202"/>
    <s v="PRESENTACION DE PRODUCTO VINO SINGAPUR Y HONG KONG"/>
    <s v="3 MESES"/>
    <x v="1"/>
    <x v="11"/>
    <x v="64"/>
    <s v="SLYQ"/>
    <x v="1901"/>
    <s v="N"/>
    <s v="N"/>
    <s v="S"/>
    <s v="N"/>
  </r>
  <r>
    <x v="11"/>
    <s v="031203"/>
    <s v="IMPULSA TU EMPRESA EN EEUU"/>
    <s v="3 MESES"/>
    <x v="1"/>
    <x v="11"/>
    <x v="64"/>
    <s v="SLYU"/>
    <x v="1902"/>
    <s v="N"/>
    <s v="N"/>
    <s v="S"/>
    <s v="N"/>
  </r>
  <r>
    <x v="11"/>
    <s v="036117"/>
    <s v="FERIA ANUGA, DIRIGIDA A EMPRESAS EXPOSITORAS."/>
    <s v="3 MESES."/>
    <x v="1"/>
    <x v="11"/>
    <x v="64"/>
    <s v="SLN3"/>
    <x v="1903"/>
    <s v="N"/>
    <s v="N"/>
    <s v="S"/>
    <s v="N"/>
  </r>
  <r>
    <x v="11"/>
    <s v="036118"/>
    <s v="VISITA FERIA ANUGA, DIRIGIDA A EMPRESAS VISITANTES DE LA FERIA (NO EXPOSITORAS)"/>
    <s v="3 MESES."/>
    <x v="1"/>
    <x v="11"/>
    <x v="64"/>
    <s v="SLN4"/>
    <x v="1904"/>
    <s v="N"/>
    <s v="N"/>
    <s v="S"/>
    <s v="N"/>
  </r>
  <r>
    <x v="11"/>
    <s v="036153"/>
    <s v="VISITA FERIA MICAM I SHOE EVENT MILAN (NO EXPOSITORES)"/>
    <s v="3 MESES."/>
    <x v="1"/>
    <x v="11"/>
    <x v="64"/>
    <s v="SLRV"/>
    <x v="1905"/>
    <s v="N"/>
    <s v="N"/>
    <s v="S"/>
    <s v="N"/>
  </r>
  <r>
    <x v="11"/>
    <s v="036154"/>
    <s v="MICAM II SHOE EVENT MILAN , (DIRIGIDA A EMPRESAS EXPOSITORAS)."/>
    <s v="3 MESES."/>
    <x v="1"/>
    <x v="11"/>
    <x v="64"/>
    <s v="SLSA"/>
    <x v="1906"/>
    <s v="N"/>
    <s v="N"/>
    <s v="S"/>
    <s v="N"/>
  </r>
  <r>
    <x v="11"/>
    <s v="110041"/>
    <s v="PROCESO DE SELECCION PARA  LA CONTRATACION EN REGIMEN LABORAL DE UN/A TECNICO/A DE COMERCIO EXTERIOR EN EL IPEX."/>
    <s v=""/>
    <x v="2"/>
    <x v="11"/>
    <x v="64"/>
    <s v="SLC2"/>
    <x v="1907"/>
    <s v="S"/>
    <s v="N"/>
    <s v="S"/>
    <s v="N"/>
  </r>
  <r>
    <x v="11"/>
    <s v="110043"/>
    <s v="PROCESO DE SELECCION PARA  LA CONTRATACION EN REGIMEN LABORAL DE E UN/A GESTOR/A DE PROYECTOS PARA EL DEPARTAMENTO DE CAPTACION DE INVERSION EXTRANJERA DEL IPEX."/>
    <s v=""/>
    <x v="2"/>
    <x v="11"/>
    <x v="64"/>
    <s v="SLFL"/>
    <x v="1908"/>
    <s v="N"/>
    <s v="N"/>
    <s v="S"/>
    <s v="N"/>
  </r>
  <r>
    <x v="12"/>
    <s v="020238"/>
    <s v="EJERCICIO DE LOS DERECHOS DE ACCESO, RECTIFICACION, OPOSICION, LIMITACION, PORTABILIDAD, SUPRESION Y DECISIONES AUTOMATIZADAS A LOS TRATAMIENTOS DEL SESCAM (EXCLUIDOS LOS DATOS SANITARIOS)"/>
    <s v="1 MES"/>
    <x v="1"/>
    <x v="12"/>
    <x v="65"/>
    <s v="SKLN"/>
    <x v="1909"/>
    <s v="S"/>
    <s v="N"/>
    <s v="S"/>
    <s v="N"/>
  </r>
  <r>
    <x v="12"/>
    <s v="030357"/>
    <s v="AYUDAS POR DESPLAZAMIENTOS Y MANUTENCION."/>
    <s v="3 MESES"/>
    <x v="0"/>
    <x v="12"/>
    <x v="65"/>
    <s v="SISW"/>
    <x v="1910"/>
    <s v="S"/>
    <s v="N"/>
    <s v="S"/>
    <s v="N"/>
  </r>
  <r>
    <x v="12"/>
    <s v="030362"/>
    <s v="CURSOS DE FORMACION CONTINUADA"/>
    <s v="DESDE FECHA DE SOLICITUD DE MATRICULACIÓN HASTA LA FECHA DE  INICIO DEL CURSO"/>
    <x v="1"/>
    <x v="12"/>
    <x v="66"/>
    <s v="SJOJ"/>
    <x v="1911"/>
    <s v="N"/>
    <s v="N"/>
    <s v="S"/>
    <s v="N"/>
  </r>
  <r>
    <x v="12"/>
    <s v="040230"/>
    <s v="CORRECCIÓN DE DATOS RELATIVOS APORTACIÓN FARMACÉUTICA"/>
    <s v=""/>
    <x v="2"/>
    <x v="12"/>
    <x v="67"/>
    <s v="SJTD"/>
    <x v="1912"/>
    <s v="S"/>
    <s v="N"/>
    <s v="S"/>
    <s v="N"/>
  </r>
  <r>
    <x v="12"/>
    <s v="040268"/>
    <s v="EMISION DE INFORMES Y CERTIFICADOS DEL SERVICIO DE SALUD DE CASTILLA-LA MANCHA"/>
    <s v="3 MESES"/>
    <x v="1"/>
    <x v="12"/>
    <x v="68"/>
    <s v="SK91"/>
    <x v="1913"/>
    <s v="S"/>
    <s v="N"/>
    <s v="S"/>
    <s v="N"/>
  </r>
  <r>
    <x v="12"/>
    <s v="040311"/>
    <s v="ACREDITACION DE TUTORES DE FORMACION SANITARIA ESPECIALIZADA DE CASTILLA-LA MANCHA"/>
    <s v="3 MESES"/>
    <x v="0"/>
    <x v="12"/>
    <x v="65"/>
    <s v="SKPJ"/>
    <x v="1914"/>
    <s v="N"/>
    <s v="N"/>
    <s v="S"/>
    <s v="N"/>
  </r>
  <r>
    <x v="12"/>
    <s v="040320"/>
    <s v="INFORME DE USO DE UN DESFIBRILADOR EXTERNO AUTOMATIZADO (DEA) FUERA DEL AMBITO SANITARIO"/>
    <s v=""/>
    <x v="2"/>
    <x v="12"/>
    <x v="68"/>
    <s v="BKU7"/>
    <x v="1915"/>
    <s v="S"/>
    <s v="N"/>
    <s v="S"/>
    <s v="N"/>
  </r>
  <r>
    <x v="12"/>
    <s v="095353"/>
    <s v="SUGERENCIAS,AGRADECIMIENTOS E INICIATIVAS RELATIVAS AL SESCAM"/>
    <s v="30 DÍAS"/>
    <x v="1"/>
    <x v="12"/>
    <x v="69"/>
    <s v="SJGR"/>
    <x v="1916"/>
    <s v="S"/>
    <s v="N"/>
    <s v="S"/>
    <s v="N"/>
  </r>
  <r>
    <x v="12"/>
    <s v="095354"/>
    <s v="RECLAMACIONES Y QUEJAS RELATIVAS AL SESCAM"/>
    <s v="30 DÍAS"/>
    <x v="1"/>
    <x v="12"/>
    <x v="69"/>
    <s v="SJGS"/>
    <x v="1917"/>
    <s v="S"/>
    <s v="S"/>
    <s v="S"/>
    <s v="N"/>
  </r>
  <r>
    <x v="12"/>
    <s v="110032"/>
    <s v="ESTABILIZACION DE EMPLEO DEL PERSONAL ESTATUTARIO DEL SERVICIO DE SALUD DE CASTILLA-LA MANCHA"/>
    <s v="3 MESES"/>
    <x v="1"/>
    <x v="12"/>
    <x v="66"/>
    <s v="SKL6"/>
    <x v="1918"/>
    <s v="S"/>
    <s v="N"/>
    <s v="S"/>
    <s v="N"/>
  </r>
  <r>
    <x v="12"/>
    <s v="110040"/>
    <s v="OFERTA Y ADJUDICACION DE DESTINOS DERIVADOS DE LOS PROCESOS SELECTIVOS DEL PERSONAL ESTATUTARIO DEL SERVICIO DE SALUD DE CASTILLA-LA MANCHA."/>
    <s v="3 MESES"/>
    <x v="1"/>
    <x v="12"/>
    <x v="66"/>
    <s v="SL6J"/>
    <x v="1919"/>
    <s v="S"/>
    <s v="N"/>
    <s v="S"/>
    <s v="N"/>
  </r>
  <r>
    <x v="12"/>
    <s v="110054"/>
    <s v="SOLICITUD DE BAJA DE CATEGORIA DE BOLSA DE SELECCION DE PERSONAL TEMPORAL DEL SESCAM."/>
    <s v="6 MESES."/>
    <x v="1"/>
    <x v="12"/>
    <x v="68"/>
    <s v="SLKA"/>
    <x v="1920"/>
    <s v="S"/>
    <s v="N"/>
    <s v="S"/>
    <s v="N"/>
  </r>
  <r>
    <x v="12"/>
    <s v="110105"/>
    <s v="PROVISION MEDIANTE NOMBRAMIENTO ESTATUTARIO TEMPORAL DE TRES PLAZAS DE MEDICO/A PEAC (PERSONAL ESTATUTARIO DE ATENCION CONTINUADA) EN LA GERENCIA DE ATENCION INTEGRADA DE VALDEPEÑAS"/>
    <s v="3 MESES"/>
    <x v="1"/>
    <x v="12"/>
    <x v="68"/>
    <s v="SLYW"/>
    <x v="1921"/>
    <s v="S"/>
    <s v="N"/>
    <s v="S"/>
    <s v="N"/>
  </r>
  <r>
    <x v="12"/>
    <s v="110106"/>
    <s v="PROVISION MEDIANTE NOMBRAMIENTO ESTATUTARIO TEMPORAL, INTERINIDAD, DE UNA PLAZA DE MEDICO FACULTATIVO ESPECIALISTA DE AREA HEMATOLOGIA - HEMOTERAPIA, EN LA GAI TALAVERA DE LA REINA. SESCAM."/>
    <s v="3 MESES"/>
    <x v="1"/>
    <x v="12"/>
    <x v="70"/>
    <s v="SLZ6"/>
    <x v="1922"/>
    <s v="S"/>
    <s v="N"/>
    <s v="S"/>
    <s v="N"/>
  </r>
  <r>
    <x v="12"/>
    <s v="110108"/>
    <s v="PROVISION MEDIANTE NOMBRAMIENTO ESTATUTARIO TEMPORAL, INTERINIDAD, DE UNA PLAZA DE MEDICO FACULTATIVO ESPECIALISTA DE AREA ANALISIS CLINICOS, EN LA GAI TALAVERA DE LA REINA. SESCAM."/>
    <s v="EL PLAZO MÁXIMO PARA LA RESOLUCIÓN DE LA CONVOCATORIA SERÁ DE 3 MESES,  CONTADOS A PARTIR DEL DÍA SIGUIENTE A LA PUBLICACIÓN DE LA CONVOCATORIA."/>
    <x v="1"/>
    <x v="12"/>
    <x v="70"/>
    <s v="SLZ8"/>
    <x v="1923"/>
    <s v="S"/>
    <s v="N"/>
    <s v="S"/>
    <s v="N"/>
  </r>
  <r>
    <x v="12"/>
    <s v="115355"/>
    <s v="PROCESOS DE SELECCION DEL PERSONAL ESTATUTARIO FIJO DE LAS INSTITUCIONES SANITARIAS DEL SERVICIO DE SALUD DE CASTILLA-LA MANCHA."/>
    <s v=""/>
    <x v="1"/>
    <x v="12"/>
    <x v="66"/>
    <s v="SJC2"/>
    <x v="1924"/>
    <s v="S"/>
    <s v="N"/>
    <s v="S"/>
    <s v="N"/>
  </r>
  <r>
    <x v="12"/>
    <s v="115356"/>
    <s v="SUBSANACION DE SOLICITUDES PRESENTADAS PARA PARTICIPAR EN LOS PROCESOS SELECTIVOS DE PERSONAL ESTATUTARIO FIJO DEL SESCAM"/>
    <s v=""/>
    <x v="1"/>
    <x v="12"/>
    <x v="66"/>
    <s v="SKWA"/>
    <x v="1925"/>
    <s v="S"/>
    <s v="N"/>
    <s v="S"/>
    <s v="N"/>
  </r>
  <r>
    <x v="12"/>
    <s v="115357"/>
    <s v="SOLICITUD DE EXCLUSION TEMPORAL VOLUNTARIA"/>
    <s v="3 MESES"/>
    <x v="1"/>
    <x v="12"/>
    <x v="66"/>
    <s v="SKR1"/>
    <x v="1926"/>
    <s v="S"/>
    <s v="N"/>
    <s v="S"/>
    <s v="N"/>
  </r>
  <r>
    <x v="12"/>
    <s v="115358"/>
    <s v="SOLICITUD DE REINGRESO TRAS EXCLUSION TEMPORAL EN BOLSA DE TRABAJO"/>
    <s v="3 MESES"/>
    <x v="1"/>
    <x v="12"/>
    <x v="66"/>
    <s v="SKR3"/>
    <x v="1927"/>
    <s v="S"/>
    <s v="N"/>
    <s v="S"/>
    <s v="N"/>
  </r>
  <r>
    <x v="12"/>
    <s v="115359"/>
    <s v="SOLICITUD DE SUSPENSION TEMPORAL"/>
    <s v="3 MESES"/>
    <x v="1"/>
    <x v="12"/>
    <x v="66"/>
    <s v="SKR2"/>
    <x v="1928"/>
    <s v="N"/>
    <s v="N"/>
    <s v="S"/>
    <s v="N"/>
  </r>
  <r>
    <x v="12"/>
    <s v="115360"/>
    <s v="SOLICITUD DE REINGRESO TRAS SUSPENSION TEMPORAL / NO DISPONIBILIDAD"/>
    <s v="3 MESES"/>
    <x v="1"/>
    <x v="12"/>
    <x v="66"/>
    <s v="SKR4"/>
    <x v="1929"/>
    <s v="S"/>
    <s v="N"/>
    <s v="S"/>
    <s v="N"/>
  </r>
  <r>
    <x v="12"/>
    <s v="115361"/>
    <s v="SOLICITUD DE NO DISPONIBILIDAD"/>
    <s v="3 MESES"/>
    <x v="1"/>
    <x v="12"/>
    <x v="68"/>
    <s v="SKXK"/>
    <x v="1930"/>
    <s v="N"/>
    <s v="N"/>
    <s v="S"/>
    <s v="N"/>
  </r>
  <r>
    <x v="12"/>
    <s v="115362"/>
    <s v="SOLICITUD DE RECLAMACION Y/O SUBSANACION A LOS LISTADOS PROVISIONALES DE LA BOLSA DE TRABAJO DEL SESCAM"/>
    <s v="3 MESES"/>
    <x v="1"/>
    <x v="12"/>
    <x v="66"/>
    <s v="SL00"/>
    <x v="1931"/>
    <s v="N"/>
    <s v="N"/>
    <s v="S"/>
    <s v="N"/>
  </r>
  <r>
    <x v="12"/>
    <s v="115363"/>
    <s v="PROCESOS DE SELECCION DE PERSONAL TEMPORAL DE IISS DEL SESCAM (BOLSAS DE TRABAJO)"/>
    <s v="3 MESES"/>
    <x v="1"/>
    <x v="12"/>
    <x v="66"/>
    <s v="RJC1, SJC1"/>
    <x v="1932"/>
    <s v="S"/>
    <s v="N"/>
    <s v="S"/>
    <s v="N"/>
  </r>
  <r>
    <x v="12"/>
    <s v="116189"/>
    <s v="SOLICITUD PROVISION DE JEFATURA DE CARACTER ASISTENCIAL DEL SESCAM. JEFATURA DE SERVICIO DE PEDIATRIA. GAI DE ALCAZAR DE SAN JUAN"/>
    <s v="3 MESES"/>
    <x v="1"/>
    <x v="12"/>
    <x v="71"/>
    <s v="SLX8"/>
    <x v="1933"/>
    <s v="S"/>
    <s v="N"/>
    <s v="S"/>
    <s v="N"/>
  </r>
  <r>
    <x v="12"/>
    <s v="116201"/>
    <s v="PROVISION DE JEFATURA DE CARACTER ASISTENCIAL DEL SERVICIO DE SALUD DE CASILLA-LA MANCHA. JEFATURA DE SECCION DE NEUROLOGIA. GERENCIA DE ATENCION INTEGRADA ALBACETE."/>
    <s v="3 MESES"/>
    <x v="1"/>
    <x v="12"/>
    <x v="72"/>
    <s v="SLY8"/>
    <x v="1934"/>
    <s v="N"/>
    <s v="N"/>
    <s v="S"/>
    <s v="N"/>
  </r>
  <r>
    <x v="12"/>
    <s v="120019"/>
    <s v="SEGUNDA OPINION MEDICA"/>
    <s v="15 DÍAS"/>
    <x v="0"/>
    <x v="12"/>
    <x v="67"/>
    <s v="SIU1"/>
    <x v="1935"/>
    <s v="S"/>
    <s v="N"/>
    <s v="S"/>
    <s v="N"/>
  </r>
  <r>
    <x v="12"/>
    <s v="120022"/>
    <s v="CITA PREVIA CON SU MEDICO DE CABECERA, PEDIATRA O ENFERMERO"/>
    <s v="0"/>
    <x v="2"/>
    <x v="12"/>
    <x v="68"/>
    <s v="SJBZ"/>
    <x v="1936"/>
    <s v="N"/>
    <s v="N"/>
    <s v="N"/>
    <s v="N"/>
  </r>
  <r>
    <x v="12"/>
    <s v="120023"/>
    <s v="TRAMITACIÓN DE LA TARJETA SANITARIA"/>
    <s v="2 MESES"/>
    <x v="0"/>
    <x v="12"/>
    <x v="68"/>
    <s v="SJI1"/>
    <x v="1937"/>
    <s v="N"/>
    <s v="N"/>
    <s v="N"/>
    <s v="N"/>
  </r>
  <r>
    <x v="12"/>
    <s v="120044"/>
    <s v="CONVENIO ESPECIAL DE PRESTACION DE ASISTENCIA SANITARIA"/>
    <s v="30 DÍAS."/>
    <x v="0"/>
    <x v="12"/>
    <x v="73"/>
    <s v="SK34"/>
    <x v="1938"/>
    <s v="S"/>
    <s v="N"/>
    <s v="S"/>
    <s v="N"/>
  </r>
  <r>
    <x v="12"/>
    <s v="120047"/>
    <s v="LIBRE ELECCION  EN AMBITO DE LA ATENCION PRIMARIA EN LAS PRESTACIONES DEL SERVICIO DE SALUD DE CASTILLA-LA MANCHA"/>
    <s v="3 MESES"/>
    <x v="0"/>
    <x v="12"/>
    <x v="68"/>
    <s v="SKCP"/>
    <x v="1939"/>
    <s v="S"/>
    <s v="N"/>
    <s v="S"/>
    <s v="N"/>
  </r>
  <r>
    <x v="12"/>
    <s v="120048"/>
    <s v="LIBRE ELECCION EN EL AMBITO DE LA ATENCION ESPECIALIZADA EN LAS PRESTACIONES DEL SERVICIO DE SALUD DE CASTILLA LA MANCHA"/>
    <s v="3 MESES"/>
    <x v="0"/>
    <x v="12"/>
    <x v="68"/>
    <s v="SKCU"/>
    <x v="1940"/>
    <s v="S"/>
    <s v="N"/>
    <s v="S"/>
    <s v="N"/>
  </r>
  <r>
    <x v="12"/>
    <s v="120052"/>
    <s v="AUTORIZACION PREVIA A LA ASISTENCIA SANITARIA TRANSFRONTERIZA."/>
    <s v="45 DÍAS A PARTIR DE LA FECHA DE RECEPCIÓN DE LA SOLICITUD."/>
    <x v="0"/>
    <x v="12"/>
    <x v="67"/>
    <s v="SKZS"/>
    <x v="1941"/>
    <s v="S"/>
    <s v="N"/>
    <s v="S"/>
    <s v="N"/>
  </r>
  <r>
    <x v="12"/>
    <s v="120055"/>
    <s v="PROCEDIMIENTO DE ADHESION Y DE BAJA DE ESTABLECIMIENTOS DISPENSADORES DE MATERIAL ORTOPROTESICO EN CASTILLA-LA MANCHA."/>
    <s v="3 MESES"/>
    <x v="1"/>
    <x v="12"/>
    <x v="67"/>
    <s v="SL7I"/>
    <x v="1942"/>
    <s v="S"/>
    <s v="N"/>
    <s v="S"/>
    <s v="N"/>
  </r>
  <r>
    <x v="12"/>
    <s v="125689"/>
    <s v="COMUNICACION DE MODIFICACION DE REQUISITOS PARA LA INCLUSION EN EL SISTEMA SANITARIO PUBLICO DE CASTILLA-LA MANCHA"/>
    <s v="2 MESES"/>
    <x v="0"/>
    <x v="12"/>
    <x v="65"/>
    <s v="MKKO"/>
    <x v="1943"/>
    <s v="S"/>
    <s v="N"/>
    <s v="S"/>
    <s v="N"/>
  </r>
  <r>
    <x v="12"/>
    <s v="125690"/>
    <s v="SOLICITUD DE TARJETA PARA LA ATENCION SANITARIA EN EL SESCAM"/>
    <s v="2 MESES"/>
    <x v="0"/>
    <x v="12"/>
    <x v="65"/>
    <s v="SKKN"/>
    <x v="1944"/>
    <s v="S"/>
    <s v="N"/>
    <s v="S"/>
    <s v="N"/>
  </r>
  <r>
    <x v="12"/>
    <s v="125918"/>
    <s v="REINTEGRO DE GASTOS POR ASISTENCIA SANITARIA TRANSFRONTERIZA"/>
    <s v="3 MESES"/>
    <x v="1"/>
    <x v="12"/>
    <x v="67"/>
    <s v="SKZL"/>
    <x v="1945"/>
    <s v="S"/>
    <s v="N"/>
    <s v="S"/>
    <s v="N"/>
  </r>
  <r>
    <x v="12"/>
    <s v="125919"/>
    <s v="REINTEGRO DE GASTOS POR ASISTENCIA SANITARIA URGENTE, INMEDIATA Y DE CARACTER VITAL."/>
    <s v="3 MESES"/>
    <x v="1"/>
    <x v="12"/>
    <x v="67"/>
    <s v="SISY"/>
    <x v="1946"/>
    <s v="S"/>
    <s v="N"/>
    <s v="S"/>
    <s v="N"/>
  </r>
  <r>
    <x v="12"/>
    <s v="125920"/>
    <s v="REINTEGRO DE GASTOS POR PRESTACION ORTOPROTESICA"/>
    <s v="3 MESES"/>
    <x v="1"/>
    <x v="12"/>
    <x v="67"/>
    <s v="SISV"/>
    <x v="1947"/>
    <s v="S"/>
    <s v="N"/>
    <s v="S"/>
    <s v="N"/>
  </r>
  <r>
    <x v="12"/>
    <s v="125921"/>
    <s v="REINTEGRO DE GASTOS POR SALUD BUCODENTAL"/>
    <s v="3 MESES"/>
    <x v="1"/>
    <x v="12"/>
    <x v="67"/>
    <s v="SJC3"/>
    <x v="1948"/>
    <s v="S"/>
    <s v="N"/>
    <s v="S"/>
    <s v="N"/>
  </r>
  <r>
    <x v="12"/>
    <s v="125922"/>
    <s v="REINTEGRO DE GASTOS POR ADQUISICION DE MEDICAMENTOS Y EFECTOS Y ACCESORIOS PARA PACIENTES MENORES DE EDAD AFECTADOS POR DISCAPACIDAD IGUAL O SUPERIOR AL 33%."/>
    <s v="3 MESES"/>
    <x v="1"/>
    <x v="12"/>
    <x v="68"/>
    <s v="SL2R"/>
    <x v="1949"/>
    <s v="S"/>
    <s v="N"/>
    <s v="S"/>
    <s v="N"/>
  </r>
  <r>
    <x v="12"/>
    <s v="125923"/>
    <s v="PROCEDIMIENTO DE REINTEGRO DE GASTOS POR ATENCION PODOLOGICA DEL PIE DIABETICO (QUIROPODIA BASICA)"/>
    <s v="3 MESES"/>
    <x v="1"/>
    <x v="12"/>
    <x v="68"/>
    <s v="SL88"/>
    <x v="1950"/>
    <s v="S"/>
    <s v="N"/>
    <s v="S"/>
    <s v="N"/>
  </r>
  <r>
    <x v="12"/>
    <s v="170009"/>
    <s v="REINTEGRO DE GASTOS POR APORTACIONES EN LA PRESTACION FARMACEUTICA AMBULATORIA"/>
    <s v="6 MESES"/>
    <x v="1"/>
    <x v="12"/>
    <x v="67"/>
    <s v="SJCY"/>
    <x v="1951"/>
    <s v="S"/>
    <s v="N"/>
    <s v="S"/>
    <s v="N"/>
  </r>
  <r>
    <x v="12"/>
    <s v="180043"/>
    <s v="EXENCION DE JORNADA COMPLEMENTARIA EN HORARIO DE ATENCION CONTINUADA POR GUARDIAS DEL PERSONAL DE IISS SESCAM"/>
    <s v="3 meses"/>
    <x v="1"/>
    <x v="12"/>
    <x v="68"/>
    <s v="SJPE"/>
    <x v="1952"/>
    <s v="N"/>
    <s v="N"/>
    <s v="N"/>
    <s v="N"/>
  </r>
  <r>
    <x v="12"/>
    <s v="180044"/>
    <s v="DECLARACION DE SITUACIONES ADMINISTRATIVAS PERSONAL IISS SESCAM"/>
    <s v="3 meses"/>
    <x v="1"/>
    <x v="12"/>
    <x v="68"/>
    <s v="SJPF"/>
    <x v="1953"/>
    <s v="N"/>
    <s v="N"/>
    <s v="N"/>
    <s v="N"/>
  </r>
  <r>
    <x v="12"/>
    <s v="180046"/>
    <s v="RECONOCIMIENTO DE SERVICIOS PREVIOS TRIENIOS DEL PERSONAL DE IISS SESCAM"/>
    <s v="3 meses"/>
    <x v="1"/>
    <x v="12"/>
    <x v="68"/>
    <s v="SJPG"/>
    <x v="1954"/>
    <s v="N"/>
    <s v="N"/>
    <s v="N"/>
    <s v="N"/>
  </r>
  <r>
    <x v="12"/>
    <s v="180047"/>
    <s v="PROCEDIMIENTO DE TRAMITACIÓN Y CONCESIÓN DE ANTICIPOS DE RETRIBUCIONES DEL PERSONAL ESTATUTARIO DEL SESCAM"/>
    <s v="1 mes"/>
    <x v="1"/>
    <x v="12"/>
    <x v="68"/>
    <s v="SJPH"/>
    <x v="1955"/>
    <s v="S"/>
    <s v="N"/>
    <s v="N"/>
    <s v="N"/>
  </r>
  <r>
    <x v="12"/>
    <s v="180048"/>
    <s v="AUTORIZACION DE COMPATIBILIDAD PARA SEGUNDA ACTIVIDAD PUBLICA  DEL PERSONAL DE IISS SESCAM"/>
    <s v="3 MESES"/>
    <x v="1"/>
    <x v="12"/>
    <x v="68"/>
    <s v="SJPI"/>
    <x v="1956"/>
    <s v="S"/>
    <s v="N"/>
    <s v="S"/>
    <s v="N"/>
  </r>
  <r>
    <x v="12"/>
    <s v="180049"/>
    <s v="AUTORIZACION DE COMPATIBILIDAD PARA SEGUNDA ACTIVIDAD PRIVADA DEL PERSONAL DEL IISS SESCAM"/>
    <s v="2 MESES"/>
    <x v="1"/>
    <x v="12"/>
    <x v="68"/>
    <s v="SJPK"/>
    <x v="1957"/>
    <s v="S"/>
    <s v="N"/>
    <s v="S"/>
    <s v="N"/>
  </r>
  <r>
    <x v="12"/>
    <s v="180050"/>
    <s v="REINGRESO AL SERVICIO ACTIVO SESCAM"/>
    <s v="3 MESES"/>
    <x v="1"/>
    <x v="12"/>
    <x v="68"/>
    <s v="SJPL"/>
    <x v="1958"/>
    <s v="S"/>
    <s v="N"/>
    <s v="S"/>
    <s v="N"/>
  </r>
  <r>
    <x v="12"/>
    <s v="180060"/>
    <s v="AUTORIZACION DE COMISIONES DE SERVICIOS Y SUS PRORROGAS DEL PERSONAL DE  IISS SESCAM"/>
    <s v="3 meses"/>
    <x v="1"/>
    <x v="12"/>
    <x v="68"/>
    <s v="SJOQ"/>
    <x v="1959"/>
    <s v="N"/>
    <s v="N"/>
    <s v="N"/>
    <s v="N"/>
  </r>
  <r>
    <x v="12"/>
    <s v="180087"/>
    <s v="PROCESOS DE PROVISION DE JEFATURAS ASISTENCIALES DE IISS DEL SESCAM"/>
    <s v="3 M., EXCEPTO  AMPLIACIÓN A 4 M.  Y MEDIO, CASOS PUBLICADOS EN  DOCM 28/02/2019, 22/03/2019, 29/03/2019 Y 17/04/2019"/>
    <x v="1"/>
    <x v="12"/>
    <x v="68"/>
    <s v="SKDO"/>
    <x v="1960"/>
    <s v="N"/>
    <s v="N"/>
    <s v="S"/>
    <s v="N"/>
  </r>
  <r>
    <x v="12"/>
    <s v="180097"/>
    <s v="PROVISION DE PUESTOS DE TRABAJO POR EL PROCEDIMIENTO DE LIBRE DESIGNACION L.D. SESCAM F2/2022 (PERSONAL FUNCIONARIO)"/>
    <s v="2 MESES"/>
    <x v="1"/>
    <x v="12"/>
    <x v="73"/>
    <s v="SKCZ"/>
    <x v="1961"/>
    <s v="N"/>
    <s v="N"/>
    <s v="S"/>
    <s v="N"/>
  </r>
  <r>
    <x v="12"/>
    <s v="180107"/>
    <s v="PROVISION DE  PUESTOS DE PERSONAL DIRECTIVO DE LAS INSTITUCIONES SANITARIAS DEL SERVICIO DE SALUD DE CASTILLA-LA MANCHA. 3/2022."/>
    <s v="1 MES."/>
    <x v="1"/>
    <x v="12"/>
    <x v="65"/>
    <s v="SKEL"/>
    <x v="1962"/>
    <s v="S"/>
    <s v="N"/>
    <s v="S"/>
    <s v="N"/>
  </r>
  <r>
    <x v="12"/>
    <s v="180125"/>
    <s v="TELETRABAJO DEL PERSONAL DE CENTROS E INSTITUCIONES SANITARIAS DEL SESCAM"/>
    <s v="1 MES"/>
    <x v="0"/>
    <x v="12"/>
    <x v="66"/>
    <s v="SK6N"/>
    <x v="1963"/>
    <s v="S"/>
    <s v="N"/>
    <s v="S"/>
    <s v="N"/>
  </r>
  <r>
    <x v="12"/>
    <s v="180159"/>
    <s v="APLICACION DEL ARTICULO 13.5 DE LA LEY ORGANICA 1/1996, DE 15 DE ENERO, DE PROTECCION JURIDICA DEL MENOR A LOS PROFESIONALES PERTENECIENTES AL SERVICIO DE SALUD DE CASTILLA-LA MANCHA"/>
    <s v=""/>
    <x v="2"/>
    <x v="12"/>
    <x v="65"/>
    <s v="SKNO"/>
    <x v="1964"/>
    <s v="N"/>
    <s v="N"/>
    <s v="S"/>
    <s v="N"/>
  </r>
  <r>
    <x v="12"/>
    <s v="180169"/>
    <s v="CONCURSO PERMANENTE PARA LA PROVISION DE PUESTOS DE TRABAJO DE LA ESCALA SUPERIOR DE SANITARIOS LOCALES, ESPECIALIDAD DE MEDICINA"/>
    <s v="LA ADJUDICACIÓN DE  PUESTOS,  CONDICIONADA A QUE LOS MISMOS QUEDEN VACANTES, SE EFECTUARÁ MEDIANTE EL SISTEMA DE RESULTAS."/>
    <x v="1"/>
    <x v="12"/>
    <x v="66"/>
    <s v="SIJD"/>
    <x v="1965"/>
    <s v="N"/>
    <s v="N"/>
    <s v="S"/>
    <s v="N"/>
  </r>
  <r>
    <x v="12"/>
    <s v="180199"/>
    <s v="SUBSANACION DEFECTOS PROVISION DE PUESTOS DE TRABAJO POR EL SISTEMA DE CONCURSO DE TRASLADOS PERSONAL ESTATUTARIO (FACULTATIVO)"/>
    <s v="6 MESES."/>
    <x v="1"/>
    <x v="12"/>
    <x v="68"/>
    <s v="RLKL"/>
    <x v="1966"/>
    <s v="N"/>
    <s v="N"/>
    <s v="S"/>
    <s v="N"/>
  </r>
  <r>
    <x v="12"/>
    <s v="180200"/>
    <s v="SUBSANACION DEFECTOS PROVISION DE PUESTOS DE TRABAJO POR EL SISTEMA DE CONCURSO DE TRASLADOS PERSONAL ESTATUTARIO PERSONAL SANITARIO DE GRADO, DIPLOMADO Y TECNICO Y PERSONAL DE GESTION Y SERVICIOS"/>
    <s v="6 MESES"/>
    <x v="1"/>
    <x v="12"/>
    <x v="68"/>
    <s v="RLKM"/>
    <x v="1967"/>
    <s v="N"/>
    <s v="N"/>
    <s v="S"/>
    <s v="N"/>
  </r>
  <r>
    <x v="12"/>
    <s v="180212"/>
    <s v="CONCURSO PERMANENTE PARA LA PROVISION DE PUESTOS DE TRABAJO DE LA ESCALA TECNICA DE SANITARIOS LOCALES DE LA ADMINISTRACION DE LA JUNTA DE COMUNIDADES DE CASTILLA-LA MANCHA."/>
    <s v=""/>
    <x v="2"/>
    <x v="12"/>
    <x v="66"/>
    <s v="SLLH"/>
    <x v="1968"/>
    <s v="N"/>
    <s v="N"/>
    <s v="S"/>
    <s v="N"/>
  </r>
  <r>
    <x v="12"/>
    <s v="180220"/>
    <s v="PROVISION DE LA JEFATURA DE SERVICIO DE DERMATOLOGIA MEDICO-QUIRURGICA Y VENEREOLOGIA. GERENCIA DE ATENCION INTEGRADA DE ALBACETE"/>
    <s v="3 MESES"/>
    <x v="1"/>
    <x v="12"/>
    <x v="68"/>
    <s v="SLOT"/>
    <x v="1969"/>
    <s v="S"/>
    <s v="N"/>
    <s v="S"/>
    <s v="N"/>
  </r>
  <r>
    <x v="12"/>
    <s v="180228"/>
    <s v="MOVILIDAD INTERNA VOLUNTARIA EN EL AMBITO DE LA ATENCION PRIMARIA DEL SERVICIO DE SALUD DE CASTILLA-LA MANCHA (SESCAM)"/>
    <s v=""/>
    <x v="1"/>
    <x v="12"/>
    <x v="66"/>
    <s v="SLS4"/>
    <x v="1970"/>
    <s v="N"/>
    <s v="N"/>
    <s v="S"/>
    <s v="N"/>
  </r>
  <r>
    <x v="12"/>
    <s v="180229"/>
    <s v="MOVILIDAD INTERNA VOLUNTARIA EN EL AMBITO DE LA GERENCIA DE URGENCIAS, EMERGENCIAS Y TRANSPORTE SANITARIO (GUETS)"/>
    <s v=""/>
    <x v="1"/>
    <x v="12"/>
    <x v="66"/>
    <s v="SLS5"/>
    <x v="1971"/>
    <s v="N"/>
    <s v="N"/>
    <s v="S"/>
    <s v="N"/>
  </r>
  <r>
    <x v="12"/>
    <s v="180256"/>
    <s v="PROVISION DE LA JEFATURA DE SECCION DE NEUROLOGIA  EN LA GERENCIA DE ATENCION ESPECIALIZADA DEL HOSPITAL NACIONAL DE PARAPLEJICOS. SESCAM"/>
    <s v="3 MESES"/>
    <x v="1"/>
    <x v="12"/>
    <x v="74"/>
    <s v="SLZ0"/>
    <x v="1972"/>
    <s v="N"/>
    <s v="N"/>
    <s v="S"/>
    <s v="N"/>
  </r>
  <r>
    <x v="12"/>
    <s v="185594"/>
    <s v="PROCESOS DE PROVISION DEL PERSONAL  DE II.SS DEL SESCAM. PERSONAL FACULTATIVO."/>
    <s v="6 MESES"/>
    <x v="1"/>
    <x v="12"/>
    <x v="68"/>
    <s v="SKA2"/>
    <x v="1973"/>
    <s v="S"/>
    <s v="N"/>
    <s v="S"/>
    <s v="N"/>
  </r>
  <r>
    <x v="12"/>
    <s v="185595"/>
    <s v="SOLICITUD SUBSANACION DE LOS DEFECTOS MOTIVO DE EXCLUSION EN EL CONCURSO DE TRASLADOS PARA LA PROVISION DE PLAZAS DE PERSONAL ESTATUTARIO DEL SESCAM"/>
    <s v="6 MESES"/>
    <x v="1"/>
    <x v="12"/>
    <x v="66"/>
    <s v="SL0Z"/>
    <x v="1974"/>
    <s v="N"/>
    <s v="N"/>
    <s v="S"/>
    <s v="N"/>
  </r>
  <r>
    <x v="12"/>
    <s v="185596"/>
    <s v="PROCESO DE PROVISION PERSONAL ESTATUTARIO FACULTATIVO ESPECIALISTA DE AREA Y ATENCION PRIMARIA"/>
    <s v="6 MESES"/>
    <x v="1"/>
    <x v="12"/>
    <x v="68"/>
    <s v="SKWS"/>
    <x v="1975"/>
    <s v="N"/>
    <s v="N"/>
    <s v="S"/>
    <s v="N"/>
  </r>
  <r>
    <x v="12"/>
    <s v="185597"/>
    <s v="PROCESO DE PROVISION DE PERSONAL ESTATUTARIO SANITARIO DE GRADO/DIPLOMADO Y SANITARIO TECNICO Y GESTION Y SERVICIOS."/>
    <s v="6 MESES"/>
    <x v="1"/>
    <x v="12"/>
    <x v="68"/>
    <s v="SKWT"/>
    <x v="1976"/>
    <s v="N"/>
    <s v="N"/>
    <s v="S"/>
    <s v="N"/>
  </r>
  <r>
    <x v="12"/>
    <s v="185598"/>
    <s v="RECLAMACION CONTRA ADJUDICACION PROVISIONAL DE DESTINOS DEL CONCURSO DE TRASLADOS PERSONAL ESTATUTARIO DEL SESCAM, FACULTATIVO ESPECIALISTA DE AREA Y ATENCION PRIMARIA."/>
    <s v="6 MESES"/>
    <x v="1"/>
    <x v="12"/>
    <x v="66"/>
    <s v="RL3K"/>
    <x v="1977"/>
    <s v="N"/>
    <s v="N"/>
    <s v="S"/>
    <s v="N"/>
  </r>
  <r>
    <x v="12"/>
    <s v="185599"/>
    <s v="RECLAMACION ADJUDICACION PROVISIONAL DE DESTINOS DEL CONCURSO DE TRASLADOS PARA LA PROVISION DE PLAZAS DE PERSONAL ESTATUTARIO SANITARIO NO FACULTATIVO Y PERSONAL DE GESTION Y SERVICIOS."/>
    <s v="6 MESES"/>
    <x v="1"/>
    <x v="12"/>
    <x v="66"/>
    <s v="RL76"/>
    <x v="1978"/>
    <s v="N"/>
    <s v="N"/>
    <s v="S"/>
    <s v="N"/>
  </r>
  <r>
    <x v="12"/>
    <s v="185896"/>
    <s v="LISTADOS PROVISIONALES DE ADMITIDOS Y EXCLUIDOS CONCURSO PERSONAL ESTATUTARIO"/>
    <s v=""/>
    <x v="1"/>
    <x v="12"/>
    <x v="68"/>
    <s v="SL16"/>
    <x v="1979"/>
    <s v="N"/>
    <s v="N"/>
    <s v="S"/>
    <s v="N"/>
  </r>
  <r>
    <x v="12"/>
    <s v="185897"/>
    <s v="SOLICITUD DE SUBSANACION DE DEFECTOS A LA PROVISION DE PUESTOS DE PERSONAL ESTATUTARIO SANITARIO, NO FACULTATIVO Y PERSONAL DE GESTION Y SERVICIOS DEL SESCAM"/>
    <s v=""/>
    <x v="1"/>
    <x v="12"/>
    <x v="66"/>
    <s v="SL1S"/>
    <x v="1980"/>
    <s v="N"/>
    <s v="N"/>
    <s v="S"/>
    <s v="N"/>
  </r>
  <r>
    <x v="12"/>
    <s v="185898"/>
    <s v="SUBSANACION  DE EXCLUSION EN EL CONCURSO DE TRASLADOS PARA LA PROVISION DE PLAZAS DE PERSONAL ESTATUTARIO DEL SESCAM NO FACULTATIVO CATEGORIA GESTION Y SERVICIOS"/>
    <s v=""/>
    <x v="1"/>
    <x v="12"/>
    <x v="68"/>
    <s v="SL2S"/>
    <x v="1981"/>
    <s v="N"/>
    <s v="N"/>
    <s v="S"/>
    <s v="N"/>
  </r>
  <r>
    <x v="12"/>
    <s v="186050"/>
    <s v="RECLAMACION A LA RELACION PROVISIONAL DE ADMITIDOS Y EXCLUIDOS APROBADA POR COMISION DE VALORACION PARA LA PROVISION DE LA JEFATURA DE Sº DE ANESTESIOLOGIA Y REANIMACION EN LA GAI DE CIUDAD REAL."/>
    <s v="3 MESES."/>
    <x v="1"/>
    <x v="12"/>
    <x v="75"/>
    <s v="RLHI"/>
    <x v="1982"/>
    <s v="N"/>
    <s v="N"/>
    <s v="S"/>
    <s v="N"/>
  </r>
  <r>
    <x v="12"/>
    <s v="186051"/>
    <s v="RECLAMACION CONTRA EL ACUERDO PROVISIONAL DE LA COMISION DE VALORACION SOBRE EL RESULTADO PROVISIONAL DE LA CONVOCATORIA DE JEFE DE SERVICIO DE ANESTESIOLOGIA Y REANIMACION. GAI  DE CIUDAD REAL"/>
    <s v="3 MESES."/>
    <x v="1"/>
    <x v="12"/>
    <x v="75"/>
    <s v="RLHJ"/>
    <x v="1983"/>
    <s v="N"/>
    <s v="N"/>
    <s v="S"/>
    <s v="N"/>
  </r>
  <r>
    <x v="12"/>
    <s v="186082"/>
    <s v="RECLAMACION RELACION PROVISIONAL PERSONAS ADMITIDAS Y EXCLUIDAS APROBADA POR COMISION DE VALORACION PARA LA PROVISION JEFATURA DE SERVICIO DE NEUMOLOGIA. GAE HNP."/>
    <s v="3 MESES"/>
    <x v="1"/>
    <x v="12"/>
    <x v="74"/>
    <s v="RLL0"/>
    <x v="1984"/>
    <s v="N"/>
    <s v="N"/>
    <s v="S"/>
    <s v="N"/>
  </r>
  <r>
    <x v="12"/>
    <s v="186083"/>
    <s v="RECLAMACION CONTRA EL ACUERDO PROVISIONAL COMISION DE VALORACION SOBRE EL RESULTADO PROVISIONAL  CONVOCATORIA DE JEFATURA DE SERVICIO DE NEUMOLOGIA. GAE  HNP."/>
    <s v="3 MESES"/>
    <x v="1"/>
    <x v="12"/>
    <x v="74"/>
    <s v="RLL1"/>
    <x v="1985"/>
    <s v="N"/>
    <s v="N"/>
    <s v="S"/>
    <s v="N"/>
  </r>
  <r>
    <x v="12"/>
    <s v="186097"/>
    <s v="SEGUNDA CONVOCATORIA JEFATURA DE SECCION DE MEDICINA FISICA Y REHABILITACION . GERENCIA DE HOSPITAL NACIONAL DE PARAPLEJICOS."/>
    <s v="3 MESES."/>
    <x v="1"/>
    <x v="12"/>
    <x v="74"/>
    <s v="SLM3"/>
    <x v="1986"/>
    <s v="N"/>
    <s v="N"/>
    <s v="S"/>
    <s v="N"/>
  </r>
  <r>
    <x v="12"/>
    <s v="186098"/>
    <s v="RECLAMACION A  RELACION PROVISIONAL  ADMITIDOS/AS Y EXCLUIDOS/AS APROBADA POR COMISION DE VALORACION PARA LA  2ª PROVISION DE JEFE/A DE SECCION DE MED. FISICA Y REHABILITACION. HNP"/>
    <s v="3 MESES."/>
    <x v="1"/>
    <x v="12"/>
    <x v="74"/>
    <s v="RLM4"/>
    <x v="1987"/>
    <s v="N"/>
    <s v="N"/>
    <s v="S"/>
    <s v="N"/>
  </r>
  <r>
    <x v="12"/>
    <s v="186099"/>
    <s v="RECLAMACION CONTRA EL ACUERDO PROVISIONAL DE COMISION DE VALORACION SOBRE RESULTADO PROVISIONAL DE CONVOCATORIA DE JEFE/A DE SECCION DE MED FISICA Y REHABILITACION H.N. PARAPLEJICOS."/>
    <s v="3 MESES."/>
    <x v="1"/>
    <x v="12"/>
    <x v="74"/>
    <s v="RLM5"/>
    <x v="1988"/>
    <s v="N"/>
    <s v="N"/>
    <s v="S"/>
    <s v="N"/>
  </r>
  <r>
    <x v="12"/>
    <s v="186114"/>
    <s v="PROVISION DE JEFATURA DE CARACTER ASISTENCIAL DEL SERVICIO DE SALUD DE CASTILLA LA MANCHA. JEFATURA DE SECCION DE OBSTETRICIA Y GINECOLOGIA. GERENCIA A. INTEGRADA DE ALCAZAR DE SAN JUAN (SESCAM)"/>
    <s v="3 MESES."/>
    <x v="1"/>
    <x v="12"/>
    <x v="71"/>
    <s v="SLMW"/>
    <x v="1989"/>
    <s v="N"/>
    <s v="N"/>
    <s v="S"/>
    <s v="N"/>
  </r>
  <r>
    <x v="12"/>
    <s v="186115"/>
    <s v="RECLAMACION A LA RELACION PROVISIONAL DE PERSONAS ADMITIDAS Y EXCLUIDAS APROBADA POR COMISION VALORACION JEFATURA DE SECCION DE OBSTETRICIA Y GINECOLOGIA.GAI ALCAZAR DE SAN JUAN"/>
    <s v="3 MESES."/>
    <x v="1"/>
    <x v="12"/>
    <x v="71"/>
    <s v="RLMX"/>
    <x v="1990"/>
    <s v="S"/>
    <s v="N"/>
    <s v="S"/>
    <s v="N"/>
  </r>
  <r>
    <x v="12"/>
    <s v="186116"/>
    <s v="RECLAMACION CONTRA EL ACUERDO DE LA COMISION DE VALORACION SOBRE EL RESULTADO PROVISIONAL DE LA CONVOCATORIA DE JEFE DE SECCION DE OBST Y GINEC. GAI DE ALCAZAR SAN JUAN."/>
    <s v="3 MESES."/>
    <x v="1"/>
    <x v="12"/>
    <x v="71"/>
    <s v="RLMY"/>
    <x v="1991"/>
    <s v="N"/>
    <s v="N"/>
    <s v="S"/>
    <s v="N"/>
  </r>
  <r>
    <x v="12"/>
    <s v="186133"/>
    <s v="RECLAMACION A LA RELACION PROVISIONAL DE PERSONAS ADMITIDAS Y EXCLUIDAS APROBADA POR COMISION VALORACION JEFATURA DE SERVICIO DE MEDICINA INTENSIVA. GERENCIA DE ATENCION INTEGRADA DE ALBACETE."/>
    <s v="3 MESES"/>
    <x v="1"/>
    <x v="12"/>
    <x v="68"/>
    <s v="SLOQ"/>
    <x v="1992"/>
    <s v="S"/>
    <s v="N"/>
    <s v="S"/>
    <s v="N"/>
  </r>
  <r>
    <x v="12"/>
    <s v="186134"/>
    <s v="RECLAMACION CONTRA EL ACUERDO DE LA COMISION DE VALORACION SOBRE EL RESULTADO PROVISIONAL DE LA CONVOCATORIA DE LA JEFATURA DE SERVICIO DE MEDICINA INTENSIVA DE LA GAI DE ALBACETE (SESCAM)."/>
    <s v="3 MESES"/>
    <x v="1"/>
    <x v="12"/>
    <x v="68"/>
    <s v="SLOR"/>
    <x v="1993"/>
    <s v="N"/>
    <s v="N"/>
    <s v="S"/>
    <s v="N"/>
  </r>
  <r>
    <x v="12"/>
    <s v="186135"/>
    <s v="RECLAMACION A LA RELACION PROVISIONAL DE PERSONAS ADMITIDAS Y EXCLUIDAS APROBADA POR LA COMISION VALORACION JEFATURA DE SERVICIO DE OBSTETRICIA Y GINECOLOGIA. GAI DE ALBACETE"/>
    <s v="3 MESES"/>
    <x v="1"/>
    <x v="12"/>
    <x v="72"/>
    <s v="RLOW"/>
    <x v="1994"/>
    <s v="N"/>
    <s v="N"/>
    <s v="S"/>
    <s v="N"/>
  </r>
  <r>
    <x v="12"/>
    <s v="186136"/>
    <s v="RECLAMACION CONTRA EL ACUERDO DE LA COMISION DE VALORACION SOBRE EL RESULTADO PROVISIONAL DE LA CONVOCATORIA DE LA JEFATURA DE SERVICIO DE OBSTETRICIA Y GINECOLOGIA. GAI DE ALBACETE (SESCAM)"/>
    <s v="3 MESES"/>
    <x v="1"/>
    <x v="12"/>
    <x v="72"/>
    <s v="RLOX"/>
    <x v="1995"/>
    <s v="N"/>
    <s v="N"/>
    <s v="S"/>
    <s v="N"/>
  </r>
  <r>
    <x v="12"/>
    <s v="186166"/>
    <s v="PROVISION DE JEFATURA DE CARACTER ASISTENCIAL DEL SERVICIO DE SALUD DE CASILLA-LA MANCHA. JEFATURA DE SERVICIO DE CARDIOLOGIA, GERENCIA ATENCION INTEGRADA DE CIUDAD REAL."/>
    <s v="CUATRO MESES Y MEDIO."/>
    <x v="1"/>
    <x v="12"/>
    <x v="68"/>
    <s v="SLTR"/>
    <x v="1996"/>
    <s v="S"/>
    <s v="N"/>
    <s v="S"/>
    <s v="N"/>
  </r>
  <r>
    <x v="12"/>
    <s v="186167"/>
    <s v="RECLAMACION A LA RELACION PROVISIONAL DE ADMITIDOS Y EXCLUIDOS APROBADA POR COMISION DE VALORACION EN LA PROVISION DE LA JEFATURA DE SERVICIO DE CARDIOLOGIA GAI DE CIUDAD REAL."/>
    <s v="CUATRO MESES Y MEDIO."/>
    <x v="1"/>
    <x v="12"/>
    <x v="68"/>
    <s v="RLTS"/>
    <x v="1997"/>
    <s v="S"/>
    <s v="N"/>
    <s v="S"/>
    <s v="N"/>
  </r>
  <r>
    <x v="12"/>
    <s v="186168"/>
    <s v="RECLAMACION CONTRA EL ACUERDO PROVISIONAL DE LA COMISION DE VALORACION SOBRE EL RESULTADO PROVISIONAL DE LA CONVOCATORIA DE JEFATURA DE SERVICIO CARDIOLOGIA  GAI DE CIUDAD REAL."/>
    <s v="CUATRO MESES Y MEDIO."/>
    <x v="1"/>
    <x v="12"/>
    <x v="68"/>
    <s v="RLTT"/>
    <x v="1998"/>
    <s v="S"/>
    <s v="N"/>
    <s v="S"/>
    <s v="N"/>
  </r>
  <r>
    <x v="12"/>
    <s v="186175"/>
    <s v="RECLAMACION A LA RELACION PROVISIONAL DE ADMITIDOS Y EXCLUIDOS APROBADA POR COMISION DE VALORACION EN LA PROVISION DE LA JEF. SERV. MEDICINA INTENSIVA GERENCIA DE ATENCION ESPECIALIZADA TOLEDO."/>
    <s v="SE RESOLVERÁN DENTRO DEL PLAZO MÁXIMO DE LOS 3 MESES ESTABLECIDOS PARA LA RESOLUCIÓN DE LA CONVOCATORIA, CONTADOS A PARTIR DEL DÍA SIGUIENTE AL DE LA FINALIZACIÓN DEL PLAZO DE PRESENTACIÓN DE SOLICITUDES."/>
    <x v="1"/>
    <x v="12"/>
    <x v="68"/>
    <s v="RLUS"/>
    <x v="1999"/>
    <s v="S"/>
    <s v="N"/>
    <s v="S"/>
    <s v="N"/>
  </r>
  <r>
    <x v="12"/>
    <s v="186177"/>
    <s v="RECLAMACION CONTRA EL ACUERDO PROVISIONAL DE LA COMISION DE VALORACION SOBRE EL RESULTADO PROVISIONAL DE LA CONVOCATORIA DE JEF. DE SERV. MEDIC. INTENSIVA GERENCIA ATENCION ESPECIALIZADA TOLEDO."/>
    <s v="SE RESOLVERÁN DENTRO DEL PLAZO MÁXIMO DE LOS 3 MESES ESTABLECIDOS PARA LA RESOLUCIÓN DE LA CONVOCATORIA, CONTADOS A PARTIR DEL DÍA SIGUIENTE AL DE LA FINALIZACIÓN DEL PLAZO DE PRESENTACIÓN DE SOLICITUDES."/>
    <x v="1"/>
    <x v="12"/>
    <x v="68"/>
    <s v="RLUR"/>
    <x v="2000"/>
    <s v="S"/>
    <s v="N"/>
    <s v="S"/>
    <s v="N"/>
  </r>
  <r>
    <x v="12"/>
    <s v="186178"/>
    <s v="PROVISION DE JEFATURA DE CARACTER ASISTENCIAL DEL SERVICIO DE SALUD DE CASILLA-LA MANCHA. JEFATURA DE SERVICIO DE ANESTESILOGIA Y REANIMACION. GERENCIA DE ATENCION INTEGRADA ALBACETE."/>
    <s v="SE RESOLVERÁN DENTRO DEL PLAZO MÁXIMO DE LOS 4 MESES ESTABLECIDOS PARA LA RESOLUCIÓN DE LA CONVOCATORIA, CONTADOS A PARTIR DEL DÍA SIGUIENTE AL DE LA FINALIZACIÓN DEL PLAZO DE PRESENTACIÓN DE SOLICITUDES."/>
    <x v="1"/>
    <x v="12"/>
    <x v="68"/>
    <s v="SLUT"/>
    <x v="2001"/>
    <s v="N"/>
    <s v="N"/>
    <s v="S"/>
    <s v="N"/>
  </r>
  <r>
    <x v="12"/>
    <s v="186179"/>
    <s v="RECLAMACION CONTRA EL ACUERDO DE LA COMISION DE VALORACION SOBRE EL RESULTADO PROVISIONAL DE LA CONVOCATORIA DE JEFATURA DE SERVICIO DE ANESTESIOLOGIA Y REANIMA. GAI DE ALBACETE. SESCAM."/>
    <s v="SE RESOLVERÁN DENTRO DEL PLAZO MÁXIMO DE LOS 4 MESES ESTABLECIDOS PARA LA RESOLUCIÓN DE LA CONVOCATORIA, CONTADOS A PARTIR DEL DÍA SIGUIENTE AL DE LA FINALIZACIÓN DEL PLAZO DE PRESENTACIÓN DE SOLICITUDES."/>
    <x v="1"/>
    <x v="12"/>
    <x v="68"/>
    <s v="RLUV"/>
    <x v="2002"/>
    <s v="S"/>
    <s v="N"/>
    <s v="S"/>
    <s v="N"/>
  </r>
  <r>
    <x v="12"/>
    <s v="186180"/>
    <s v="RECLAMACION A LA RELACION PROVISIONAL DE PERSONAS ADMITIDAS Y EXCLUIDAS APROBADA POR COMISION VALORACION JEFATURA DE SERVICIO DE ANESTESIOLOGIA Y REANIMACION. GAI DE ALBACETE."/>
    <s v="SE RESOLVERÁN DENTRO DEL PLAZO MÁXIMO DE LOS 4 MESES ESTABLECIDOS PARA LA RESOLUCIÓN DE LA CONVOCATORIA, CONTADOS A PARTIR DEL DÍA SIGUIENTE AL DE LA FINALIZACIÓN DEL PLAZO DE PRESENTACIÓN DE SOLICITUDES."/>
    <x v="1"/>
    <x v="12"/>
    <x v="68"/>
    <s v="RLUU"/>
    <x v="2003"/>
    <s v="N"/>
    <s v="N"/>
    <s v="S"/>
    <s v="N"/>
  </r>
  <r>
    <x v="12"/>
    <s v="186192"/>
    <s v="PROVISION DE JEFATURA DE CARACTER ASISTENCIAL DEL SERVICIO DE SALUD DE CASILLA-LA MANCHA. JEFATURA DE SERVICIO DE PEDIATRIA Y SUS AREAS ESPECIFICAS. GERENCIA DE ATENCION INTEGRADA ALBACETE."/>
    <s v="3 MESES"/>
    <x v="1"/>
    <x v="12"/>
    <x v="72"/>
    <s v="SLXR"/>
    <x v="2004"/>
    <s v="N"/>
    <s v="N"/>
    <s v="S"/>
    <s v="N"/>
  </r>
  <r>
    <x v="12"/>
    <s v="186198"/>
    <s v="PROVISION DE JEFATURA DE CARACTER ASISTENCIAL DEL SERVICIO DE SALUD DE CASILLA-LA MANCHA. JEFATURA DE SECCION DE CIRUGIA GENERAL Y DEL APARATO DIGESTIVO. GERENCIA DE ATENCION INTEGRADA ALBACETE."/>
    <s v="3 MESES"/>
    <x v="1"/>
    <x v="12"/>
    <x v="72"/>
    <s v="SLXZ"/>
    <x v="2005"/>
    <s v="N"/>
    <s v="N"/>
    <s v="S"/>
    <s v="N"/>
  </r>
  <r>
    <x v="12"/>
    <s v="186202"/>
    <s v="PROVISION DE JEFATURA DE CARACTER ASISTENCIAL DEL SERVICIO DE SALUD DE CASTILLA LA MANCHA. JEFATURA DE SECCION DE MEDICINA INTERNA. GERENCIA ATENCION INTEGRADA DE TOMELLOSO (SESCAM)"/>
    <s v="3 MESES ESTABLECIDOS PARA LA RESOLUCIÓN DE LA CONVOCATORIA, CONTADOS A PARTIR DEL DÍA SIGUIENTE AL DE LA FINALIZACIÓN DEL PLAZO DE PRESENTACIÓN DE SOLICITUDES."/>
    <x v="1"/>
    <x v="12"/>
    <x v="76"/>
    <s v="SLYB"/>
    <x v="2006"/>
    <s v="N"/>
    <s v="N"/>
    <s v="S"/>
    <s v="N"/>
  </r>
  <r>
    <x v="12"/>
    <s v="186205"/>
    <s v="PROVISION DE JEFATURA DE CARACTER ASISTENCIAL DEL SERVICIO DE SALUD DE CASTILLA LA MANCHA. JEFATURA DE SECCION DE APARATO DIGESTIVO. GERENCIA ATENCION INTEGRADA DE TOMELLOSO (SESCAM)"/>
    <s v="3 MESES"/>
    <x v="1"/>
    <x v="12"/>
    <x v="76"/>
    <s v="SLYE"/>
    <x v="2007"/>
    <s v="N"/>
    <s v="N"/>
    <s v="S"/>
    <s v="N"/>
  </r>
  <r>
    <x v="12"/>
    <s v="186208"/>
    <s v="PROVISION DE JEFATURA DE CARACTER ASISTENCIAL DEL SERVICIO DE SALUD DE CASTILLA LA MANCHA. JEFATURA DE SECCION DE CIRUGIA ORTOPEDICA Y TRAUMATO. GERENCIA ATENCION INTEGRADA DE TOMELLOSO (SESCAM)"/>
    <s v="3 MESES"/>
    <x v="1"/>
    <x v="12"/>
    <x v="76"/>
    <s v="SLYJ"/>
    <x v="2008"/>
    <s v="N"/>
    <s v="N"/>
    <s v="S"/>
    <s v="N"/>
  </r>
  <r>
    <x v="12"/>
    <s v="186211"/>
    <s v="PROVISION DE DOS JEFATURAS DE CARACTER ASISTENCIAL DEL SERVICIO DE SALUD DE CASILLA-LA MANCHA. DOS JEFATURAS DE SECCION DE MEDICINA INTENSIVA, GERENCIA ATENCION INTEGRADA DE CIUDAD REAL."/>
    <s v="3 MESES"/>
    <x v="1"/>
    <x v="12"/>
    <x v="75"/>
    <s v="SLYN"/>
    <x v="2009"/>
    <s v="N"/>
    <s v="N"/>
    <s v="S"/>
    <s v="N"/>
  </r>
  <r>
    <x v="12"/>
    <s v="186216"/>
    <s v="PROVISION DE DOS JEFATURAS DE CARACTER ASISTENCIAL DEL SERVICIO DE SALUD DE CASILLA-LA MANCHA. DOS JEFATURAS DE SECCION DE CIRUGIA GRAL. Y A. DIG., GERENCIA ATENCION INTEGRADA DE CIUDAD REAL."/>
    <s v="3 MESES"/>
    <x v="1"/>
    <x v="12"/>
    <x v="75"/>
    <s v="SLYR"/>
    <x v="2010"/>
    <s v="N"/>
    <s v="N"/>
    <s v="S"/>
    <s v="N"/>
  </r>
  <r>
    <x v="12"/>
    <s v="235057"/>
    <s v="RECLAMACION A LA RELACION PROVISIONAL DE PERSONAS ADMITIDAS Y EXCLUIDAS APROBADA POR COMISION VALORACION JEFATURA DE SERVICIO DE DERMATOLOGIA MEDICO-QUIRURGICA Y VENEREOLOGIA. GAI DE ALBACETE."/>
    <s v="SIN DETERMINAR"/>
    <x v="5"/>
    <x v="12"/>
    <x v="68"/>
    <s v="SLOU"/>
    <x v="2011"/>
    <s v="S"/>
    <s v="N"/>
    <s v="S"/>
    <s v="N"/>
  </r>
  <r>
    <x v="13"/>
    <s v="010032"/>
    <s v="AUTORIZACION ADMINISTRATIVA DE CENTROS SOCIALES"/>
    <s v="4 MESES"/>
    <x v="0"/>
    <x v="0"/>
    <x v="0"/>
    <s v="SIA5"/>
    <x v="0"/>
    <s v="N"/>
    <s v="N"/>
    <s v="S"/>
    <s v="S"/>
  </r>
  <r>
    <x v="13"/>
    <s v="010070"/>
    <s v="TARJETA DE ESTACIONAMIENTO PARA PERSONAS CON DISCAPACIDAD CON MOVILIDAD REDUCIDA"/>
    <s v="3 MESES"/>
    <x v="1"/>
    <x v="0"/>
    <x v="1"/>
    <s v="SD22"/>
    <x v="1"/>
    <s v="S"/>
    <s v="N"/>
    <s v="S"/>
    <s v="N"/>
  </r>
  <r>
    <x v="13"/>
    <s v="010652"/>
    <s v="RECONOCIMIENTO OFICIAL DE LA ENTIDAD DE ADIESTRAMIENTO DE PERROS DE ASISTENCIA."/>
    <s v="2 MESES"/>
    <x v="0"/>
    <x v="0"/>
    <x v="1"/>
    <s v="SLLL"/>
    <x v="2"/>
    <s v="N"/>
    <s v="N"/>
    <s v="S"/>
    <s v="N"/>
  </r>
  <r>
    <x v="13"/>
    <s v="010668"/>
    <s v="COMUNICACION DE CAMBIO DE ENTIDAD TITULAR O GESTORA, CESE DE ACTIVIDAD DE UN SERVICIO SOCIAL"/>
    <s v="NO ESTÁ SUJETO A PLAZO."/>
    <x v="0"/>
    <x v="0"/>
    <x v="0"/>
    <s v="MLSS"/>
    <x v="3"/>
    <s v="N"/>
    <s v="N"/>
    <s v="S"/>
    <s v="N"/>
  </r>
  <r>
    <x v="13"/>
    <s v="010679"/>
    <s v="AUTORIZACION ADMINISTRATIVA DE SERVICIOS SOCIALES"/>
    <s v="4 MESES"/>
    <x v="0"/>
    <x v="0"/>
    <x v="2"/>
    <s v="SLZB"/>
    <x v="4"/>
    <s v="N"/>
    <s v="N"/>
    <s v="S"/>
    <s v="N"/>
  </r>
  <r>
    <x v="13"/>
    <s v="020186"/>
    <s v="ACREDITACION E INSCRIPCION REGISTRAL DE ENTIDADES DE VOLUNTARIADO"/>
    <s v="1 MES"/>
    <x v="0"/>
    <x v="0"/>
    <x v="3"/>
    <s v="SC13"/>
    <x v="5"/>
    <s v="S"/>
    <s v="N"/>
    <s v="S"/>
    <s v="N"/>
  </r>
  <r>
    <x v="13"/>
    <s v="020284"/>
    <s v="RECONOCIMIENTO DE LA UNIDAD DE VINCULACION CON PERRO DE ASISTENCIA."/>
    <s v="2 MESES"/>
    <x v="0"/>
    <x v="0"/>
    <x v="1"/>
    <s v="SLLJ"/>
    <x v="6"/>
    <s v="S"/>
    <s v="N"/>
    <s v="S"/>
    <s v="N"/>
  </r>
  <r>
    <x v="13"/>
    <s v="030025"/>
    <s v="AYUDAS ECONOMICAS DE APOYO POR ACOGIMIENTO FAMILIAR DE MENORES"/>
    <s v="3 MESES."/>
    <x v="1"/>
    <x v="0"/>
    <x v="4"/>
    <s v="SIR9"/>
    <x v="7"/>
    <s v="S"/>
    <s v="N"/>
    <s v="S"/>
    <s v="N"/>
  </r>
  <r>
    <x v="13"/>
    <s v="030026"/>
    <s v="AYUDAS PARA EL DESARROLLO DE PROGRAMAS DE AUTONOMIA PERSONAL"/>
    <s v="3 MESES"/>
    <x v="1"/>
    <x v="0"/>
    <x v="4"/>
    <s v="SH80"/>
    <x v="8"/>
    <s v="S"/>
    <s v="N"/>
    <s v="S"/>
    <s v="N"/>
  </r>
  <r>
    <x v="13"/>
    <s v="030030"/>
    <s v="AYUDAS DE EMERGENCIA SOCIAL"/>
    <s v="1 MES"/>
    <x v="1"/>
    <x v="0"/>
    <x v="5"/>
    <s v="N609, S609"/>
    <x v="9"/>
    <s v="S"/>
    <s v="N"/>
    <s v="S"/>
    <s v="N"/>
  </r>
  <r>
    <x v="13"/>
    <s v="030036"/>
    <s v="AYUDAS A FAMILIAS NUMEROSAS"/>
    <s v="3 MESES"/>
    <x v="1"/>
    <x v="0"/>
    <x v="5"/>
    <s v="NIIJ, SIIJ"/>
    <x v="10"/>
    <s v="S"/>
    <s v="N"/>
    <s v="S"/>
    <s v="N"/>
  </r>
  <r>
    <x v="13"/>
    <s v="030037"/>
    <s v="INGRESO MINIMO DE SOLIDARIDAD"/>
    <s v="1 MES"/>
    <x v="1"/>
    <x v="0"/>
    <x v="5"/>
    <s v="N513, S513"/>
    <x v="11"/>
    <s v="S"/>
    <s v="N"/>
    <s v="S"/>
    <s v="N"/>
  </r>
  <r>
    <x v="13"/>
    <s v="030038"/>
    <s v="AYUDAS PARA EL MANTENIMIENTO DE LAS CONDICIONES BASICAS DE VIDA"/>
    <s v="3 MESES"/>
    <x v="1"/>
    <x v="0"/>
    <x v="5"/>
    <s v="NIYY, SIYY"/>
    <x v="12"/>
    <s v="S"/>
    <s v="N"/>
    <s v="S"/>
    <s v="N"/>
  </r>
  <r>
    <x v="13"/>
    <s v="030039"/>
    <s v="SOLICITUD DE SUBVENCIONES A EATIM, MUNICIPIOS, MANCOMUNIDADES Y AGRUPACIONES MUNICIPALES PARA EL DESARROLLO DE PROGRAMAS Y PROYECTOS DE ATENCION A PERSONAS MAYORES."/>
    <s v="3 MESES."/>
    <x v="1"/>
    <x v="0"/>
    <x v="6"/>
    <s v="SIMZ"/>
    <x v="13"/>
    <s v="N"/>
    <s v="N"/>
    <s v="S"/>
    <s v="N"/>
  </r>
  <r>
    <x v="13"/>
    <s v="030042"/>
    <s v="SUBVENCIONES A EATIM, MUNICIPIOS,MANCOMUNIDADES Y AGRUPACIONES TERRITORIALES, PARA EL MANTENIMIENTO DE PLAZAS EN CENTROS DE ATENCION A PERSONAS MAYORES EN CASTILLA-LA MANCHA."/>
    <s v="3 MESES."/>
    <x v="1"/>
    <x v="0"/>
    <x v="6"/>
    <s v="SIXK"/>
    <x v="2012"/>
    <s v="N"/>
    <s v="N"/>
    <s v="S"/>
    <s v="N"/>
  </r>
  <r>
    <x v="13"/>
    <s v="030049"/>
    <s v="SUBVENCIONES PARA LA REALIZACION DE PROYECTOS DE COOPERACION INTERNACIONAL PARA EL DESARROLLO"/>
    <s v="5 MESES."/>
    <x v="1"/>
    <x v="0"/>
    <x v="5"/>
    <s v="SIU2"/>
    <x v="2013"/>
    <s v="N"/>
    <s v="N"/>
    <s v="S"/>
    <s v="N"/>
  </r>
  <r>
    <x v="13"/>
    <s v="030050"/>
    <s v="SUBVENCIONES PARA LA REALIZACION DE PROYECTOS DE EDUCACION PARA EL DESARROLLO"/>
    <s v="3 MESES."/>
    <x v="1"/>
    <x v="0"/>
    <x v="5"/>
    <s v="SIX1"/>
    <x v="2014"/>
    <s v="N"/>
    <s v="N"/>
    <s v="S"/>
    <s v="N"/>
  </r>
  <r>
    <x v="13"/>
    <s v="030051"/>
    <s v="SUBVENCIONES PARA LA REALIZACION DE PROYECTOS DE ACCION HUMANITARIA Y DE EMERGENCIA"/>
    <s v="25 DÍAS, CONTADO A PARTIR DEL DÍA SIGUIENTE AL DE LA PRESENTACIÓN DE LA SOLICITUD."/>
    <x v="1"/>
    <x v="0"/>
    <x v="5"/>
    <s v="S973"/>
    <x v="2015"/>
    <s v="N"/>
    <s v="N"/>
    <s v="S"/>
    <s v="N"/>
  </r>
  <r>
    <x v="13"/>
    <s v="030483"/>
    <s v="RECONOCIMIENTO A LA INICIATIVA SOCIAL DE CASTILLA-LA MANCHA"/>
    <s v="20 DÍAS DESDE LA FINALIZACIÓN PLAZO DE PRESENTACIÓN DE SOLICITUDES."/>
    <x v="1"/>
    <x v="0"/>
    <x v="3"/>
    <s v="SJPA"/>
    <x v="2016"/>
    <s v="N"/>
    <s v="N"/>
    <s v="S"/>
    <s v="N"/>
  </r>
  <r>
    <x v="13"/>
    <s v="030619"/>
    <s v="SUBVENCIONES A ENTIDADES DE INICIATIVA SOCIAL PARA EL DESARROLLO DEL PROGRAMA DE ACCION  ATENCION TUTELAR DE LAS PERSONAS CON CAPACIDAD DE OBRAR MODIFICADA JUDICIALMENTE"/>
    <s v="2 MESES"/>
    <x v="1"/>
    <x v="0"/>
    <x v="1"/>
    <s v="SKJG"/>
    <x v="2017"/>
    <s v="N"/>
    <s v="N"/>
    <s v="S"/>
    <s v="N"/>
  </r>
  <r>
    <x v="13"/>
    <s v="030628"/>
    <s v="PROGRAMA DE TERMALISMO DE CASTILLA-LA MANCHA"/>
    <s v="3 MESES"/>
    <x v="1"/>
    <x v="0"/>
    <x v="6"/>
    <s v="NH93, SH93"/>
    <x v="2018"/>
    <s v="S"/>
    <s v="N"/>
    <s v="S"/>
    <s v="N"/>
  </r>
  <r>
    <x v="13"/>
    <s v="030634"/>
    <s v="SUBVENCIONES A ENTIDADES DE INICIATIVA SOCIAL PARA EL DESARROLLO DE PROGRAMAS DESTINADOS AL SERVICIO DE PROMOCION DE LA AUTONOMIA PERSONAL PARA LAS PERSONAS EN SITUACION DE DEPENDENCIA EN CASTILLA-LA MANCHA."/>
    <s v="2 MESES."/>
    <x v="1"/>
    <x v="0"/>
    <x v="77"/>
    <s v="SKLV"/>
    <x v="2019"/>
    <s v="N"/>
    <s v="N"/>
    <s v="S"/>
    <s v="N"/>
  </r>
  <r>
    <x v="13"/>
    <s v="030701"/>
    <s v="SUBVENCIONES DESTINADAS A LA REALIZACION DE PROYECTOS DE INTERES GENERAL CON CARGO A LA ASIGNACION TRIBUTARIA DEL IMPUESTO SOBRE LA RENTA DE LAS PERSONAS FISICAS , EN EL AMBITO DE CASTILLA-LA MANCHA."/>
    <s v="PARA LA CONVOCATORIA 2021 EL PLAZO MÁXIMO PARA RESOLVER Y NOTIFICAR EL PROCEDIMIENTO DE CONCESIÓN DE LAS SUBVENCIONES SERÁ DE SEIS MESES CONTADO DESDE LA FECHA DE FINALIZACIÓN DEL PLAZO DE PRESENTACIÓN DE SOLICITUDES."/>
    <x v="1"/>
    <x v="0"/>
    <x v="5"/>
    <s v="SKTS"/>
    <x v="2020"/>
    <s v="N"/>
    <s v="N"/>
    <s v="S"/>
    <s v="N"/>
  </r>
  <r>
    <x v="13"/>
    <s v="030705"/>
    <s v="SUBVENCIONES A ENTIDADES LOCALES PARA EL DESARROLLO DE PROGRAMAS DESTINADOS AL SERVICIO DE PROMOCION DE LA AUTONOMIA PERSONAL PARA LAS PERSONAS EN SITUACION DE DEPENDENCIA EN CASTILLA-LA MANCHA."/>
    <s v="2 MESES."/>
    <x v="1"/>
    <x v="0"/>
    <x v="77"/>
    <s v="SKU2"/>
    <x v="2021"/>
    <s v="N"/>
    <s v="N"/>
    <s v="S"/>
    <s v="N"/>
  </r>
  <r>
    <x v="13"/>
    <s v="030794"/>
    <s v="TARJETA DORADA DE TRANSPORTE PARA MAYORES DE 65 AÑOS."/>
    <s v="6 MESES"/>
    <x v="0"/>
    <x v="0"/>
    <x v="6"/>
    <s v="NL3F, SL3F"/>
    <x v="2022"/>
    <s v="S"/>
    <s v="N"/>
    <s v="S"/>
    <s v="N"/>
  </r>
  <r>
    <x v="13"/>
    <s v="030874"/>
    <s v="AYUDAS  EMERGENCIA EXCEPCIONAL COVID-19"/>
    <s v="15 DÍAS"/>
    <x v="1"/>
    <x v="0"/>
    <x v="5"/>
    <s v="NLDH, SLDH"/>
    <x v="2023"/>
    <s v="S"/>
    <s v="N"/>
    <s v="S"/>
    <s v="N"/>
  </r>
  <r>
    <x v="13"/>
    <s v="031042"/>
    <s v="DECRETO 128/20241 POR EL QUE SE REGULA LA CONCESION DIRECTA DE UNA SUBVENCION A UNICEF COMITE ESPAÑOL, PARA LA DISTRIBUCION SEGURA Y EQUITATIVA DE LAS VACUNAS CONTRA LA COVID-19, A TRAVES DEL MECANISMO COVAX."/>
    <s v=""/>
    <x v="2"/>
    <x v="0"/>
    <x v="5"/>
    <s v="SLQ3"/>
    <x v="2024"/>
    <s v="N"/>
    <s v="N"/>
    <s v="S"/>
    <s v="N"/>
  </r>
  <r>
    <x v="13"/>
    <s v="031067"/>
    <s v="CONCESION DIRECTA DE SUBVENCIONES A LAS DIPUTACIONES PROVINCIALES DE CASTILLA-LA MANCHA PARA LA GARANTIA DE CUIDADOS DE LAS PERSONAS EN SU ENTORNO."/>
    <s v=""/>
    <x v="2"/>
    <x v="0"/>
    <x v="3"/>
    <s v="PLR9"/>
    <x v="2025"/>
    <s v="N"/>
    <s v="N"/>
    <s v="S"/>
    <s v="N"/>
  </r>
  <r>
    <x v="13"/>
    <s v="031068"/>
    <s v="SUBVENCIONES DESTINADAS A LA REALIZACION DE PROYECTOS DESTINADOS A LA MEJORA DE LOS MODELOS DE ATENCION RESIDENCIAL Y ACOGIMIENTO FAMILIAR DE NIÑOS, NIÑAS Y ADOLESCENTES, Y A PROYECTOS PILOTO DE INNOVACION EN SERVICIOS SOCIALES EN EL AMBITO DE INFANCIA Y "/>
    <s v="EL PLAZO MÁXIMO PARA RESOLVER Y NOTIFICAR EL PROCEDIMIENTO DE CONCESIÓN DE LAS SUBVENCIONES REGULADAS EN ESTA ORDEN SERÁ DE TRES MESES, CONTADOS DESDE LA FECHA DE FINALIZACIÓN DEL PLAZO DE PRESENTACIÓN DE SOLICITUDES"/>
    <x v="1"/>
    <x v="0"/>
    <x v="4"/>
    <s v="SLRA"/>
    <x v="2026"/>
    <s v="N"/>
    <s v="N"/>
    <s v="S"/>
    <s v="N"/>
  </r>
  <r>
    <x v="13"/>
    <s v="031099"/>
    <s v="DECRETO 34/22  POR EL QUE SE REGULA LA CONCESION DIRECTA DE UNA SUBVENCION A RED EUROPEA DE LUCHA CONTRA LA POBREZA EN CASTILLA-LA MANCHA, PARA EL DESARROLLO Y MEJORA DE LAS CAPACIDADES DIGITALES DE LA POBLACION MAS VULNERABLE DE LA REGION."/>
    <s v=""/>
    <x v="2"/>
    <x v="0"/>
    <x v="3"/>
    <s v="PLSU"/>
    <x v="2027"/>
    <s v="N"/>
    <s v="N"/>
    <s v="S"/>
    <s v="N"/>
  </r>
  <r>
    <x v="13"/>
    <s v="031107"/>
    <s v="SUBVENCIONES PARA LA FINANCIACION DE PROYECTOS DE INVERSION EN ACTUACIONES SOBRE LA NUEVA ECONOMIA DE LOS CUIDADOS EN VIVIENDAS Y CENTROS DE MAYORES DE TITULARIDAD MUNICIPAL EN LA COMUNIDAD AUTONOMA DE CASTILLA-LA MANCHA, EN EL MARCO DEL PLAN DE RECUPERAC"/>
    <s v="EL PLAZO MÁXIMO PARA RESOLVER Y NOTIFICAR LA SUBVENCIÓN CONCEDIDA SERÁ DE TRES MESES, CONTADOS DESDE LA FECHA DE FINALIZACIÓN DEL PLAZO DE PRESENTACIÓN DE SOLICITUDES."/>
    <x v="1"/>
    <x v="0"/>
    <x v="6"/>
    <s v="SLTK"/>
    <x v="2028"/>
    <s v="N"/>
    <s v="N"/>
    <s v="S"/>
    <s v="N"/>
  </r>
  <r>
    <x v="13"/>
    <s v="031108"/>
    <s v="SUBVENCIONES PARA LA FINANCIACION DE PROYECTOS DE CONSTRUCCION DE RESIDENCIAS DESTINADAS A PERSONAS MAYORES EN CASTILLA-LA MANCHA, CON CARGO AL PLAN DE RECUPERACION, TRANSFORMACION Y RESILIENCIA"/>
    <s v="EL PLAZO MÁXIMO PARA RESOLVER Y NOTIFICAR LA SUBVENCIÓN CONCEDIDA SERÁ DE CINCO_x000d__x000a_MESES, CONTADOS DESDE LA FECHA DE FINALIZACIÓN DEL PLAZO DE PRESENTACIÓN DE SOLICITUDES."/>
    <x v="1"/>
    <x v="0"/>
    <x v="6"/>
    <s v="SLTL"/>
    <x v="2029"/>
    <s v="N"/>
    <s v="N"/>
    <s v="S"/>
    <s v="N"/>
  </r>
  <r>
    <x v="13"/>
    <s v="031120"/>
    <s v="CONCESION DIRECTA DE SUBVENCIONES A DIVERSAS ENTIDADES DE INICIATIVA SOCIAL PARA LA INFORMACION, FORMACION Y VALORACION DE IDONEIDAD DE FAMILIAS PARA ACOGIMIENTO FAMILIAR."/>
    <s v=""/>
    <x v="2"/>
    <x v="0"/>
    <x v="4"/>
    <s v="PLU7"/>
    <x v="2030"/>
    <s v="N"/>
    <s v="N"/>
    <s v="S"/>
    <s v="N"/>
  </r>
  <r>
    <x v="13"/>
    <s v="031147"/>
    <s v="SUBVENCIONES A PERSONAS MAYORES CON DISCAPACIDAD O EN SITUACION DE DEPENDENCIA QUE VIVEN EN ZONAS DE RIESGO O DE EXTREMA/INTENSA DESPOBLACION PARA MEJORA DE LA ACCESIBILIDAD DE SUS VIVIENDAS"/>
    <s v="3 MESES"/>
    <x v="1"/>
    <x v="0"/>
    <x v="0"/>
    <s v="SLVL"/>
    <x v="2031"/>
    <s v="S"/>
    <s v="N"/>
    <s v="S"/>
    <s v="N"/>
  </r>
  <r>
    <x v="13"/>
    <s v="031151"/>
    <s v="CONCESION DIRECTA DE UNA SUBVENCION A LA POI-CLM, DENTRO DEL MECANISMO DE RECUPERACION, TRANSFORMACION Y RESILIENCIA, NEXT GENERATION EU."/>
    <s v=""/>
    <x v="2"/>
    <x v="0"/>
    <x v="4"/>
    <s v="PLVR"/>
    <x v="2032"/>
    <s v="N"/>
    <s v="N"/>
    <s v="S"/>
    <s v="N"/>
  </r>
  <r>
    <x v="13"/>
    <s v="035167"/>
    <s v="SOLICITUD DE SUBVENCIONES PARA EL DESARROLLO DE PROGRAMAS DE ACTIVIDADES DESTINADAS A MENORES AFECTADOS POR MEDIDAS DE PROTECCION O JUDICIALES."/>
    <s v="3 MESES"/>
    <x v="1"/>
    <x v="0"/>
    <x v="4"/>
    <s v="SI9C"/>
    <x v="2033"/>
    <s v="N"/>
    <s v="N"/>
    <s v="S"/>
    <s v="N"/>
  </r>
  <r>
    <x v="13"/>
    <s v="035168"/>
    <s v="JUSTIFICACION SUBVENCIONES PARA EL DESARROLLO DE PROGRAMAS DE ACTIVIDADES DESTINADAS A MENORES AFECTADOS POR MEDIDAS DE PROTECCION O JUDICIALES."/>
    <s v="3 MESES"/>
    <x v="1"/>
    <x v="0"/>
    <x v="4"/>
    <s v="PKQE"/>
    <x v="2034"/>
    <s v="N"/>
    <s v="N"/>
    <s v="S"/>
    <s v="N"/>
  </r>
  <r>
    <x v="13"/>
    <s v="035171"/>
    <s v="JUSTIFICACION DE SUBVENCION A ENTIDADES PRIVADAS DE INICIATIVA SOCIAL PARA EL DESARROLLO DE PROGRAMAS DE ATENCION A PERSONAS MAYORES."/>
    <s v="3 MESES"/>
    <x v="1"/>
    <x v="0"/>
    <x v="6"/>
    <s v="PKQP"/>
    <x v="2035"/>
    <s v="N"/>
    <s v="N"/>
    <s v="S"/>
    <s v="N"/>
  </r>
  <r>
    <x v="13"/>
    <s v="035172"/>
    <s v="SOLICITUD DE SUBVENCION A ENTIDADES PRIVADAS DE INICIATIVA SOCIAL PARA EL DESARROLLO DE PROGRAMAS DE ATENCION A PERSONAS MAYORES"/>
    <s v="3 MESES"/>
    <x v="1"/>
    <x v="0"/>
    <x v="6"/>
    <s v="SIUF"/>
    <x v="2036"/>
    <s v="N"/>
    <s v="N"/>
    <s v="S"/>
    <s v="N"/>
  </r>
  <r>
    <x v="13"/>
    <s v="035177"/>
    <s v="JUSTIFICACION DE SUBVENCION A ENTIDADES PRIVADAS, DE INICIATIVA SOCIAL, PARA MANTENIMIENTO DE CENTROS, SERVICIOS Y DESARROLLO DE PROGRAMAS PARA LA ATENCION A PERSONAS CON DISCAPACIDAD."/>
    <s v="3 MESES"/>
    <x v="1"/>
    <x v="0"/>
    <x v="1"/>
    <s v="PKS3"/>
    <x v="2037"/>
    <s v="N"/>
    <s v="N"/>
    <s v="S"/>
    <s v="N"/>
  </r>
  <r>
    <x v="13"/>
    <s v="035178"/>
    <s v="SUBVENCION A ENTIDADES PRIVADAS, DE INICIATIVA SOCIAL, PARA MANTENIMIENTO DE CENTROS, SERVICIOS Y DESARROLLO DE PROGRAMAS PARA LA ATENCION A PERSONAS CON DISCAPACIDAD."/>
    <s v="3 MESES"/>
    <x v="1"/>
    <x v="0"/>
    <x v="1"/>
    <s v="SH58"/>
    <x v="2038"/>
    <s v="N"/>
    <s v="N"/>
    <s v="S"/>
    <s v="N"/>
  </r>
  <r>
    <x v="13"/>
    <s v="035292"/>
    <s v="SOLICITUD DE SUBVENCIONES PARA EL MANTENIMIENTO DE CENTROS DESTINADOS A MENORES AFECTADOS POR MEDIDAS DE PROTECCION O JUDICIALES."/>
    <s v="3 MESES."/>
    <x v="1"/>
    <x v="0"/>
    <x v="4"/>
    <s v="SB55"/>
    <x v="2039"/>
    <s v="N"/>
    <s v="N"/>
    <s v="S"/>
    <s v="N"/>
  </r>
  <r>
    <x v="13"/>
    <s v="035293"/>
    <s v="JUSTIFICACION DE SUBVENCIONES PARA EL MANTENIMIENTO DE CENTROS DESTINADOS A MENORES AFECTADOS POR MEDIDAS DE PROTECCION O JUDICIALES."/>
    <s v="3 MESES."/>
    <x v="1"/>
    <x v="0"/>
    <x v="4"/>
    <s v="PKP2"/>
    <x v="2040"/>
    <s v="N"/>
    <s v="N"/>
    <s v="S"/>
    <s v="N"/>
  </r>
  <r>
    <x v="13"/>
    <s v="035294"/>
    <s v="SUBVENCION PARA LA FINANCIACION DE PROYECTOS DE INCLUSION SOCIAL DEL SISTEMA PUBLICO DE SERVICIOS SOCIALES."/>
    <s v="3 MESES"/>
    <x v="1"/>
    <x v="0"/>
    <x v="3"/>
    <s v="SIR1"/>
    <x v="2041"/>
    <s v="N"/>
    <s v="N"/>
    <s v="S"/>
    <s v="N"/>
  </r>
  <r>
    <x v="13"/>
    <s v="035295"/>
    <s v="JUSTIFICACION DE SUBVENCION PARA LA FINANCIACION DE PROYECTOS DE INCLUSION SOCIAL DEL SISTEMA PUBLICO DE SERVICIOS SOCIALES"/>
    <s v="3 MESES"/>
    <x v="1"/>
    <x v="0"/>
    <x v="3"/>
    <s v="PKU4"/>
    <x v="2042"/>
    <s v="N"/>
    <s v="N"/>
    <s v="S"/>
    <s v="N"/>
  </r>
  <r>
    <x v="13"/>
    <s v="035296"/>
    <s v="SUBVENCIONES A ENTIDADES LOCALES EN EL AMBITO DE LA ATENCION A LAS PERSONAS CON DISCAPACIDAD INTELECTUAL EN CASTILLA-LA MANCHA."/>
    <s v="EL PLAZO MÁXIMO PARA RESOLVER Y NOTIFICAR LA RESOLUCIÓN DE CONCESIÓN DE LAS SUBVENCIONES REGULADAS EN LA ORDEN SERÁ DE TRES MESES, CONTADOS DESDE LA FECHA DE FINALIZACIÓN DEL  PLAZO DE PRESENTACIÓN DE SOLICITUDES."/>
    <x v="1"/>
    <x v="0"/>
    <x v="1"/>
    <s v="SJ2X"/>
    <x v="2043"/>
    <s v="N"/>
    <s v="N"/>
    <s v="S"/>
    <s v="N"/>
  </r>
  <r>
    <x v="13"/>
    <s v="035297"/>
    <s v="JUSTIFICACION DE LAS SUBVENCIONES A ENTIDADES LOCALES EN EL AMBITO DE LA ATENCION A LAS PERSONAS CON DISCAPACIDAD INTELECTUAL EN CASTILLA-LA MANCHA."/>
    <s v="3 MESES."/>
    <x v="1"/>
    <x v="0"/>
    <x v="1"/>
    <s v="PKTF"/>
    <x v="2044"/>
    <s v="N"/>
    <s v="N"/>
    <s v="S"/>
    <s v="N"/>
  </r>
  <r>
    <x v="13"/>
    <s v="035298"/>
    <s v="SOLICITUD SUBVENCIONES A ENTIDADES PARA EL MANTENIMIENTO DE SERVICIOS Y PROGRAMAS DE ATENCION A INFANCIA Y FAMILIA."/>
    <s v="3 MESES"/>
    <x v="1"/>
    <x v="0"/>
    <x v="4"/>
    <s v="SJLO"/>
    <x v="2045"/>
    <s v="N"/>
    <s v="N"/>
    <s v="S"/>
    <s v="N"/>
  </r>
  <r>
    <x v="13"/>
    <s v="035299"/>
    <s v="JUSTIFICACION SUBVENCIONES PARA EL DESARROLLO DE SERVICIOS Y PROGRAMAS DE PREVENCION Y ATENCION A LA INFANCIA Y A LAS FAMILIAS."/>
    <s v="3 MESES"/>
    <x v="1"/>
    <x v="0"/>
    <x v="4"/>
    <s v="PKPH"/>
    <x v="2046"/>
    <s v="N"/>
    <s v="N"/>
    <s v="S"/>
    <s v="N"/>
  </r>
  <r>
    <x v="13"/>
    <s v="035934"/>
    <s v="JUSTIFICACION DE LAS RUTAS CONCEDIDAS EN EL MARCO DEL PROGRAMA MAYORES ACTIVOS. RUTAS CULTURALES Y DE OCIO PARA PERSONAS MAYORES DE CASTILLA-LA MANCHA."/>
    <s v="3 MESES"/>
    <x v="1"/>
    <x v="0"/>
    <x v="6"/>
    <s v="PL4Y"/>
    <x v="2047"/>
    <s v="N"/>
    <s v="N"/>
    <s v="S"/>
    <s v="N"/>
  </r>
  <r>
    <x v="13"/>
    <s v="035935"/>
    <s v="PROGRAMA MAYORES ACTIVOS. RUTAS CULTURALES Y DE OCIO PARA PERSONAS MAYORES DE CASTILLA-LA MANCHA"/>
    <s v="3 MESES"/>
    <x v="1"/>
    <x v="0"/>
    <x v="6"/>
    <s v="SL3G"/>
    <x v="2048"/>
    <s v="N"/>
    <s v="N"/>
    <s v="S"/>
    <s v="N"/>
  </r>
  <r>
    <x v="13"/>
    <s v="036028"/>
    <s v="JUSTIFICACION DE LA SUBVENCION A CENTROS RESIDENCIALES, COMO CONSECUENCIA DE LA COVID-19, PARA LA ATENCION Y CUIDADO DE LAS PERSONAS MAYORES."/>
    <s v="EL PLAZO MÁXIMO PARA RESOLVER Y NOTIFICAR LA SUBVENCIÓN CONCEDIDA SERÁ DE UN MES, CONTADO DESDE LA FECHA DE FINALIZACIÓN DEL PLAZO DE PRESENTACIÓN DE SOLICITUDES."/>
    <x v="1"/>
    <x v="0"/>
    <x v="6"/>
    <s v="PLFG"/>
    <x v="2049"/>
    <s v="N"/>
    <s v="N"/>
    <s v="S"/>
    <s v="N"/>
  </r>
  <r>
    <x v="13"/>
    <s v="036029"/>
    <s v="SOLICITUD DE SUBVENCION A CENTROS RESIDENCIALES, COMO CONSECUENCIA DE LA COVID-19, PARA LA ATENCION Y CUIDADO DE LAS PERSONAS MAYORES."/>
    <s v="EL PLAZO MÁXIMO PARA RESOLVER Y NOTIFICAR LA SUBVENCIÓN CONCEDIDA SERÁ DE UN MES, CONTADO DESDE LA FECHA DE FINALIZACIÓN DEL PLAZO DE PRESENTACIÓN DE SOLICITUDES."/>
    <x v="1"/>
    <x v="0"/>
    <x v="6"/>
    <s v="SLFF"/>
    <x v="2050"/>
    <s v="N"/>
    <s v="N"/>
    <s v="S"/>
    <s v="N"/>
  </r>
  <r>
    <x v="13"/>
    <s v="036063"/>
    <s v="SOLICITUD DE SUBVENCION LINEA 1. CENTROS Y SERVICIOS DE ATENCION A PERSONAS MAYORES."/>
    <s v="3 MESES"/>
    <x v="1"/>
    <x v="0"/>
    <x v="6"/>
    <s v="SLJN"/>
    <x v="2051"/>
    <s v="N"/>
    <s v="N"/>
    <s v="S"/>
    <s v="N"/>
  </r>
  <r>
    <x v="13"/>
    <s v="036065"/>
    <s v="SOLICITUD DE SUBVENCION LINEA 2. CENTROS Y SERVICIOS DE ATENCION A PERSONAS CON DISCAPACIDAD"/>
    <s v="3 MESES"/>
    <x v="1"/>
    <x v="0"/>
    <x v="1"/>
    <s v="SLJP"/>
    <x v="2052"/>
    <s v="N"/>
    <s v="N"/>
    <s v="S"/>
    <s v="N"/>
  </r>
  <r>
    <x v="13"/>
    <s v="036067"/>
    <s v="SOLICITUD DE SUBVENCION LINEA 3. CENTROS Y SERVICIOS DE ATENCION A PERSONAS SIN HOGAR"/>
    <s v="3 MESES"/>
    <x v="1"/>
    <x v="0"/>
    <x v="3"/>
    <s v="SLJR"/>
    <x v="2053"/>
    <s v="N"/>
    <s v="N"/>
    <s v="S"/>
    <s v="N"/>
  </r>
  <r>
    <x v="13"/>
    <s v="036069"/>
    <s v="SOLICITUD DE SUBVENCION LINEA 4. SERVICIOS DE PROMOCION DE LA AUTONOMIA PERSONAL (SEPAP MERJORAT) Y SERVICIOS DE PREVENCION DE LA DEPENDENCIA"/>
    <s v="3 MESES"/>
    <x v="1"/>
    <x v="0"/>
    <x v="77"/>
    <s v="SLJT"/>
    <x v="2054"/>
    <s v="N"/>
    <s v="N"/>
    <s v="S"/>
    <s v="N"/>
  </r>
  <r>
    <x v="13"/>
    <s v="036071"/>
    <s v="SOLICITUD DE SUBVENCION LINEA 5. CENTROS Y HOGARES DE ATENCION RESIDENCIAL DE NIÑOS, NIÑAS Y ADOLESCENTES TUTELADOS, SERVICIOS DE APOYO A MENORES."/>
    <s v="3 MESES"/>
    <x v="1"/>
    <x v="0"/>
    <x v="4"/>
    <s v="SLJV"/>
    <x v="2055"/>
    <s v="N"/>
    <s v="N"/>
    <s v="S"/>
    <s v="N"/>
  </r>
  <r>
    <x v="13"/>
    <s v="036073"/>
    <s v="SOLICITUD DE SUBVENCION LINEA 6. ENTIDADES DEL TERCER SECTOR DE ACCION SOCIAL"/>
    <s v="3 MESES"/>
    <x v="1"/>
    <x v="0"/>
    <x v="5"/>
    <s v="SLJX"/>
    <x v="2056"/>
    <s v="N"/>
    <s v="N"/>
    <s v="S"/>
    <s v="N"/>
  </r>
  <r>
    <x v="13"/>
    <s v="036129"/>
    <s v="MODELO DE CUENTA JUSTIFICATIVA SIMPLIFICADA DE SUBVENCIONES DESTINADAS A LA MEJORA DE LA ACCESIBILIDAD DE INFRAESTRUCTURAS Y EQUIPAMIENTOS EELL  CON POBLACION INFERIOR O IGUAL A 1000 HABITANTES"/>
    <s v="3 MESES"/>
    <x v="1"/>
    <x v="0"/>
    <x v="0"/>
    <s v="PLOL"/>
    <x v="2057"/>
    <s v="N"/>
    <s v="N"/>
    <s v="S"/>
    <s v="N"/>
  </r>
  <r>
    <x v="13"/>
    <s v="036130"/>
    <s v="SUBVENCIONES A ENTIDADES LOCALES DE CASTILLA-LA MANCHA CON POBLACION INFERIOR O IGUAL A MIL HABITANTES PARA MEJORA DE LA ACCESIBILIDAD DE SUS INFRAESTRUCTURAS Y EQUIPAMIENTOS."/>
    <s v="3 MESES"/>
    <x v="1"/>
    <x v="0"/>
    <x v="0"/>
    <s v="SLOK"/>
    <x v="2058"/>
    <s v="N"/>
    <s v="N"/>
    <s v="S"/>
    <s v="N"/>
  </r>
  <r>
    <x v="13"/>
    <s v="036138"/>
    <s v="SOLICITUD DE SUBVENCION LINEA 2. CENTROS DE TITULARIDAD MUNICIPAL DE ATENCION A PERSONAS CON DISCAPACIDAD"/>
    <s v="3 MESES."/>
    <x v="1"/>
    <x v="0"/>
    <x v="1"/>
    <s v="SLP5"/>
    <x v="2059"/>
    <s v="N"/>
    <s v="N"/>
    <s v="S"/>
    <s v="N"/>
  </r>
  <r>
    <x v="13"/>
    <s v="036139"/>
    <s v="SOLICITUD DE SUBVENCION LINEA 1. CENTROS DE TITULARIDAD MUNICIPAL DE ATENCION A PERSONAS MAYORES."/>
    <s v="3 MESES."/>
    <x v="1"/>
    <x v="0"/>
    <x v="6"/>
    <s v="SLP4"/>
    <x v="2060"/>
    <s v="N"/>
    <s v="N"/>
    <s v="S"/>
    <s v="N"/>
  </r>
  <r>
    <x v="13"/>
    <s v="040008"/>
    <s v="ACREDITACION DE ESTABLECIMIENTOS, INSTALACIONES Y VEHICULOS DE TRANSPORTE PUBLICO Y ACCESIBLES"/>
    <s v="3 MESES"/>
    <x v="1"/>
    <x v="0"/>
    <x v="0"/>
    <s v="S824"/>
    <x v="2061"/>
    <s v="S"/>
    <s v="N"/>
    <s v="S"/>
    <s v="N"/>
  </r>
  <r>
    <x v="13"/>
    <s v="040009"/>
    <s v="ACREDITACION DE LA CALIDAD DE LOS SERVICIOS"/>
    <s v="3 MESES"/>
    <x v="1"/>
    <x v="0"/>
    <x v="0"/>
    <s v="SB00"/>
    <x v="2062"/>
    <s v="N"/>
    <s v="N"/>
    <s v="S"/>
    <s v="N"/>
  </r>
  <r>
    <x v="13"/>
    <s v="040021"/>
    <s v="RECONOCIMIENTO DECLARACION Y CALIFICACION GRADO DISCAPACIDAD"/>
    <s v="6 MESES"/>
    <x v="1"/>
    <x v="0"/>
    <x v="1"/>
    <s v="NB19, SB19"/>
    <x v="2063"/>
    <s v="S"/>
    <s v="N"/>
    <s v="S"/>
    <s v="N"/>
  </r>
  <r>
    <x v="13"/>
    <s v="040187"/>
    <s v="TITULO DE FAMILIA NUMEROSA"/>
    <s v="1 MES"/>
    <x v="1"/>
    <x v="0"/>
    <x v="5"/>
    <s v="NA11, SA11"/>
    <x v="2064"/>
    <s v="S"/>
    <s v="N"/>
    <s v="S"/>
    <s v="N"/>
  </r>
  <r>
    <x v="13"/>
    <s v="040193"/>
    <s v="TARJETA ACREDITATIVA DE GRADO DE DISCAPACIDAD"/>
    <s v="1 MES."/>
    <x v="1"/>
    <x v="0"/>
    <x v="1"/>
    <s v="SJJ2"/>
    <x v="2065"/>
    <s v="S"/>
    <s v="N"/>
    <s v="S"/>
    <s v="N"/>
  </r>
  <r>
    <x v="13"/>
    <s v="040243"/>
    <s v="ACREDITACION DE SERVICIOS DE ATENCION DOMICILIARIA: AYUDA A DOMICILIO Y TELEASISTENCIA"/>
    <s v="6 MESES"/>
    <x v="0"/>
    <x v="0"/>
    <x v="0"/>
    <s v="SK1J"/>
    <x v="2066"/>
    <s v="S"/>
    <s v="N"/>
    <s v="S"/>
    <s v="N"/>
  </r>
  <r>
    <x v="13"/>
    <s v="040300"/>
    <s v="HABILITACION EXCEPCIONAL Y HABILITACION PROVISIONAL PARA EL PERSONAL DE ATENCION DIRECTA DE LOS CENTROS Y SERVICIOS DEL SISTEMA PARA LA AUTONOMIA Y ATENCION A LA DEPENDENCIA."/>
    <s v="6 MESES"/>
    <x v="1"/>
    <x v="0"/>
    <x v="77"/>
    <s v="SKJM"/>
    <x v="2067"/>
    <s v="S"/>
    <s v="N"/>
    <s v="S"/>
    <s v="N"/>
  </r>
  <r>
    <x v="13"/>
    <s v="040336"/>
    <s v="INFORME SECTORIAL DE ACCESIBILIDAD"/>
    <s v="20 DÍAS, EXCEPTO CUANDO LA SOLICITUD SE SOLAPE CON:_x000d__x000a_ PLAZO DE INFORMACIÓN PÚBLICA DEL DOCUMENTO DE PLANEAMIENTO: 1 MES_x000d__x000a_ PLAZO DE INFORME DE MEDIO AMBIENTE: 45 DÍAS"/>
    <x v="2"/>
    <x v="0"/>
    <x v="0"/>
    <s v="SL55"/>
    <x v="2068"/>
    <s v="N"/>
    <s v="N"/>
    <s v="S"/>
    <s v="N"/>
  </r>
  <r>
    <x v="13"/>
    <s v="040374"/>
    <s v="INFORME PREVIO SOBRE ADECUACION DEL PROYECTO A LA NORMATIVA ESPECIFICA"/>
    <s v="3 MESES"/>
    <x v="1"/>
    <x v="0"/>
    <x v="0"/>
    <s v="SLSR"/>
    <x v="2069"/>
    <s v="N"/>
    <s v="N"/>
    <s v="S"/>
    <s v="N"/>
  </r>
  <r>
    <x v="13"/>
    <s v="060007"/>
    <s v="CONCIERTO SOCIAL PARA LA GESTION DE SERVICIOS SOCIALES Y ATENCION A LAS PERSONAS EN SITUACION DE DEPENDENCIA EN CASTILLA-LA MANCHA"/>
    <s v="SEIS MESES"/>
    <x v="1"/>
    <x v="0"/>
    <x v="6"/>
    <s v="SLUX"/>
    <x v="2070"/>
    <s v="N"/>
    <s v="N"/>
    <s v="S"/>
    <s v="N"/>
  </r>
  <r>
    <x v="13"/>
    <s v="120005"/>
    <s v="ADMISION EN  CENTROS RESIDENCIALES DE MAYORES DE LA RED PUBLICA DE CASTILLA-LA MANCHA"/>
    <s v="6 MESES"/>
    <x v="1"/>
    <x v="0"/>
    <x v="6"/>
    <s v="N031, S031"/>
    <x v="2071"/>
    <s v="S"/>
    <s v="N"/>
    <s v="S"/>
    <s v="N"/>
  </r>
  <r>
    <x v="13"/>
    <s v="120006"/>
    <s v="ESTANCIAS TEMPORALES RESIDENCIAS DE MAYORES"/>
    <s v="3 MESES"/>
    <x v="1"/>
    <x v="0"/>
    <x v="6"/>
    <s v="NI32, SI32"/>
    <x v="2072"/>
    <s v="S"/>
    <s v="N"/>
    <s v="S"/>
    <s v="N"/>
  </r>
  <r>
    <x v="13"/>
    <s v="120009"/>
    <s v="TRASLADOS VOLUNTARIOS EN CENTROS RESIDENCIALES DE MAYORES DE LA RED PUBLICA DE CASTILLA-LA MANCHA"/>
    <s v="6 MESES"/>
    <x v="1"/>
    <x v="0"/>
    <x v="6"/>
    <s v="NA16, SA16"/>
    <x v="2073"/>
    <s v="S"/>
    <s v="N"/>
    <s v="S"/>
    <s v="N"/>
  </r>
  <r>
    <x v="13"/>
    <s v="120010"/>
    <s v="INGRESO EN CENTROS DE ATENCION PARA PERSONAS CON DISCAPACIDAD INTELECTUAL"/>
    <s v="6 MESES"/>
    <x v="1"/>
    <x v="0"/>
    <x v="1"/>
    <s v="SH76"/>
    <x v="2074"/>
    <s v="S"/>
    <s v="N"/>
    <s v="S"/>
    <s v="N"/>
  </r>
  <r>
    <x v="13"/>
    <s v="120012"/>
    <s v="TRASLADOS DE CENTROS DE ATENCION PERSONAS DISCAPACIDAD INTELECTUAL"/>
    <s v="3 MESES"/>
    <x v="1"/>
    <x v="0"/>
    <x v="1"/>
    <s v="SIL4"/>
    <x v="2075"/>
    <s v="S"/>
    <s v="N"/>
    <s v="S"/>
    <s v="N"/>
  </r>
  <r>
    <x v="13"/>
    <s v="120014"/>
    <s v="INGRESO EN CENTROS DE ATENCION A PERSONAS CON DISCAPACIDAD FISICA"/>
    <s v="6 MESES"/>
    <x v="1"/>
    <x v="0"/>
    <x v="1"/>
    <s v="SISG"/>
    <x v="2076"/>
    <s v="S"/>
    <s v="N"/>
    <s v="S"/>
    <s v="N"/>
  </r>
  <r>
    <x v="13"/>
    <s v="120015"/>
    <s v="PERMUTA EN CENTROS DE ATENCION A PERSONAS CON DISCAPACIDAD FISICA"/>
    <s v="6 MESES"/>
    <x v="1"/>
    <x v="0"/>
    <x v="1"/>
    <s v="SISJ"/>
    <x v="2077"/>
    <s v="S"/>
    <s v="N"/>
    <s v="S"/>
    <s v="N"/>
  </r>
  <r>
    <x v="13"/>
    <s v="120017"/>
    <s v="ALOJAMIENTO TEMPORAL EN CENTROS DE ATENCION PERSONAS DISCAPACIDAD FISICA"/>
    <s v="1 MES"/>
    <x v="1"/>
    <x v="0"/>
    <x v="1"/>
    <s v="SISI"/>
    <x v="2078"/>
    <s v="S"/>
    <s v="N"/>
    <s v="S"/>
    <s v="N"/>
  </r>
  <r>
    <x v="13"/>
    <s v="120024"/>
    <s v="RECONOCIMIENTO DE DERECHO A PENSIONES NO CONTRIBUTIVAS DE LA SEGURIDAD SOCIAL POR INVALIDEZ Y A MAYORES DE 65 AÑOS"/>
    <s v="3 MESES"/>
    <x v="1"/>
    <x v="0"/>
    <x v="5"/>
    <s v="N664, S664"/>
    <x v="2079"/>
    <s v="S"/>
    <s v="N"/>
    <s v="S"/>
    <s v="N"/>
  </r>
  <r>
    <x v="13"/>
    <s v="120026"/>
    <s v="PRESTACIONES ECONOMICAS DERIVADAS DE LA LEY DE INTEGRACION SOCIAL DE MINUSVALIDOS"/>
    <s v="6 MESES"/>
    <x v="1"/>
    <x v="0"/>
    <x v="5"/>
    <s v="SH79"/>
    <x v="2080"/>
    <s v="S"/>
    <s v="N"/>
    <s v="S"/>
    <s v="N"/>
  </r>
  <r>
    <x v="13"/>
    <s v="120027"/>
    <s v="ADMISION EN SERVICIOS DE ESTANCIAS DIURNAS EN CENTROS DE MAYORES DE LA RED PUBLICA DE CASTILLA-LA MANCHA"/>
    <s v="6 MESES"/>
    <x v="1"/>
    <x v="0"/>
    <x v="6"/>
    <s v="NI33, SI33"/>
    <x v="2081"/>
    <s v="S"/>
    <s v="N"/>
    <s v="S"/>
    <s v="N"/>
  </r>
  <r>
    <x v="13"/>
    <s v="120030"/>
    <s v="RECONOCIMIENTO DE LA SITUACION DE DEPENDENCIA Y DEL DERECHO DE ACCESO A LOS SERVICIOS Y PRESTACIONES ECONOMICAS DEL SISTEMA PARA LA AUTONOMIA Y ATENCION A LA DEPENDENCIA EN CASTILLA LA MANCHA."/>
    <s v="6 MESES PARA MAYORES DE 6 AÑOS. _x000d__x000a_3 MESES PARA MENORES DE 6 AÑOS"/>
    <x v="1"/>
    <x v="0"/>
    <x v="77"/>
    <s v="NIYI, SIYI"/>
    <x v="2082"/>
    <s v="S"/>
    <s v="N"/>
    <s v="S"/>
    <s v="N"/>
  </r>
  <r>
    <x v="13"/>
    <s v="120033"/>
    <s v="TRASLADO EN CENTROS DE ATENCION PERSONAS CON DISCAPACIDAD FISICA"/>
    <s v="6 MESES"/>
    <x v="1"/>
    <x v="0"/>
    <x v="1"/>
    <s v="SISH"/>
    <x v="2083"/>
    <s v="S"/>
    <s v="N"/>
    <s v="S"/>
    <s v="N"/>
  </r>
  <r>
    <x v="13"/>
    <s v="120034"/>
    <s v="COMPLEMENTO PARA TITULARES DE PENSION NO CONTRIBUTIVA QUE RESIDAN EN UNA VIVIENDA ALQUILADA"/>
    <s v="3 MESES"/>
    <x v="1"/>
    <x v="0"/>
    <x v="5"/>
    <s v="NIZN, SIZN"/>
    <x v="2084"/>
    <s v="S"/>
    <s v="N"/>
    <s v="S"/>
    <s v="N"/>
  </r>
  <r>
    <x v="13"/>
    <s v="120040"/>
    <s v="SERVICIO DE TELEASISTENCIA"/>
    <s v="3 MESES"/>
    <x v="1"/>
    <x v="0"/>
    <x v="77"/>
    <s v="SJX5"/>
    <x v="2085"/>
    <s v="S"/>
    <s v="N"/>
    <s v="S"/>
    <s v="N"/>
  </r>
  <r>
    <x v="13"/>
    <s v="120041"/>
    <s v="PERMUTA ENTRE CENTROS DE ATENCION A PERSONAS CON DISCAPACIDAD INTELECTUAL"/>
    <s v="6 MESES"/>
    <x v="1"/>
    <x v="0"/>
    <x v="1"/>
    <s v="SJX7"/>
    <x v="2086"/>
    <s v="S"/>
    <s v="N"/>
    <s v="S"/>
    <s v="N"/>
  </r>
  <r>
    <x v="13"/>
    <s v="120042"/>
    <s v="ALOJAMIENTO TEMPORAL EN CENTROS DE ATENCION A PERSONAS CON DISCAPACIDAD INTELECTUAL."/>
    <s v="1 MES"/>
    <x v="1"/>
    <x v="0"/>
    <x v="1"/>
    <s v="SJX8"/>
    <x v="2087"/>
    <s v="S"/>
    <s v="N"/>
    <s v="S"/>
    <s v="N"/>
  </r>
  <r>
    <x v="13"/>
    <s v="120045"/>
    <s v="SOLICITUD DE REVISION EN EL MARCO DEL SISTEMA PARA LA AUTONOMIA Y ATENCION A LA DEPENDENCIA (SAAD)."/>
    <s v="6 MESES PARA  MAYORES DE 6 AÑOS. _x000d__x000a_3 MESES PARA MENORES DE 6 AÑOS"/>
    <x v="1"/>
    <x v="0"/>
    <x v="77"/>
    <s v="NK67, SK67"/>
    <x v="2088"/>
    <s v="S"/>
    <s v="N"/>
    <s v="S"/>
    <s v="N"/>
  </r>
  <r>
    <x v="13"/>
    <s v="120057"/>
    <s v="ACCESO AL SERVICIO DE ATENCION TEMPRANA"/>
    <s v=""/>
    <x v="2"/>
    <x v="0"/>
    <x v="2"/>
    <s v="SLOY"/>
    <x v="2089"/>
    <s v="S"/>
    <s v="N"/>
    <s v="S"/>
    <s v="N"/>
  </r>
  <r>
    <x v="13"/>
    <s v="150032"/>
    <s v="CONCIERTO SOCIAL PARA LA GESTION DE SERVICIOS SOCIALES Y ATENCION A LAS PERSONAS EN SITUACION DE DEPENDENCIA EN CASTILLA LA MANCHA"/>
    <s v="3 MESES"/>
    <x v="1"/>
    <x v="0"/>
    <x v="6"/>
    <s v="SLPW"/>
    <x v="2090"/>
    <s v="N"/>
    <s v="N"/>
    <s v="S"/>
    <s v="N"/>
  </r>
  <r>
    <x v="13"/>
    <s v="155737"/>
    <s v="SOLICITUD DE CONVENIO UNIFICADO CON LAS ENTIDADES LOCALES  PARA LA PRESTACION DE SERVICIOS SOCIALES DE ATENCION PRIMARIA"/>
    <s v=""/>
    <x v="2"/>
    <x v="0"/>
    <x v="3"/>
    <s v="SKOI"/>
    <x v="2091"/>
    <s v="N"/>
    <s v="N"/>
    <s v="S"/>
    <s v="N"/>
  </r>
  <r>
    <x v="13"/>
    <s v="180157"/>
    <s v="PROVISION DE PUESTOS POR EL PROCEDIMIENTO DE LIBRE DESIGNACION (CONSEJERIA DE BIENESTAR SOCIAL)"/>
    <s v="DOS MESES"/>
    <x v="1"/>
    <x v="0"/>
    <x v="0"/>
    <s v="SKLJ"/>
    <x v="2092"/>
    <s v="N"/>
    <s v="N"/>
    <s v="S"/>
    <s v="N"/>
  </r>
  <r>
    <x v="13"/>
    <s v="180174"/>
    <s v="CONVOCATORIA DE CONCURSO SINGULARIZADO DE MERITOS PARA LA PROVISION DE PUESTOS DE TRABAJO VACANTES EN LA ADMINISTRACION DE LA JUNTA DE COMUNIDADES DE CASTILLA-LA MANCHA."/>
    <s v="4 MESES"/>
    <x v="1"/>
    <x v="0"/>
    <x v="0"/>
    <s v="RL7E, SL7E"/>
    <x v="2093"/>
    <s v="N"/>
    <s v="N"/>
    <s v="S"/>
    <s v="N"/>
  </r>
  <r>
    <x v="13"/>
    <s v="200001"/>
    <s v="VALORACION DE LA IDONEIDAD DE LAS PERSONAS QUE SE OFRECEN PARA LA ADOPCION"/>
    <s v="6 MESES"/>
    <x v="1"/>
    <x v="0"/>
    <x v="4"/>
    <s v="N777, S777"/>
    <x v="2094"/>
    <s v="S"/>
    <s v="N"/>
    <s v="S"/>
    <s v="N"/>
  </r>
  <r>
    <x v="13"/>
    <s v="200002"/>
    <s v="SELECCION Y VALORACION DE FAMILIAS ACOGEDORAS"/>
    <s v="3 MESES"/>
    <x v="1"/>
    <x v="0"/>
    <x v="4"/>
    <s v="S778"/>
    <x v="2095"/>
    <s v="S"/>
    <s v="N"/>
    <s v="S"/>
    <s v="N"/>
  </r>
  <r>
    <x v="13"/>
    <s v="200004"/>
    <s v="INFORME PARA DESPLAZAMIENTO TEMPORAL DE MENORES EXTRANJEROS"/>
    <s v="3 MESES"/>
    <x v="1"/>
    <x v="0"/>
    <x v="4"/>
    <s v="SJRK"/>
    <x v="2096"/>
    <s v="S"/>
    <s v="N"/>
    <s v="S"/>
    <s v="N"/>
  </r>
  <r>
    <x v="13"/>
    <s v="200007"/>
    <s v="PROCESO SELECTIVO PARA DESIGNACION DE LOS VOCALES DEL CONSEJO REGIONAL DE INFANCIA Y FAMILIA DE CASTILLA-LA MANCHA EN REPRESENTACION DE LAS ENTIDADES SIN FIN DE LUCRO MAS REPRESENTATIVAS EN LA REGION Y DE LAS FEDERACIONES O ASOCIACIONES DE FAMILIAS."/>
    <s v="3 MESES"/>
    <x v="1"/>
    <x v="0"/>
    <x v="4"/>
    <s v="SLB5"/>
    <x v="2097"/>
    <s v="N"/>
    <s v="N"/>
    <s v="S"/>
    <s v="N"/>
  </r>
  <r>
    <x v="13"/>
    <s v="205378"/>
    <s v="INFORME DE SEGUIMIENTO POSTADOPTIVO DE ADOPCION INTERNACIONAL DE NIÑOS Y NIÑAS"/>
    <s v="6 MESES"/>
    <x v="1"/>
    <x v="0"/>
    <x v="4"/>
    <s v="BLB4"/>
    <x v="2098"/>
    <s v="N"/>
    <s v="N"/>
    <s v="S"/>
    <s v="N"/>
  </r>
  <r>
    <x v="13"/>
    <s v="205379"/>
    <s v="ADOPCION INTERNACIONAL DE NIÑOS Y NIÑAS"/>
    <s v="6 MESES"/>
    <x v="1"/>
    <x v="0"/>
    <x v="4"/>
    <s v="NC29, SC29"/>
    <x v="2099"/>
    <s v="S"/>
    <s v="N"/>
    <s v="S"/>
    <s v="N"/>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TablaDinámica1" cacheId="10427" applyNumberFormats="0" applyBorderFormats="0" applyFontFormats="0" applyPatternFormats="0" applyAlignmentFormats="0" applyWidthHeightFormats="1" dataCaption="Datos" updatedVersion="8" showMemberPropertyTips="0" useAutoFormatting="1" itemPrintTitles="1" createdVersion="1" indent="0" compact="0" compactData="0" gridDropZones="1">
  <location ref="A5:C21" firstHeaderRow="1" firstDataRow="2" firstDataCol="1" rowPageCount="3" colPageCount="1"/>
  <pivotFields count="13">
    <pivotField axis="axisRow" compact="0" outline="0" subtotalTop="0" showAll="0" includeNewItemsInFilter="1" defaultSubtotal="0">
      <items count="14">
        <item x="5"/>
        <item x="6"/>
        <item x="13"/>
        <item x="4"/>
        <item x="1"/>
        <item x="8"/>
        <item x="9"/>
        <item x="2"/>
        <item x="10"/>
        <item x="11"/>
        <item x="7"/>
        <item x="0"/>
        <item x="3"/>
        <item x="12"/>
      </items>
    </pivotField>
    <pivotField compact="0" outline="0" showAll="0" includeNewItemsInFilter="1" sortType="descending">
      <autoSortScope>
        <pivotArea dataOnly="0" outline="0" fieldPosition="0">
          <references count="1">
            <reference field="4294967294" count="1" selected="0">
              <x v="1"/>
            </reference>
          </references>
        </pivotArea>
      </autoSortScope>
    </pivotField>
    <pivotField compact="0" outline="0" showAll="0" includeNewItemsInFilter="1"/>
    <pivotField compact="0" outline="0" showAll="0" includeNewItemsInFilter="1" sortType="descending">
      <autoSortScope>
        <pivotArea dataOnly="0" outline="0" fieldPosition="0">
          <references count="1">
            <reference field="4294967294" count="1" selected="0">
              <x v="1"/>
            </reference>
          </references>
        </pivotArea>
      </autoSortScope>
    </pivotField>
    <pivotField axis="axisPage" compact="0" outline="0" showAll="0" includeNewItemsInFilter="1">
      <items count="7">
        <item x="2"/>
        <item x="4"/>
        <item x="5"/>
        <item x="3"/>
        <item x="1"/>
        <item x="0"/>
        <item t="default"/>
      </items>
    </pivotField>
    <pivotField axis="axisPage" compact="0" outline="0" showAll="0" includeNewItemsInFilter="1" sortType="descending">
      <items count="14">
        <item x="5"/>
        <item x="6"/>
        <item x="0"/>
        <item x="4"/>
        <item x="1"/>
        <item x="8"/>
        <item x="9"/>
        <item x="2"/>
        <item x="3"/>
        <item x="10"/>
        <item x="11"/>
        <item x="7"/>
        <item x="12"/>
        <item t="default"/>
      </items>
      <autoSortScope>
        <pivotArea dataOnly="0" outline="0" fieldPosition="0">
          <references count="1">
            <reference field="4294967294" count="1" selected="0">
              <x v="1"/>
            </reference>
          </references>
        </pivotArea>
      </autoSortScope>
    </pivotField>
    <pivotField axis="axisPage" compact="0" outline="0" showAll="0" includeNewItemsInFilter="1" sortType="descending">
      <items count="79">
        <item x="38"/>
        <item x="44"/>
        <item x="2"/>
        <item x="36"/>
        <item x="11"/>
        <item x="55"/>
        <item x="62"/>
        <item x="24"/>
        <item x="28"/>
        <item x="56"/>
        <item x="3"/>
        <item x="21"/>
        <item x="35"/>
        <item x="40"/>
        <item x="41"/>
        <item x="67"/>
        <item x="9"/>
        <item x="57"/>
        <item x="34"/>
        <item x="69"/>
        <item x="39"/>
        <item x="1"/>
        <item x="32"/>
        <item x="13"/>
        <item x="52"/>
        <item x="10"/>
        <item x="18"/>
        <item x="27"/>
        <item x="48"/>
        <item x="4"/>
        <item x="47"/>
        <item x="6"/>
        <item x="31"/>
        <item x="61"/>
        <item x="25"/>
        <item x="20"/>
        <item x="43"/>
        <item x="12"/>
        <item x="16"/>
        <item x="66"/>
        <item x="53"/>
        <item x="26"/>
        <item x="30"/>
        <item x="59"/>
        <item x="17"/>
        <item x="7"/>
        <item x="54"/>
        <item x="58"/>
        <item x="65"/>
        <item x="23"/>
        <item x="72"/>
        <item x="71"/>
        <item x="75"/>
        <item x="76"/>
        <item x="70"/>
        <item x="74"/>
        <item x="63"/>
        <item x="64"/>
        <item x="46"/>
        <item x="22"/>
        <item x="42"/>
        <item x="0"/>
        <item x="19"/>
        <item x="37"/>
        <item x="14"/>
        <item x="50"/>
        <item x="60"/>
        <item x="29"/>
        <item x="73"/>
        <item x="68"/>
        <item x="51"/>
        <item x="15"/>
        <item x="49"/>
        <item x="8"/>
        <item x="33"/>
        <item x="45"/>
        <item x="77"/>
        <item x="5"/>
        <item t="default"/>
      </items>
      <autoSortScope>
        <pivotArea dataOnly="0" outline="0" fieldPosition="0">
          <references count="1">
            <reference field="4294967294" count="1" selected="0">
              <x v="1"/>
            </reference>
          </references>
        </pivotArea>
      </autoSortScope>
    </pivotField>
    <pivotField dataField="1" compact="0" outline="0" showAll="0" includeNewItemsInFilter="1"/>
    <pivotField compact="0" outline="0" showAll="0" includeNewItemsInFilter="1">
      <items count="2101">
        <item x="695"/>
        <item x="1489"/>
        <item x="1715"/>
        <item x="1736"/>
        <item x="1724"/>
        <item x="1733"/>
        <item x="211"/>
        <item x="1879"/>
        <item x="1114"/>
        <item x="1768"/>
        <item x="400"/>
        <item x="2089"/>
        <item x="397"/>
        <item x="1896"/>
        <item x="595"/>
        <item x="1288"/>
        <item x="1279"/>
        <item x="1375"/>
        <item x="1314"/>
        <item x="1324"/>
        <item x="1309"/>
        <item x="1809"/>
        <item x="1914"/>
        <item x="1125"/>
        <item x="719"/>
        <item x="725"/>
        <item x="302"/>
        <item x="2061"/>
        <item x="319"/>
        <item x="2062"/>
        <item x="2066"/>
        <item x="1633"/>
        <item x="711"/>
        <item x="5"/>
        <item x="414"/>
        <item x="833"/>
        <item x="855"/>
        <item x="1073"/>
        <item x="1209"/>
        <item x="898"/>
        <item x="901"/>
        <item x="896"/>
        <item x="1058"/>
        <item x="547"/>
        <item x="552"/>
        <item x="553"/>
        <item x="494"/>
        <item x="500"/>
        <item x="1074"/>
        <item x="1460"/>
        <item x="501"/>
        <item x="517"/>
        <item x="57"/>
        <item x="1521"/>
        <item x="1520"/>
        <item x="1010"/>
        <item x="1605"/>
        <item x="1593"/>
        <item x="1562"/>
        <item x="1564"/>
        <item x="1561"/>
        <item x="1560"/>
        <item x="1592"/>
        <item x="1580"/>
        <item x="1584"/>
        <item x="1599"/>
        <item x="1578"/>
        <item x="1604"/>
        <item x="1620"/>
        <item x="2071"/>
        <item x="1601"/>
        <item x="1476"/>
        <item x="2081"/>
        <item x="421"/>
        <item x="2094"/>
        <item x="2099"/>
        <item x="611"/>
        <item x="608"/>
        <item x="609"/>
        <item x="709"/>
        <item x="1753"/>
        <item x="1755"/>
        <item x="1000"/>
        <item x="996"/>
        <item x="2087"/>
        <item x="2078"/>
        <item x="1465"/>
        <item x="1156"/>
        <item x="1464"/>
        <item x="1113"/>
        <item x="407"/>
        <item x="1214"/>
        <item x="347"/>
        <item x="345"/>
        <item x="1024"/>
        <item x="1030"/>
        <item x="1691"/>
        <item x="1338"/>
        <item x="814"/>
        <item x="399"/>
        <item x="1821"/>
        <item x="559"/>
        <item x="560"/>
        <item x="1955"/>
        <item x="562"/>
        <item x="1441"/>
        <item x="521"/>
        <item x="520"/>
        <item x="715"/>
        <item x="587"/>
        <item x="588"/>
        <item x="875"/>
        <item x="974"/>
        <item x="1685"/>
        <item x="1591"/>
        <item x="434"/>
        <item x="423"/>
        <item x="426"/>
        <item x="1023"/>
        <item x="1046"/>
        <item x="1019"/>
        <item x="75"/>
        <item x="1064"/>
        <item x="1123"/>
        <item x="1015"/>
        <item x="1746"/>
        <item x="845"/>
        <item x="793"/>
        <item x="1711"/>
        <item x="826"/>
        <item x="1021"/>
        <item x="858"/>
        <item x="768"/>
        <item x="607"/>
        <item x="1257"/>
        <item x="829"/>
        <item x="1271"/>
        <item x="1622"/>
        <item x="1094"/>
        <item x="338"/>
        <item x="372"/>
        <item x="354"/>
        <item x="1667"/>
        <item x="772"/>
        <item x="1036"/>
        <item x="0"/>
        <item x="750"/>
        <item x="4"/>
        <item x="758"/>
        <item x="1692"/>
        <item x="755"/>
        <item x="756"/>
        <item x="757"/>
        <item x="749"/>
        <item x="751"/>
        <item x="1154"/>
        <item x="797"/>
        <item x="1397"/>
        <item x="652"/>
        <item x="662"/>
        <item x="812"/>
        <item x="1137"/>
        <item x="1662"/>
        <item x="1110"/>
        <item x="687"/>
        <item x="689"/>
        <item x="351"/>
        <item x="370"/>
        <item x="648"/>
        <item x="349"/>
        <item x="336"/>
        <item x="337"/>
        <item x="780"/>
        <item x="335"/>
        <item x="852"/>
        <item x="1439"/>
        <item x="1437"/>
        <item x="1438"/>
        <item x="785"/>
        <item x="1033"/>
        <item x="1185"/>
        <item x="1676"/>
        <item x="744"/>
        <item x="1681"/>
        <item x="1563"/>
        <item x="1678"/>
        <item x="668"/>
        <item x="685"/>
        <item x="623"/>
        <item x="693"/>
        <item x="646"/>
        <item x="640"/>
        <item x="754"/>
        <item x="1959"/>
        <item x="359"/>
        <item x="1957"/>
        <item x="1956"/>
        <item x="862"/>
        <item x="804"/>
        <item x="863"/>
        <item x="343"/>
        <item x="1115"/>
        <item x="1683"/>
        <item x="825"/>
        <item x="21"/>
        <item x="366"/>
        <item x="1134"/>
        <item x="340"/>
        <item x="1661"/>
        <item x="767"/>
        <item x="1122"/>
        <item x="741"/>
        <item x="636"/>
        <item x="630"/>
        <item x="864"/>
        <item x="1016"/>
        <item x="381"/>
        <item x="1014"/>
        <item x="624"/>
        <item x="341"/>
        <item x="691"/>
        <item x="626"/>
        <item x="644"/>
        <item x="639"/>
        <item x="628"/>
        <item x="376"/>
        <item x="690"/>
        <item x="625"/>
        <item x="656"/>
        <item x="675"/>
        <item x="680"/>
        <item x="664"/>
        <item x="633"/>
        <item x="632"/>
        <item x="375"/>
        <item x="1670"/>
        <item x="618"/>
        <item x="776"/>
        <item x="1057"/>
        <item x="854"/>
        <item x="1443"/>
        <item x="865"/>
        <item x="344"/>
        <item x="1129"/>
        <item x="1130"/>
        <item x="1121"/>
        <item x="844"/>
        <item x="674"/>
        <item x="681"/>
        <item x="665"/>
        <item x="645"/>
        <item x="692"/>
        <item x="650"/>
        <item x="620"/>
        <item x="676"/>
        <item x="666"/>
        <item x="682"/>
        <item x="371"/>
        <item x="1663"/>
        <item x="788"/>
        <item x="784"/>
        <item x="1682"/>
        <item x="802"/>
        <item x="365"/>
        <item x="1106"/>
        <item x="19"/>
        <item x="777"/>
        <item x="1109"/>
        <item x="766"/>
        <item x="1444"/>
        <item x="677"/>
        <item x="683"/>
        <item x="667"/>
        <item x="679"/>
        <item x="684"/>
        <item x="669"/>
        <item x="1176"/>
        <item x="350"/>
        <item x="355"/>
        <item x="769"/>
        <item x="745"/>
        <item x="601"/>
        <item x="1668"/>
        <item x="753"/>
        <item x="621"/>
        <item x="1105"/>
        <item x="782"/>
        <item x="1672"/>
        <item x="1674"/>
        <item x="1677"/>
        <item x="1675"/>
        <item x="1669"/>
        <item x="1671"/>
        <item x="635"/>
        <item x="622"/>
        <item x="627"/>
        <item x="1127"/>
        <item x="801"/>
        <item x="1680"/>
        <item x="1120"/>
        <item x="1666"/>
        <item x="1107"/>
        <item x="837"/>
        <item x="1656"/>
        <item x="442"/>
        <item x="1165"/>
        <item x="1203"/>
        <item x="783"/>
        <item x="773"/>
        <item x="1150"/>
        <item x="619"/>
        <item x="378"/>
        <item x="362"/>
        <item x="1664"/>
        <item x="1031"/>
        <item x="779"/>
        <item x="730"/>
        <item x="1694"/>
        <item x="30"/>
        <item x="775"/>
        <item x="809"/>
        <item x="46"/>
        <item x="1175"/>
        <item x="873"/>
        <item x="857"/>
        <item x="1665"/>
        <item x="1135"/>
        <item x="27"/>
        <item x="1111"/>
        <item x="810"/>
        <item x="1142"/>
        <item x="1693"/>
        <item x="1688"/>
        <item x="870"/>
        <item x="1180"/>
        <item x="781"/>
        <item x="1104"/>
        <item x="1964"/>
        <item x="334"/>
        <item x="1941"/>
        <item x="634"/>
        <item x="834"/>
        <item x="759"/>
        <item x="760"/>
        <item x="1128"/>
        <item x="770"/>
        <item x="1227"/>
        <item x="839"/>
        <item x="1385"/>
        <item x="860"/>
        <item x="820"/>
        <item x="1032"/>
        <item x="1673"/>
        <item x="1686"/>
        <item x="1365"/>
        <item x="1244"/>
        <item x="154"/>
        <item x="1327"/>
        <item x="264"/>
        <item x="963"/>
        <item x="272"/>
        <item x="1500"/>
        <item x="1496"/>
        <item x="1737"/>
        <item x="948"/>
        <item x="219"/>
        <item x="124"/>
        <item x="142"/>
        <item x="150"/>
        <item x="1806"/>
        <item x="1373"/>
        <item x="1280"/>
        <item x="1731"/>
        <item x="1341"/>
        <item x="1782"/>
        <item x="1714"/>
        <item x="1333"/>
        <item x="1708"/>
        <item x="1707"/>
        <item x="1537"/>
        <item x="1238"/>
        <item x="1807"/>
        <item x="1709"/>
        <item x="1377"/>
        <item x="1717"/>
        <item x="1260"/>
        <item x="1268"/>
        <item x="181"/>
        <item x="8"/>
        <item x="956"/>
        <item x="9"/>
        <item x="261"/>
        <item x="260"/>
        <item x="1492"/>
        <item x="1294"/>
        <item x="1776"/>
        <item x="1528"/>
        <item x="257"/>
        <item x="967"/>
        <item x="145"/>
        <item x="224"/>
        <item x="157"/>
        <item x="1712"/>
        <item x="143"/>
        <item x="153"/>
        <item x="10"/>
        <item x="7"/>
        <item x="1249"/>
        <item x="1310"/>
        <item x="1239"/>
        <item x="1243"/>
        <item x="117"/>
        <item x="1472"/>
        <item x="412"/>
        <item x="955"/>
        <item x="256"/>
        <item x="968"/>
        <item x="152"/>
        <item x="1246"/>
        <item x="259"/>
        <item x="1789"/>
        <item x="1793"/>
        <item x="132"/>
        <item x="1292"/>
        <item x="179"/>
        <item x="1317"/>
        <item x="1316"/>
        <item x="1313"/>
        <item x="1323"/>
        <item x="1363"/>
        <item x="1312"/>
        <item x="258"/>
        <item x="1490"/>
        <item x="180"/>
        <item x="206"/>
        <item x="973"/>
        <item x="1504"/>
        <item x="1704"/>
        <item x="191"/>
        <item x="190"/>
        <item x="1803"/>
        <item x="1802"/>
        <item x="1285"/>
        <item x="1263"/>
        <item x="1710"/>
        <item x="1283"/>
        <item x="1491"/>
        <item x="1480"/>
        <item x="218"/>
        <item x="1002"/>
        <item x="998"/>
        <item x="1910"/>
        <item x="262"/>
        <item x="297"/>
        <item x="234"/>
        <item x="1775"/>
        <item x="1859"/>
        <item x="1900"/>
        <item x="1887"/>
        <item x="1892"/>
        <item x="1894"/>
        <item x="1112"/>
        <item x="747"/>
        <item x="748"/>
        <item x="746"/>
        <item x="114"/>
        <item x="380"/>
        <item x="1486"/>
        <item x="1785"/>
        <item x="187"/>
        <item x="1589"/>
        <item x="1610"/>
        <item x="1061"/>
        <item x="813"/>
        <item x="1573"/>
        <item x="1396"/>
        <item x="96"/>
        <item x="99"/>
        <item x="1416"/>
        <item x="1419"/>
        <item x="1417"/>
        <item x="1418"/>
        <item x="1739"/>
        <item x="1738"/>
        <item x="585"/>
        <item x="586"/>
        <item x="311"/>
        <item x="803"/>
        <item x="980"/>
        <item x="984"/>
        <item x="39"/>
        <item x="323"/>
        <item x="1689"/>
        <item x="103"/>
        <item x="938"/>
        <item x="939"/>
        <item x="905"/>
        <item x="408"/>
        <item x="1811"/>
        <item x="1025"/>
        <item x="1461"/>
        <item x="894"/>
        <item x="1163"/>
        <item x="1053"/>
        <item x="717"/>
        <item x="718"/>
        <item x="729"/>
        <item x="465"/>
        <item x="1390"/>
        <item x="1389"/>
        <item x="583"/>
        <item x="726"/>
        <item x="1035"/>
        <item x="437"/>
        <item x="1413"/>
        <item x="1040"/>
        <item x="1402"/>
        <item x="316"/>
        <item x="716"/>
        <item x="447"/>
        <item x="448"/>
        <item x="1403"/>
        <item x="584"/>
        <item x="305"/>
        <item x="581"/>
        <item x="1391"/>
        <item x="1041"/>
        <item x="43"/>
        <item x="1767"/>
        <item x="678"/>
        <item x="1773"/>
        <item x="605"/>
        <item x="606"/>
        <item x="333"/>
        <item x="1295"/>
        <item x="1936"/>
        <item x="367"/>
        <item x="368"/>
        <item x="446"/>
        <item x="1647"/>
        <item x="512"/>
        <item x="2084"/>
        <item x="846"/>
        <item x="1655"/>
        <item x="1166"/>
        <item x="1141"/>
        <item x="1144"/>
        <item x="728"/>
        <item x="631"/>
        <item x="1698"/>
        <item x="843"/>
        <item x="1235"/>
        <item x="20"/>
        <item x="1043"/>
        <item x="817"/>
        <item x="818"/>
        <item x="819"/>
        <item x="827"/>
        <item x="1184"/>
        <item x="835"/>
        <item x="742"/>
        <item x="113"/>
        <item x="58"/>
        <item x="651"/>
        <item x="657"/>
        <item x="643"/>
        <item x="1132"/>
        <item x="3"/>
        <item x="872"/>
        <item x="1301"/>
        <item x="987"/>
        <item x="972"/>
        <item x="979"/>
        <item x="1248"/>
        <item x="1250"/>
        <item x="1352"/>
        <item x="48"/>
        <item x="52"/>
        <item x="1173"/>
        <item x="97"/>
        <item x="931"/>
        <item x="14"/>
        <item x="72"/>
        <item x="663"/>
        <item x="927"/>
        <item x="661"/>
        <item x="320"/>
        <item x="806"/>
        <item x="575"/>
        <item x="34"/>
        <item x="1140"/>
        <item x="655"/>
        <item x="108"/>
        <item x="26"/>
        <item x="1160"/>
        <item x="653"/>
        <item x="339"/>
        <item x="660"/>
        <item x="1699"/>
        <item x="1172"/>
        <item x="808"/>
        <item x="815"/>
        <item x="907"/>
        <item x="1276"/>
        <item x="908"/>
        <item x="752"/>
        <item x="642"/>
        <item x="774"/>
        <item x="1131"/>
        <item x="1187"/>
        <item x="637"/>
        <item x="1273"/>
        <item x="1133"/>
        <item x="45"/>
        <item x="723"/>
        <item x="1287"/>
        <item x="1726"/>
        <item x="1721"/>
        <item x="1716"/>
        <item x="1732"/>
        <item x="1065"/>
        <item x="1943"/>
        <item x="310"/>
        <item x="798"/>
        <item x="688"/>
        <item x="686"/>
        <item x="698"/>
        <item x="1222"/>
        <item x="928"/>
        <item x="1181"/>
        <item x="1183"/>
        <item x="1182"/>
        <item x="578"/>
        <item x="1635"/>
        <item x="828"/>
        <item x="1145"/>
        <item x="823"/>
        <item x="1149"/>
        <item x="647"/>
        <item x="722"/>
        <item x="850"/>
        <item x="856"/>
        <item x="1152"/>
        <item x="102"/>
        <item x="1186"/>
        <item x="25"/>
        <item x="1174"/>
        <item x="659"/>
        <item x="1151"/>
        <item x="1332"/>
        <item x="1366"/>
        <item x="23"/>
        <item x="1234"/>
        <item x="853"/>
        <item x="877"/>
        <item x="923"/>
        <item x="831"/>
        <item x="47"/>
        <item x="598"/>
        <item x="1194"/>
        <item x="1195"/>
        <item x="1342"/>
        <item x="383"/>
        <item x="732"/>
        <item x="1136"/>
        <item x="385"/>
        <item x="384"/>
        <item x="649"/>
        <item x="73"/>
        <item x="369"/>
        <item x="842"/>
        <item x="840"/>
        <item x="672"/>
        <item x="54"/>
        <item x="60"/>
        <item x="63"/>
        <item x="836"/>
        <item x="838"/>
        <item x="17"/>
        <item x="16"/>
        <item x="15"/>
        <item x="670"/>
        <item x="118"/>
        <item x="791"/>
        <item x="1148"/>
        <item x="800"/>
        <item x="1483"/>
        <item x="307"/>
        <item x="1777"/>
        <item x="308"/>
        <item x="146"/>
        <item x="2030"/>
        <item x="125"/>
        <item x="2025"/>
        <item x="138"/>
        <item x="168"/>
        <item x="1800"/>
        <item x="151"/>
        <item x="149"/>
        <item x="2032"/>
        <item x="1771"/>
        <item x="1627"/>
        <item x="1628"/>
        <item x="1629"/>
        <item x="557"/>
        <item x="590"/>
        <item x="568"/>
        <item x="589"/>
        <item x="471"/>
        <item x="1097"/>
        <item x="1267"/>
        <item x="1262"/>
        <item x="1252"/>
        <item x="1240"/>
        <item x="1965"/>
        <item x="1968"/>
        <item x="822"/>
        <item x="1098"/>
        <item x="1095"/>
        <item x="1626"/>
        <item x="1607"/>
        <item x="1614"/>
        <item x="1615"/>
        <item x="427"/>
        <item x="415"/>
        <item x="346"/>
        <item x="1596"/>
        <item x="714"/>
        <item x="638"/>
        <item x="1079"/>
        <item x="470"/>
        <item x="466"/>
        <item x="464"/>
        <item x="419"/>
        <item x="1394"/>
        <item x="1087"/>
        <item x="1938"/>
        <item x="1781"/>
        <item x="576"/>
        <item x="475"/>
        <item x="1081"/>
        <item x="228"/>
        <item x="1657"/>
        <item x="594"/>
        <item x="571"/>
        <item x="564"/>
        <item x="567"/>
        <item x="1432"/>
        <item x="579"/>
        <item x="1844"/>
        <item x="1791"/>
        <item x="1790"/>
        <item x="1792"/>
        <item x="1780"/>
        <item x="1783"/>
        <item x="1779"/>
        <item x="1788"/>
        <item x="1649"/>
        <item x="2090"/>
        <item x="2070"/>
        <item x="2093"/>
        <item x="1642"/>
        <item x="1641"/>
        <item x="1770"/>
        <item x="1501"/>
        <item x="1632"/>
        <item x="580"/>
        <item x="573"/>
        <item x="592"/>
        <item x="1801"/>
        <item x="1784"/>
        <item x="1008"/>
        <item x="1007"/>
        <item x="1484"/>
        <item x="1471"/>
        <item x="1498"/>
        <item x="1646"/>
        <item x="1651"/>
        <item x="1648"/>
        <item x="1645"/>
        <item x="275"/>
        <item x="1570"/>
        <item x="1798"/>
        <item x="417"/>
        <item x="1495"/>
        <item x="1778"/>
        <item x="1481"/>
        <item x="1482"/>
        <item x="1804"/>
        <item x="1805"/>
        <item x="197"/>
        <item x="566"/>
        <item x="1494"/>
        <item x="1507"/>
        <item x="1624"/>
        <item x="596"/>
        <item x="523"/>
        <item x="593"/>
        <item x="1009"/>
        <item x="597"/>
        <item x="418"/>
        <item x="1533"/>
        <item x="1447"/>
        <item x="548"/>
        <item x="2092"/>
        <item x="591"/>
        <item x="1559"/>
        <item x="1921"/>
        <item x="1517"/>
        <item x="1795"/>
        <item x="487"/>
        <item x="486"/>
        <item x="488"/>
        <item x="491"/>
        <item x="476"/>
        <item x="490"/>
        <item x="489"/>
        <item x="327"/>
        <item x="1912"/>
        <item x="342"/>
        <item x="1462"/>
        <item x="358"/>
        <item x="424"/>
        <item x="522"/>
        <item x="942"/>
        <item x="524"/>
        <item x="525"/>
        <item x="1911"/>
        <item x="457"/>
        <item x="1093"/>
        <item x="796"/>
        <item x="1423"/>
        <item x="918"/>
        <item x="1050"/>
        <item x="1039"/>
        <item x="1022"/>
        <item x="1414"/>
        <item x="44"/>
        <item x="301"/>
        <item x="1372"/>
        <item x="1579"/>
        <item x="1740"/>
        <item x="712"/>
        <item x="1388"/>
        <item x="1412"/>
        <item x="1424"/>
        <item x="1028"/>
        <item x="318"/>
        <item x="1953"/>
        <item x="425"/>
        <item x="430"/>
        <item x="1169"/>
        <item x="1168"/>
        <item x="69"/>
        <item x="1013"/>
        <item x="1017"/>
        <item x="536"/>
        <item x="1069"/>
        <item x="53"/>
        <item x="1597"/>
        <item x="1598"/>
        <item x="458"/>
        <item x="452"/>
        <item x="37"/>
        <item x="455"/>
        <item x="35"/>
        <item x="435"/>
        <item x="454"/>
        <item x="913"/>
        <item x="441"/>
        <item x="1055"/>
        <item x="50"/>
        <item x="40"/>
        <item x="36"/>
        <item x="51"/>
        <item x="699"/>
        <item x="453"/>
        <item x="49"/>
        <item x="450"/>
        <item x="451"/>
        <item x="805"/>
        <item x="459"/>
        <item x="456"/>
        <item x="462"/>
        <item x="463"/>
        <item x="460"/>
        <item x="461"/>
        <item x="112"/>
        <item x="1265"/>
        <item x="1049"/>
        <item x="1401"/>
        <item x="1052"/>
        <item x="18"/>
        <item x="731"/>
        <item x="1051"/>
        <item x="1116"/>
        <item x="55"/>
        <item x="62"/>
        <item x="65"/>
        <item x="59"/>
        <item x="56"/>
        <item x="61"/>
        <item x="64"/>
        <item x="71"/>
        <item x="449"/>
        <item x="32"/>
        <item x="943"/>
        <item x="944"/>
        <item x="1411"/>
        <item x="2024"/>
        <item x="2027"/>
        <item x="92"/>
        <item x="1459"/>
        <item x="1153"/>
        <item x="1026"/>
        <item x="673"/>
        <item x="1060"/>
        <item x="1045"/>
        <item x="1124"/>
        <item x="1155"/>
        <item x="895"/>
        <item x="1029"/>
        <item x="1090"/>
        <item x="1089"/>
        <item x="1091"/>
        <item x="1764"/>
        <item x="387"/>
        <item x="1349"/>
        <item x="1284"/>
        <item x="1298"/>
        <item x="1420"/>
        <item x="848"/>
        <item x="394"/>
        <item x="1909"/>
        <item x="428"/>
        <item x="1913"/>
        <item x="80"/>
        <item x="81"/>
        <item x="82"/>
        <item x="1772"/>
        <item x="604"/>
        <item x="1119"/>
        <item x="616"/>
        <item x="610"/>
        <item x="1867"/>
        <item x="329"/>
        <item x="79"/>
        <item x="78"/>
        <item x="77"/>
        <item x="1497"/>
        <item x="1038"/>
        <item x="1037"/>
        <item x="540"/>
        <item x="528"/>
        <item x="541"/>
        <item x="542"/>
        <item x="549"/>
        <item x="561"/>
        <item x="539"/>
        <item x="529"/>
        <item x="538"/>
        <item x="530"/>
        <item x="531"/>
        <item x="1952"/>
        <item x="422"/>
        <item x="1749"/>
        <item x="1750"/>
        <item x="1751"/>
        <item x="106"/>
        <item x="1404"/>
        <item x="105"/>
        <item x="1449"/>
        <item x="1384"/>
        <item x="1566"/>
        <item x="1161"/>
        <item x="1383"/>
        <item x="67"/>
        <item x="76"/>
        <item x="33"/>
        <item x="1897"/>
        <item x="1071"/>
        <item x="1903"/>
        <item x="1847"/>
        <item x="1849"/>
        <item x="1820"/>
        <item x="1899"/>
        <item x="1850"/>
        <item x="1863"/>
        <item x="1866"/>
        <item x="1854"/>
        <item x="1882"/>
        <item x="1864"/>
        <item x="1853"/>
        <item x="1852"/>
        <item x="1891"/>
        <item x="1858"/>
        <item x="1857"/>
        <item x="1851"/>
        <item x="1816"/>
        <item x="1845"/>
        <item x="1818"/>
        <item x="1822"/>
        <item x="1824"/>
        <item x="1825"/>
        <item x="1823"/>
        <item x="467"/>
        <item x="599"/>
        <item x="210"/>
        <item x="1846"/>
        <item x="198"/>
        <item x="1264"/>
        <item x="1618"/>
        <item x="326"/>
        <item x="615"/>
        <item x="468"/>
        <item x="1706"/>
        <item x="1705"/>
        <item x="2067"/>
        <item x="29"/>
        <item x="88"/>
        <item x="1754"/>
        <item x="1077"/>
        <item x="1745"/>
        <item x="115"/>
        <item x="824"/>
        <item x="1042"/>
        <item x="379"/>
        <item x="353"/>
        <item x="1625"/>
        <item x="28"/>
        <item x="502"/>
        <item x="509"/>
        <item x="508"/>
        <item x="506"/>
        <item x="504"/>
        <item x="1819"/>
        <item x="1902"/>
        <item x="1576"/>
        <item x="910"/>
        <item x="1164"/>
        <item x="1056"/>
        <item x="1078"/>
        <item x="436"/>
        <item x="518"/>
        <item x="519"/>
        <item x="734"/>
        <item x="794"/>
        <item x="2098"/>
        <item x="1915"/>
        <item x="1054"/>
        <item x="1422"/>
        <item x="2069"/>
        <item x="2068"/>
        <item x="444"/>
        <item x="1400"/>
        <item x="2076"/>
        <item x="2074"/>
        <item x="11"/>
        <item x="42"/>
        <item x="321"/>
        <item x="936"/>
        <item x="1206"/>
        <item x="111"/>
        <item x="100"/>
        <item x="935"/>
        <item x="933"/>
        <item x="934"/>
        <item x="937"/>
        <item x="1684"/>
        <item x="904"/>
        <item x="700"/>
        <item x="738"/>
        <item x="1696"/>
        <item x="1463"/>
        <item x="390"/>
        <item x="389"/>
        <item x="1695"/>
        <item x="89"/>
        <item x="1697"/>
        <item x="410"/>
        <item x="906"/>
        <item x="386"/>
        <item x="929"/>
        <item x="1382"/>
        <item x="1679"/>
        <item x="401"/>
        <item x="189"/>
        <item x="119"/>
        <item x="903"/>
        <item x="101"/>
        <item x="1213"/>
        <item x="926"/>
        <item x="1221"/>
        <item x="1228"/>
        <item x="915"/>
        <item x="516"/>
        <item x="515"/>
        <item x="514"/>
        <item x="614"/>
        <item x="532"/>
        <item x="570"/>
        <item x="544"/>
        <item x="577"/>
        <item x="569"/>
        <item x="543"/>
        <item x="556"/>
        <item x="274"/>
        <item x="241"/>
        <item x="244"/>
        <item x="243"/>
        <item x="278"/>
        <item x="280"/>
        <item x="273"/>
        <item x="285"/>
        <item x="231"/>
        <item x="298"/>
        <item x="1256"/>
        <item x="194"/>
        <item x="1797"/>
        <item x="1796"/>
        <item x="263"/>
        <item x="130"/>
        <item x="1550"/>
        <item x="1713"/>
        <item x="164"/>
        <item x="162"/>
        <item x="163"/>
        <item x="159"/>
        <item x="1529"/>
        <item x="1525"/>
        <item x="1511"/>
        <item x="2049"/>
        <item x="1510"/>
        <item x="1505"/>
        <item x="1506"/>
        <item x="136"/>
        <item x="1513"/>
        <item x="141"/>
        <item x="140"/>
        <item x="1512"/>
        <item x="223"/>
        <item x="213"/>
        <item x="265"/>
        <item x="1315"/>
        <item x="1319"/>
        <item x="1322"/>
        <item x="1364"/>
        <item x="1318"/>
        <item x="235"/>
        <item x="291"/>
        <item x="2047"/>
        <item x="2044"/>
        <item x="266"/>
        <item x="1311"/>
        <item x="1344"/>
        <item x="208"/>
        <item x="978"/>
        <item x="2035"/>
        <item x="2037"/>
        <item x="2042"/>
        <item x="249"/>
        <item x="253"/>
        <item x="248"/>
        <item x="1536"/>
        <item x="287"/>
        <item x="289"/>
        <item x="2040"/>
        <item x="282"/>
        <item x="293"/>
        <item x="255"/>
        <item x="160"/>
        <item x="161"/>
        <item x="977"/>
        <item x="1794"/>
        <item x="1451"/>
        <item x="735"/>
        <item x="1540"/>
        <item x="1544"/>
        <item x="209"/>
        <item x="192"/>
        <item x="1532"/>
        <item x="225"/>
        <item x="1509"/>
        <item x="1548"/>
        <item x="1554"/>
        <item x="1547"/>
        <item x="1553"/>
        <item x="2034"/>
        <item x="2046"/>
        <item x="1539"/>
        <item x="1527"/>
        <item x="431"/>
        <item x="1541"/>
        <item x="1659"/>
        <item x="832"/>
        <item x="555"/>
        <item x="554"/>
        <item x="1361"/>
        <item x="299"/>
        <item x="183"/>
        <item x="182"/>
        <item x="175"/>
        <item x="176"/>
        <item x="184"/>
        <item x="177"/>
        <item x="186"/>
        <item x="185"/>
        <item x="1637"/>
        <item x="236"/>
        <item x="127"/>
        <item x="126"/>
        <item x="1765"/>
        <item x="1979"/>
        <item x="932"/>
        <item x="1469"/>
        <item x="1470"/>
        <item x="31"/>
        <item x="861"/>
        <item x="859"/>
        <item x="95"/>
        <item x="270"/>
        <item x="269"/>
        <item x="222"/>
        <item x="205"/>
        <item x="203"/>
        <item x="1034"/>
        <item x="1906"/>
        <item x="1893"/>
        <item x="1862"/>
        <item x="1877"/>
        <item x="1874"/>
        <item x="1838"/>
        <item x="1836"/>
        <item x="1890"/>
        <item x="1856"/>
        <item x="1884"/>
        <item x="1885"/>
        <item x="1881"/>
        <item x="1883"/>
        <item x="1865"/>
        <item x="1840"/>
        <item x="1860"/>
        <item x="1831"/>
        <item x="1870"/>
        <item x="1830"/>
        <item x="1835"/>
        <item x="1873"/>
        <item x="1812"/>
        <item x="1829"/>
        <item x="991"/>
        <item x="2057"/>
        <item x="38"/>
        <item x="41"/>
        <item x="1088"/>
        <item x="602"/>
        <item x="322"/>
        <item x="786"/>
        <item x="799"/>
        <item x="1178"/>
        <item x="1277"/>
        <item x="1374"/>
        <item x="1719"/>
        <item x="1337"/>
        <item x="970"/>
        <item x="975"/>
        <item x="116"/>
        <item x="902"/>
        <item x="409"/>
        <item x="1410"/>
        <item x="1004"/>
        <item x="997"/>
        <item x="789"/>
        <item x="1308"/>
        <item x="1766"/>
        <item x="1762"/>
        <item x="830"/>
        <item x="1290"/>
        <item x="1245"/>
        <item x="373"/>
        <item x="377"/>
        <item x="1233"/>
        <item x="1216"/>
        <item x="1761"/>
        <item x="1760"/>
        <item x="1970"/>
        <item x="1971"/>
        <item x="1660"/>
        <item x="474"/>
        <item x="445"/>
        <item x="792"/>
        <item x="795"/>
        <item x="909"/>
        <item x="816"/>
        <item x="1147"/>
        <item x="641"/>
        <item x="1118"/>
        <item x="821"/>
        <item x="1027"/>
        <item x="790"/>
        <item x="866"/>
        <item x="911"/>
        <item x="1330"/>
        <item x="443"/>
        <item x="1583"/>
        <item x="1012"/>
        <item x="83"/>
        <item x="851"/>
        <item x="433"/>
        <item x="438"/>
        <item x="360"/>
        <item x="1171"/>
        <item x="1170"/>
        <item x="1126"/>
        <item x="710"/>
        <item x="1062"/>
        <item x="1011"/>
        <item x="473"/>
        <item x="1919"/>
        <item x="94"/>
        <item x="546"/>
        <item x="1020"/>
        <item x="762"/>
        <item x="761"/>
        <item x="763"/>
        <item x="765"/>
        <item x="764"/>
        <item x="582"/>
        <item x="1269"/>
        <item x="1270"/>
        <item x="1334"/>
        <item x="1307"/>
        <item x="1339"/>
        <item x="969"/>
        <item x="1325"/>
        <item x="1242"/>
        <item x="1340"/>
        <item x="324"/>
        <item x="1658"/>
        <item x="941"/>
        <item x="563"/>
        <item x="778"/>
        <item x="1503"/>
        <item x="737"/>
        <item x="1701"/>
        <item x="1108"/>
        <item x="2079"/>
        <item x="1286"/>
        <item x="1099"/>
        <item x="2077"/>
        <item x="2086"/>
        <item x="1493"/>
        <item x="1519"/>
        <item x="1518"/>
        <item x="558"/>
        <item x="411"/>
        <item x="1799"/>
        <item x="953"/>
        <item x="1508"/>
        <item x="1473"/>
        <item x="1488"/>
        <item x="1557"/>
        <item x="1522"/>
        <item x="1523"/>
        <item x="121"/>
        <item x="122"/>
        <item x="220"/>
        <item x="134"/>
        <item x="1475"/>
        <item x="1861"/>
        <item x="1189"/>
        <item x="403"/>
        <item x="1072"/>
        <item x="1774"/>
        <item x="1787"/>
        <item x="1190"/>
        <item x="1229"/>
        <item x="1901"/>
        <item x="1888"/>
        <item x="1457"/>
        <item x="1466"/>
        <item x="1456"/>
        <item x="1345"/>
        <item x="1092"/>
        <item x="1335"/>
        <item x="1241"/>
        <item x="999"/>
        <item x="1003"/>
        <item x="1336"/>
        <item x="1425"/>
        <item x="2080"/>
        <item x="1942"/>
        <item x="1619"/>
        <item x="550"/>
        <item x="551"/>
        <item x="1634"/>
        <item x="612"/>
        <item x="1445"/>
        <item x="1611"/>
        <item x="6"/>
        <item x="1950"/>
        <item x="1426"/>
        <item x="1643"/>
        <item x="1450"/>
        <item x="1585"/>
        <item x="1808"/>
        <item x="1586"/>
        <item x="325"/>
        <item x="1440"/>
        <item x="1612"/>
        <item x="406"/>
        <item x="1644"/>
        <item x="1603"/>
        <item x="1602"/>
        <item x="1616"/>
        <item x="1976"/>
        <item x="1975"/>
        <item x="1630"/>
        <item x="1636"/>
        <item x="1608"/>
        <item x="1609"/>
        <item x="480"/>
        <item x="1758"/>
        <item x="481"/>
        <item x="1757"/>
        <item x="482"/>
        <item x="483"/>
        <item x="493"/>
        <item x="2097"/>
        <item x="1973"/>
        <item x="1932"/>
        <item x="1924"/>
        <item x="478"/>
        <item x="479"/>
        <item x="484"/>
        <item x="1530"/>
        <item x="1531"/>
        <item x="2095"/>
        <item x="155"/>
        <item x="1756"/>
        <item x="1594"/>
        <item x="1725"/>
        <item x="2048"/>
        <item x="240"/>
        <item x="239"/>
        <item x="237"/>
        <item x="238"/>
        <item x="965"/>
        <item x="1588"/>
        <item x="1817"/>
        <item x="1869"/>
        <item x="1876"/>
        <item x="1878"/>
        <item x="1898"/>
        <item x="629"/>
        <item x="603"/>
        <item x="1962"/>
        <item x="1654"/>
        <item x="2010"/>
        <item x="2009"/>
        <item x="2005"/>
        <item x="1934"/>
        <item x="2001"/>
        <item x="1996"/>
        <item x="2004"/>
        <item x="2007"/>
        <item x="2008"/>
        <item x="2006"/>
        <item x="1989"/>
        <item x="1972"/>
        <item x="1810"/>
        <item x="1638"/>
        <item x="1640"/>
        <item x="740"/>
        <item x="332"/>
        <item x="1769"/>
        <item x="739"/>
        <item x="1923"/>
        <item x="1922"/>
        <item x="1434"/>
        <item x="1430"/>
        <item x="1433"/>
        <item x="1102"/>
        <item x="1103"/>
        <item x="1429"/>
        <item x="1961"/>
        <item x="1572"/>
        <item x="1568"/>
        <item x="1048"/>
        <item x="1742"/>
        <item x="1070"/>
        <item x="1063"/>
        <item x="1743"/>
        <item x="1590"/>
        <item x="1574"/>
        <item x="1571"/>
        <item x="1569"/>
        <item x="1744"/>
        <item x="1577"/>
        <item x="1613"/>
        <item x="617"/>
        <item x="1080"/>
        <item x="348"/>
        <item x="1987"/>
        <item x="1999"/>
        <item x="1997"/>
        <item x="1982"/>
        <item x="1990"/>
        <item x="2003"/>
        <item x="2011"/>
        <item x="1992"/>
        <item x="1994"/>
        <item x="1978"/>
        <item x="1969"/>
        <item x="1977"/>
        <item x="2002"/>
        <item x="1991"/>
        <item x="1993"/>
        <item x="1995"/>
        <item x="1985"/>
        <item x="1988"/>
        <item x="2000"/>
        <item x="1998"/>
        <item x="1983"/>
        <item x="499"/>
        <item x="1084"/>
        <item x="1085"/>
        <item x="1083"/>
        <item x="1623"/>
        <item x="495"/>
        <item x="1984"/>
        <item x="1917"/>
        <item x="1018"/>
        <item x="2016"/>
        <item x="1225"/>
        <item x="68"/>
        <item x="736"/>
        <item x="1468"/>
        <item x="572"/>
        <item x="1467"/>
        <item x="1587"/>
        <item x="1428"/>
        <item x="1558"/>
        <item x="306"/>
        <item x="1567"/>
        <item x="533"/>
        <item x="920"/>
        <item x="2082"/>
        <item x="303"/>
        <item x="1387"/>
        <item x="526"/>
        <item x="1954"/>
        <item x="312"/>
        <item x="527"/>
        <item x="2063"/>
        <item x="1232"/>
        <item x="1600"/>
        <item x="1442"/>
        <item x="2"/>
        <item x="1393"/>
        <item x="1197"/>
        <item x="1196"/>
        <item x="1581"/>
        <item x="313"/>
        <item x="613"/>
        <item x="496"/>
        <item x="497"/>
        <item x="511"/>
        <item x="498"/>
        <item x="1474"/>
        <item x="393"/>
        <item x="1700"/>
        <item x="1086"/>
        <item x="807"/>
        <item x="1386"/>
        <item x="87"/>
        <item x="1452"/>
        <item x="1453"/>
        <item x="392"/>
        <item x="916"/>
        <item x="874"/>
        <item x="880"/>
        <item x="1204"/>
        <item x="24"/>
        <item x="74"/>
        <item x="891"/>
        <item x="899"/>
        <item x="917"/>
        <item x="1199"/>
        <item x="1454"/>
        <item x="897"/>
        <item x="925"/>
        <item x="887"/>
        <item x="921"/>
        <item x="91"/>
        <item x="104"/>
        <item x="388"/>
        <item x="890"/>
        <item x="1200"/>
        <item x="922"/>
        <item x="912"/>
        <item x="878"/>
        <item x="876"/>
        <item x="914"/>
        <item x="1458"/>
        <item x="1455"/>
        <item x="1211"/>
        <item x="924"/>
        <item x="900"/>
        <item x="391"/>
        <item x="395"/>
        <item x="398"/>
        <item x="396"/>
        <item x="919"/>
        <item x="697"/>
        <item x="90"/>
        <item x="1208"/>
        <item x="893"/>
        <item x="883"/>
        <item x="881"/>
        <item x="885"/>
        <item x="886"/>
        <item x="882"/>
        <item x="888"/>
        <item x="879"/>
        <item x="884"/>
        <item x="889"/>
        <item x="892"/>
        <item x="93"/>
        <item x="402"/>
        <item x="1201"/>
        <item x="702"/>
        <item x="703"/>
        <item x="1224"/>
        <item x="86"/>
        <item x="696"/>
        <item x="85"/>
        <item x="84"/>
        <item x="1436"/>
        <item x="545"/>
        <item x="534"/>
        <item x="537"/>
        <item x="1958"/>
        <item x="565"/>
        <item x="1949"/>
        <item x="1951"/>
        <item x="1945"/>
        <item x="1946"/>
        <item x="1947"/>
        <item x="1948"/>
        <item x="1786"/>
        <item x="1415"/>
        <item x="869"/>
        <item x="1047"/>
        <item x="1001"/>
        <item x="995"/>
        <item x="811"/>
        <item x="432"/>
        <item x="404"/>
        <item x="847"/>
        <item x="720"/>
        <item x="721"/>
        <item x="363"/>
        <item x="364"/>
        <item x="713"/>
        <item x="671"/>
        <item x="309"/>
        <item x="314"/>
        <item x="304"/>
        <item x="930"/>
        <item x="66"/>
        <item x="1652"/>
        <item x="1650"/>
        <item x="1653"/>
        <item x="1551"/>
        <item x="1143"/>
        <item x="1306"/>
        <item x="374"/>
        <item x="1179"/>
        <item x="1075"/>
        <item x="1076"/>
        <item x="1759"/>
        <item x="1752"/>
        <item x="2088"/>
        <item x="1855"/>
        <item x="1986"/>
        <item x="1935"/>
        <item x="1582"/>
        <item x="1427"/>
        <item x="1431"/>
        <item x="1565"/>
        <item x="1617"/>
        <item x="1918"/>
        <item x="2085"/>
        <item x="139"/>
        <item x="1868"/>
        <item x="535"/>
        <item x="1348"/>
        <item x="1255"/>
        <item x="1421"/>
        <item x="1202"/>
        <item x="990"/>
        <item x="654"/>
        <item x="771"/>
        <item x="1101"/>
        <item x="1371"/>
        <item x="1381"/>
        <item x="284"/>
        <item x="232"/>
        <item x="247"/>
        <item x="976"/>
        <item x="992"/>
        <item x="1729"/>
        <item x="1722"/>
        <item x="226"/>
        <item x="277"/>
        <item x="1720"/>
        <item x="1730"/>
        <item x="1162"/>
        <item x="727"/>
        <item x="1639"/>
        <item x="1960"/>
        <item x="1303"/>
        <item x="733"/>
        <item x="1159"/>
        <item x="1139"/>
        <item x="743"/>
        <item x="1188"/>
        <item x="871"/>
        <item x="1210"/>
        <item x="1167"/>
        <item x="1117"/>
        <item x="22"/>
        <item x="1205"/>
        <item x="1690"/>
        <item x="1158"/>
        <item x="1146"/>
        <item x="1370"/>
        <item x="1282"/>
        <item x="1266"/>
        <item x="1237"/>
        <item x="1343"/>
        <item x="131"/>
        <item x="1261"/>
        <item x="1297"/>
        <item x="2023"/>
        <item x="281"/>
        <item x="1005"/>
        <item x="1006"/>
        <item x="952"/>
        <item x="1735"/>
        <item x="12"/>
        <item x="195"/>
        <item x="193"/>
        <item x="986"/>
        <item x="1379"/>
        <item x="1718"/>
        <item x="1357"/>
        <item x="1368"/>
        <item x="1320"/>
        <item x="951"/>
        <item x="288"/>
        <item x="1723"/>
        <item x="1748"/>
        <item x="1734"/>
        <item x="1514"/>
        <item x="1360"/>
        <item x="1359"/>
        <item x="982"/>
        <item x="1272"/>
        <item x="1300"/>
        <item x="1350"/>
        <item x="1535"/>
        <item x="1274"/>
        <item x="1351"/>
        <item x="107"/>
        <item x="1920"/>
        <item x="1068"/>
        <item x="98"/>
        <item x="1392"/>
        <item x="1542"/>
        <item x="1763"/>
        <item x="1395"/>
        <item x="440"/>
        <item x="439"/>
        <item x="1398"/>
        <item x="1405"/>
        <item x="1191"/>
        <item x="357"/>
        <item x="940"/>
        <item x="1066"/>
        <item x="331"/>
        <item x="2091"/>
        <item x="315"/>
        <item x="1727"/>
        <item x="477"/>
        <item x="1082"/>
        <item x="472"/>
        <item x="492"/>
        <item x="1399"/>
        <item x="849"/>
        <item x="1926"/>
        <item x="946"/>
        <item x="947"/>
        <item x="1407"/>
        <item x="70"/>
        <item x="1448"/>
        <item x="1236"/>
        <item x="1218"/>
        <item x="173"/>
        <item x="1251"/>
        <item x="1059"/>
        <item x="2096"/>
        <item x="1575"/>
        <item x="1217"/>
        <item x="1230"/>
        <item x="724"/>
        <item x="694"/>
        <item x="1207"/>
        <item x="1215"/>
        <item x="658"/>
        <item x="1138"/>
        <item x="1940"/>
        <item x="1939"/>
        <item x="1305"/>
        <item x="1067"/>
        <item x="1192"/>
        <item x="1254"/>
        <item x="950"/>
        <item x="1354"/>
        <item x="945"/>
        <item x="1328"/>
        <item x="1253"/>
        <item x="1326"/>
        <item x="1331"/>
        <item x="1231"/>
        <item x="1930"/>
        <item x="1358"/>
        <item x="1302"/>
        <item x="988"/>
        <item x="1369"/>
        <item x="981"/>
        <item x="1281"/>
        <item x="1296"/>
        <item x="1362"/>
        <item x="1378"/>
        <item x="1259"/>
        <item x="971"/>
        <item x="1353"/>
        <item x="1321"/>
        <item x="1376"/>
        <item x="1278"/>
        <item x="1247"/>
        <item x="1275"/>
        <item x="1356"/>
        <item x="1380"/>
        <item x="1367"/>
        <item x="1100"/>
        <item x="1595"/>
        <item x="1096"/>
        <item x="1223"/>
        <item x="1621"/>
        <item x="2018"/>
        <item x="1329"/>
        <item x="1355"/>
        <item x="1219"/>
        <item x="1931"/>
        <item x="1406"/>
        <item x="1212"/>
        <item x="1157"/>
        <item x="1408"/>
        <item x="110"/>
        <item x="1193"/>
        <item x="1927"/>
        <item x="1929"/>
        <item x="1980"/>
        <item x="2050"/>
        <item x="2036"/>
        <item x="413"/>
        <item x="227"/>
        <item x="165"/>
        <item x="2060"/>
        <item x="2051"/>
        <item x="2059"/>
        <item x="2052"/>
        <item x="2053"/>
        <item x="2054"/>
        <item x="2055"/>
        <item x="2056"/>
        <item x="229"/>
        <item x="296"/>
        <item x="295"/>
        <item x="2028"/>
        <item x="2029"/>
        <item x="294"/>
        <item x="13"/>
        <item x="252"/>
        <item x="250"/>
        <item x="1534"/>
        <item x="1299"/>
        <item x="1524"/>
        <item x="2033"/>
        <item x="286"/>
        <item x="290"/>
        <item x="2039"/>
        <item x="276"/>
        <item x="144"/>
        <item x="283"/>
        <item x="254"/>
        <item x="330"/>
        <item x="109"/>
        <item x="1928"/>
        <item x="1944"/>
        <item x="701"/>
        <item x="300"/>
        <item x="1289"/>
        <item x="1293"/>
        <item x="1347"/>
        <item x="1291"/>
        <item x="1728"/>
        <item x="1702"/>
        <item x="867"/>
        <item x="1606"/>
        <item x="361"/>
        <item x="1220"/>
        <item x="1304"/>
        <item x="292"/>
        <item x="169"/>
        <item x="170"/>
        <item x="171"/>
        <item x="989"/>
        <item x="983"/>
        <item x="1545"/>
        <item x="1908"/>
        <item x="1907"/>
        <item x="510"/>
        <item x="985"/>
        <item x="1543"/>
        <item x="1747"/>
        <item x="128"/>
        <item x="1446"/>
        <item x="1933"/>
        <item x="469"/>
        <item x="1226"/>
        <item x="1974"/>
        <item x="2045"/>
        <item x="1631"/>
        <item x="204"/>
        <item x="202"/>
        <item x="429"/>
        <item x="405"/>
        <item x="841"/>
        <item x="1837"/>
        <item x="1687"/>
        <item x="1981"/>
        <item x="1925"/>
        <item x="1966"/>
        <item x="1967"/>
        <item x="217"/>
        <item x="172"/>
        <item x="178"/>
        <item x="129"/>
        <item x="2038"/>
        <item x="317"/>
        <item x="1258"/>
        <item x="1703"/>
        <item x="148"/>
        <item x="2041"/>
        <item x="214"/>
        <item x="215"/>
        <item x="216"/>
        <item x="704"/>
        <item x="705"/>
        <item x="708"/>
        <item x="706"/>
        <item x="2012"/>
        <item x="2019"/>
        <item x="2058"/>
        <item x="2043"/>
        <item x="2021"/>
        <item x="2017"/>
        <item x="1526"/>
        <item x="2031"/>
        <item x="156"/>
        <item x="964"/>
        <item x="1515"/>
        <item x="251"/>
        <item x="1502"/>
        <item x="267"/>
        <item x="196"/>
        <item x="174"/>
        <item x="230"/>
        <item x="1516"/>
        <item x="133"/>
        <item x="166"/>
        <item x="167"/>
        <item x="123"/>
        <item x="137"/>
        <item x="707"/>
        <item x="961"/>
        <item x="1556"/>
        <item x="1549"/>
        <item x="1555"/>
        <item x="268"/>
        <item x="271"/>
        <item x="1546"/>
        <item x="1552"/>
        <item x="416"/>
        <item x="993"/>
        <item x="959"/>
        <item x="1477"/>
        <item x="158"/>
        <item x="1499"/>
        <item x="966"/>
        <item x="954"/>
        <item x="212"/>
        <item x="1479"/>
        <item x="135"/>
        <item x="207"/>
        <item x="1485"/>
        <item x="147"/>
        <item x="1478"/>
        <item x="1487"/>
        <item x="1538"/>
        <item x="949"/>
        <item x="1346"/>
        <item x="188"/>
        <item x="279"/>
        <item x="199"/>
        <item x="200"/>
        <item x="2015"/>
        <item x="2013"/>
        <item x="2014"/>
        <item x="242"/>
        <item x="245"/>
        <item x="246"/>
        <item x="2020"/>
        <item x="120"/>
        <item x="2026"/>
        <item x="962"/>
        <item x="233"/>
        <item x="221"/>
        <item x="960"/>
        <item x="958"/>
        <item x="957"/>
        <item x="994"/>
        <item x="201"/>
        <item x="1916"/>
        <item x="1435"/>
        <item x="328"/>
        <item x="574"/>
        <item x="600"/>
        <item x="2065"/>
        <item x="1"/>
        <item x="2022"/>
        <item x="1937"/>
        <item x="503"/>
        <item x="505"/>
        <item x="513"/>
        <item x="1963"/>
        <item x="2064"/>
        <item x="2072"/>
        <item x="1198"/>
        <item x="1177"/>
        <item x="1409"/>
        <item x="787"/>
        <item x="356"/>
        <item x="382"/>
        <item x="352"/>
        <item x="868"/>
        <item x="507"/>
        <item x="2083"/>
        <item x="2075"/>
        <item x="2073"/>
        <item x="420"/>
        <item x="1889"/>
        <item x="1828"/>
        <item x="1841"/>
        <item x="1842"/>
        <item x="1843"/>
        <item x="1826"/>
        <item x="1827"/>
        <item x="1839"/>
        <item x="1814"/>
        <item x="1871"/>
        <item x="1813"/>
        <item x="1815"/>
        <item x="1872"/>
        <item x="1895"/>
        <item x="1044"/>
        <item x="485"/>
        <item x="1741"/>
        <item x="1833"/>
        <item x="1880"/>
        <item x="1886"/>
        <item x="1848"/>
        <item x="1832"/>
        <item x="1834"/>
        <item x="1904"/>
        <item x="1905"/>
        <item x="1875"/>
        <item t="default"/>
      </items>
    </pivotField>
    <pivotField compact="0" outline="0" showAll="0" includeNewItemsInFilter="1"/>
    <pivotField compact="0" outline="0" showAll="0" includeNewItemsInFilter="1"/>
    <pivotField compact="0" outline="0" showAll="0" includeNewItemsInFilter="1"/>
    <pivotField compact="0" outline="0" showAll="0" includeNewItemsInFilter="1"/>
  </pivotFields>
  <rowFields count="1">
    <field x="0"/>
  </rowFields>
  <rowItems count="15">
    <i>
      <x/>
    </i>
    <i>
      <x v="1"/>
    </i>
    <i>
      <x v="2"/>
    </i>
    <i>
      <x v="3"/>
    </i>
    <i>
      <x v="4"/>
    </i>
    <i>
      <x v="5"/>
    </i>
    <i>
      <x v="6"/>
    </i>
    <i>
      <x v="7"/>
    </i>
    <i>
      <x v="8"/>
    </i>
    <i>
      <x v="9"/>
    </i>
    <i>
      <x v="10"/>
    </i>
    <i>
      <x v="11"/>
    </i>
    <i>
      <x v="12"/>
    </i>
    <i>
      <x v="13"/>
    </i>
    <i t="grand">
      <x/>
    </i>
  </rowItems>
  <colFields count="1">
    <field x="-2"/>
  </colFields>
  <colItems count="2">
    <i>
      <x/>
    </i>
    <i i="1">
      <x v="1"/>
    </i>
  </colItems>
  <pageFields count="3">
    <pageField fld="5" hier="0"/>
    <pageField fld="4" hier="0"/>
    <pageField fld="6" hier="0"/>
  </pageFields>
  <dataFields count="2">
    <dataField name="Cuenta de CÓDIGO2" fld="7" subtotal="count" baseField="0" baseItem="0"/>
    <dataField name="Cuenta de CÓDIGO" fld="7" subtotal="count" showDataAs="percentOfCol" baseField="0" baseItem="0" numFmtId="10"/>
  </dataFields>
  <formats count="17">
    <format dxfId="0">
      <pivotArea outline="0" fieldPosition="0"/>
    </format>
    <format dxfId="1">
      <pivotArea dataOnly="0" labelOnly="1" outline="0" fieldPosition="0">
        <references count="1">
          <reference field="5" count="0"/>
        </references>
      </pivotArea>
    </format>
    <format dxfId="2">
      <pivotArea type="topRight" dataOnly="0" labelOnly="1" outline="0" fieldPosition="0"/>
    </format>
    <format dxfId="3">
      <pivotArea outline="0" fieldPosition="0"/>
    </format>
    <format dxfId="4">
      <pivotArea dataOnly="0" labelOnly="1" outline="0" fieldPosition="0">
        <references count="1">
          <reference field="5" count="0"/>
        </references>
      </pivotArea>
    </format>
    <format dxfId="5">
      <pivotArea type="topRight" dataOnly="0" labelOnly="1" outline="0" fieldPosition="0"/>
    </format>
    <format dxfId="6">
      <pivotArea outline="0" fieldPosition="0">
        <references count="1">
          <reference field="4294967294" count="1">
            <x v="1"/>
          </reference>
        </references>
      </pivotArea>
    </format>
    <format dxfId="7">
      <pivotArea dataOnly="0" labelOnly="1" outline="0" fieldPosition="0">
        <references count="1">
          <reference field="0" count="1">
            <x v="2"/>
          </reference>
        </references>
      </pivotArea>
    </format>
    <format dxfId="8">
      <pivotArea dataOnly="0" labelOnly="1" outline="0" fieldPosition="0">
        <references count="1">
          <reference field="0" count="1">
            <x v="4"/>
          </reference>
        </references>
      </pivotArea>
    </format>
    <format dxfId="9">
      <pivotArea dataOnly="0" labelOnly="1" outline="0" fieldPosition="0">
        <references count="1">
          <reference field="0" count="1">
            <x v="5"/>
          </reference>
        </references>
      </pivotArea>
    </format>
    <format dxfId="10">
      <pivotArea dataOnly="0" labelOnly="1" outline="0" fieldPosition="0">
        <references count="1">
          <reference field="0" count="1">
            <x v="6"/>
          </reference>
        </references>
      </pivotArea>
    </format>
    <format dxfId="11">
      <pivotArea dataOnly="0" labelOnly="1" outline="0" fieldPosition="0">
        <references count="1">
          <reference field="0" count="1">
            <x v="8"/>
          </reference>
        </references>
      </pivotArea>
    </format>
    <format dxfId="12">
      <pivotArea dataOnly="0" labelOnly="1" outline="0" fieldPosition="0">
        <references count="1">
          <reference field="0" count="1">
            <x v="7"/>
          </reference>
        </references>
      </pivotArea>
    </format>
    <format dxfId="13">
      <pivotArea outline="0" fieldPosition="0">
        <references count="2">
          <reference field="4294967294" count="1" selected="0">
            <x v="0"/>
          </reference>
          <reference field="0" count="1" selected="0">
            <x v="2"/>
          </reference>
        </references>
      </pivotArea>
    </format>
    <format dxfId="14">
      <pivotArea outline="0" fieldPosition="0">
        <references count="2">
          <reference field="4294967294" count="1" selected="0">
            <x v="0"/>
          </reference>
          <reference field="0" count="1" selected="0">
            <x v="4"/>
          </reference>
        </references>
      </pivotArea>
    </format>
    <format dxfId="15">
      <pivotArea outline="0" fieldPosition="0">
        <references count="2">
          <reference field="4294967294" count="1" selected="0">
            <x v="0"/>
          </reference>
          <reference field="0" count="1" selected="0">
            <x v="8"/>
          </reference>
        </references>
      </pivotArea>
    </format>
    <format dxfId="16">
      <pivotArea outline="0" fieldPosition="0">
        <references count="2">
          <reference field="4294967294" count="1" selected="0">
            <x v="0"/>
          </reference>
          <reference field="0" count="3" selected="0">
            <x v="5"/>
            <x v="6"/>
            <x v="7"/>
          </reference>
        </references>
      </pivotArea>
    </format>
  </formats>
  <pivotTableStyleInfo showRowHeaders="1" showColHeaders="1" showRowStripes="0" showColStripes="0" showLastColumn="1"/>
  <extLst>
    <ext xmlns:xpdl="http://schemas.microsoft.com/office/spreadsheetml/2016/pivotdefaultlayout" uri="{747A6164-185A-40DC-8AA5-F01512510D54}">
      <xpdl:pivotTableDefinition16 EnabledSubtotalsDefault="0" SubtotalsOnTopDefault="0"/>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14.xml"/><Relationship Id="rId2" Type="http://schemas.openxmlformats.org/officeDocument/2006/relationships/vmlDrawing" Target="../drawings/vmlDrawing14.vml"/><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249"/>
  <sheetViews>
    <sheetView topLeftCell="A3" zoomScale="90" zoomScaleNormal="90" workbookViewId="0">
      <selection activeCell="B12" sqref="B12"/>
    </sheetView>
  </sheetViews>
  <sheetFormatPr defaultColWidth="11.42578125" defaultRowHeight="12.6"/>
  <cols>
    <col min="1" max="1" width="26.28515625" bestFit="1" customWidth="1"/>
    <col min="2" max="2" width="18.140625" style="21" bestFit="1" customWidth="1"/>
    <col min="3" max="3" width="17.140625" bestFit="1" customWidth="1"/>
  </cols>
  <sheetData>
    <row r="1" spans="1:4">
      <c r="A1" s="18" t="s">
        <v>0</v>
      </c>
      <c r="B1" s="20" t="s">
        <v>1</v>
      </c>
    </row>
    <row r="2" spans="1:4">
      <c r="A2" s="18" t="s">
        <v>2</v>
      </c>
      <c r="B2" s="19" t="s">
        <v>1</v>
      </c>
    </row>
    <row r="3" spans="1:4">
      <c r="A3" s="18" t="s">
        <v>3</v>
      </c>
      <c r="B3" s="19" t="s">
        <v>1</v>
      </c>
    </row>
    <row r="4" spans="1:4">
      <c r="B4"/>
    </row>
    <row r="5" spans="1:4">
      <c r="A5" s="14"/>
      <c r="B5" s="15" t="s">
        <v>4</v>
      </c>
      <c r="C5" s="30"/>
    </row>
    <row r="6" spans="1:4">
      <c r="A6" s="15" t="s">
        <v>5</v>
      </c>
      <c r="B6" s="14" t="s">
        <v>6</v>
      </c>
      <c r="C6" s="23" t="s">
        <v>7</v>
      </c>
    </row>
    <row r="7" spans="1:4">
      <c r="A7" s="14" t="s">
        <v>8</v>
      </c>
      <c r="B7" s="24">
        <v>5</v>
      </c>
      <c r="C7" s="25">
        <v>2.3375409069658717E-3</v>
      </c>
    </row>
    <row r="8" spans="1:4">
      <c r="A8" s="16" t="s">
        <v>9</v>
      </c>
      <c r="B8" s="26">
        <v>329</v>
      </c>
      <c r="C8" s="27">
        <v>0.15381019167835436</v>
      </c>
    </row>
    <row r="9" spans="1:4">
      <c r="A9" s="31" t="s">
        <v>10</v>
      </c>
      <c r="B9" s="32">
        <v>102</v>
      </c>
      <c r="C9" s="27">
        <v>4.7685834502103785E-2</v>
      </c>
    </row>
    <row r="10" spans="1:4">
      <c r="A10" s="16" t="s">
        <v>11</v>
      </c>
      <c r="B10" s="26">
        <v>364</v>
      </c>
      <c r="C10" s="27">
        <v>0.17017297802711548</v>
      </c>
    </row>
    <row r="11" spans="1:4">
      <c r="A11" s="31" t="s">
        <v>12</v>
      </c>
      <c r="B11" s="32">
        <v>323</v>
      </c>
      <c r="C11" s="27">
        <v>0.15100514258999531</v>
      </c>
      <c r="D11" s="35" t="s">
        <v>13</v>
      </c>
    </row>
    <row r="12" spans="1:4">
      <c r="A12" s="31" t="s">
        <v>14</v>
      </c>
      <c r="B12" s="33">
        <v>239</v>
      </c>
      <c r="C12" s="27">
        <v>0.11173445535296868</v>
      </c>
      <c r="D12" s="34" t="s">
        <v>15</v>
      </c>
    </row>
    <row r="13" spans="1:4">
      <c r="A13" s="31" t="s">
        <v>16</v>
      </c>
      <c r="B13" s="33">
        <v>115</v>
      </c>
      <c r="C13" s="27">
        <v>5.3763440860215055E-2</v>
      </c>
    </row>
    <row r="14" spans="1:4">
      <c r="A14" s="31" t="s">
        <v>17</v>
      </c>
      <c r="B14" s="33">
        <v>284</v>
      </c>
      <c r="C14" s="27">
        <v>0.13277232351566151</v>
      </c>
    </row>
    <row r="15" spans="1:4">
      <c r="A15" s="31" t="s">
        <v>18</v>
      </c>
      <c r="B15" s="32">
        <v>36</v>
      </c>
      <c r="C15" s="27">
        <v>1.6830294530154277E-2</v>
      </c>
    </row>
    <row r="16" spans="1:4">
      <c r="A16" s="16" t="s">
        <v>19</v>
      </c>
      <c r="B16" s="26">
        <v>98</v>
      </c>
      <c r="C16" s="27">
        <v>4.5815801776531093E-2</v>
      </c>
    </row>
    <row r="17" spans="1:3">
      <c r="A17" s="16" t="s">
        <v>20</v>
      </c>
      <c r="B17" s="26">
        <v>4</v>
      </c>
      <c r="C17" s="27">
        <v>1.8700327255726976E-3</v>
      </c>
    </row>
    <row r="18" spans="1:3">
      <c r="A18" s="16" t="s">
        <v>21</v>
      </c>
      <c r="B18" s="26">
        <v>14</v>
      </c>
      <c r="C18" s="27">
        <v>6.5451145395044414E-3</v>
      </c>
    </row>
    <row r="19" spans="1:3">
      <c r="A19" s="16" t="s">
        <v>22</v>
      </c>
      <c r="B19" s="26">
        <v>123</v>
      </c>
      <c r="C19" s="27">
        <v>5.7503506311360447E-2</v>
      </c>
    </row>
    <row r="20" spans="1:3">
      <c r="A20" s="16" t="s">
        <v>23</v>
      </c>
      <c r="B20" s="26">
        <v>103</v>
      </c>
      <c r="C20" s="27">
        <v>4.8153342683496962E-2</v>
      </c>
    </row>
    <row r="21" spans="1:3">
      <c r="A21" s="17" t="s">
        <v>24</v>
      </c>
      <c r="B21" s="28">
        <v>2139</v>
      </c>
      <c r="C21" s="29">
        <v>1</v>
      </c>
    </row>
    <row r="22" spans="1:3">
      <c r="B22"/>
    </row>
    <row r="23" spans="1:3">
      <c r="B23"/>
    </row>
    <row r="24" spans="1:3">
      <c r="B24"/>
    </row>
    <row r="25" spans="1:3">
      <c r="B25"/>
    </row>
    <row r="26" spans="1:3">
      <c r="B26"/>
    </row>
    <row r="27" spans="1:3">
      <c r="B27"/>
    </row>
    <row r="28" spans="1:3">
      <c r="B28"/>
    </row>
    <row r="29" spans="1:3">
      <c r="B29"/>
    </row>
    <row r="30" spans="1:3">
      <c r="B30"/>
    </row>
    <row r="31" spans="1:3">
      <c r="B31"/>
    </row>
    <row r="32" spans="1:3">
      <c r="B32"/>
    </row>
    <row r="33" spans="2:2">
      <c r="B33"/>
    </row>
    <row r="34" spans="2:2">
      <c r="B34"/>
    </row>
    <row r="35" spans="2:2">
      <c r="B35"/>
    </row>
    <row r="36" spans="2:2">
      <c r="B36"/>
    </row>
    <row r="37" spans="2:2">
      <c r="B37"/>
    </row>
    <row r="38" spans="2:2">
      <c r="B38"/>
    </row>
    <row r="39" spans="2:2">
      <c r="B39"/>
    </row>
    <row r="40" spans="2:2">
      <c r="B40"/>
    </row>
    <row r="41" spans="2:2">
      <c r="B41"/>
    </row>
    <row r="42" spans="2:2">
      <c r="B42"/>
    </row>
    <row r="43" spans="2:2">
      <c r="B43"/>
    </row>
    <row r="44" spans="2:2">
      <c r="B44"/>
    </row>
    <row r="45" spans="2:2">
      <c r="B45"/>
    </row>
    <row r="46" spans="2:2">
      <c r="B46"/>
    </row>
    <row r="47" spans="2:2">
      <c r="B47"/>
    </row>
    <row r="48" spans="2:2">
      <c r="B48"/>
    </row>
    <row r="49" spans="2:2">
      <c r="B49"/>
    </row>
    <row r="50" spans="2:2">
      <c r="B50"/>
    </row>
    <row r="51" spans="2:2">
      <c r="B51"/>
    </row>
    <row r="52" spans="2:2">
      <c r="B52"/>
    </row>
    <row r="53" spans="2:2">
      <c r="B53"/>
    </row>
    <row r="54" spans="2:2">
      <c r="B54"/>
    </row>
    <row r="55" spans="2:2">
      <c r="B55"/>
    </row>
    <row r="56" spans="2:2">
      <c r="B56"/>
    </row>
    <row r="57" spans="2:2">
      <c r="B57"/>
    </row>
    <row r="58" spans="2:2">
      <c r="B58"/>
    </row>
    <row r="59" spans="2:2">
      <c r="B59"/>
    </row>
    <row r="60" spans="2:2">
      <c r="B60"/>
    </row>
    <row r="61" spans="2:2">
      <c r="B61"/>
    </row>
    <row r="62" spans="2:2">
      <c r="B62"/>
    </row>
    <row r="63" spans="2:2">
      <c r="B63"/>
    </row>
    <row r="64" spans="2:2">
      <c r="B64"/>
    </row>
    <row r="65" spans="2:2">
      <c r="B65"/>
    </row>
    <row r="66" spans="2:2">
      <c r="B66"/>
    </row>
    <row r="67" spans="2:2">
      <c r="B67"/>
    </row>
    <row r="68" spans="2:2">
      <c r="B68"/>
    </row>
    <row r="69" spans="2:2">
      <c r="B69"/>
    </row>
    <row r="70" spans="2:2">
      <c r="B70"/>
    </row>
    <row r="71" spans="2:2">
      <c r="B71"/>
    </row>
    <row r="72" spans="2:2">
      <c r="B72"/>
    </row>
    <row r="73" spans="2:2">
      <c r="B73"/>
    </row>
    <row r="74" spans="2:2">
      <c r="B74"/>
    </row>
    <row r="75" spans="2:2">
      <c r="B75"/>
    </row>
    <row r="76" spans="2:2">
      <c r="B76"/>
    </row>
    <row r="77" spans="2:2">
      <c r="B77"/>
    </row>
    <row r="78" spans="2:2">
      <c r="B78"/>
    </row>
    <row r="79" spans="2:2">
      <c r="B79"/>
    </row>
    <row r="80" spans="2:2">
      <c r="B80"/>
    </row>
    <row r="81" spans="2:2">
      <c r="B81"/>
    </row>
    <row r="82" spans="2:2">
      <c r="B82"/>
    </row>
    <row r="83" spans="2:2">
      <c r="B83"/>
    </row>
    <row r="84" spans="2:2">
      <c r="B84"/>
    </row>
    <row r="85" spans="2:2">
      <c r="B85"/>
    </row>
    <row r="86" spans="2:2">
      <c r="B86"/>
    </row>
    <row r="87" spans="2:2">
      <c r="B87"/>
    </row>
    <row r="88" spans="2:2">
      <c r="B88"/>
    </row>
    <row r="89" spans="2:2">
      <c r="B89"/>
    </row>
    <row r="90" spans="2:2">
      <c r="B90"/>
    </row>
    <row r="91" spans="2:2">
      <c r="B91"/>
    </row>
    <row r="92" spans="2:2">
      <c r="B92"/>
    </row>
    <row r="93" spans="2:2">
      <c r="B93"/>
    </row>
    <row r="94" spans="2:2">
      <c r="B94"/>
    </row>
    <row r="95" spans="2:2">
      <c r="B95"/>
    </row>
    <row r="96" spans="2:2">
      <c r="B96"/>
    </row>
    <row r="97" spans="2:2">
      <c r="B97"/>
    </row>
    <row r="98" spans="2:2">
      <c r="B98"/>
    </row>
    <row r="99" spans="2:2">
      <c r="B99"/>
    </row>
    <row r="100" spans="2:2">
      <c r="B100"/>
    </row>
    <row r="101" spans="2:2">
      <c r="B101"/>
    </row>
    <row r="102" spans="2:2">
      <c r="B102"/>
    </row>
    <row r="103" spans="2:2">
      <c r="B103"/>
    </row>
    <row r="104" spans="2:2">
      <c r="B104"/>
    </row>
    <row r="105" spans="2:2">
      <c r="B105"/>
    </row>
    <row r="106" spans="2:2">
      <c r="B106"/>
    </row>
    <row r="107" spans="2:2">
      <c r="B107"/>
    </row>
    <row r="108" spans="2:2">
      <c r="B108"/>
    </row>
    <row r="109" spans="2:2">
      <c r="B109"/>
    </row>
    <row r="110" spans="2:2">
      <c r="B110"/>
    </row>
    <row r="111" spans="2:2">
      <c r="B111"/>
    </row>
    <row r="112" spans="2:2">
      <c r="B112"/>
    </row>
    <row r="113" spans="2:2">
      <c r="B113"/>
    </row>
    <row r="114" spans="2:2">
      <c r="B114"/>
    </row>
    <row r="115" spans="2:2">
      <c r="B115"/>
    </row>
    <row r="116" spans="2:2">
      <c r="B116"/>
    </row>
    <row r="117" spans="2:2">
      <c r="B117"/>
    </row>
    <row r="118" spans="2:2">
      <c r="B118"/>
    </row>
    <row r="119" spans="2:2">
      <c r="B119"/>
    </row>
    <row r="120" spans="2:2">
      <c r="B120"/>
    </row>
    <row r="121" spans="2:2">
      <c r="B121"/>
    </row>
    <row r="122" spans="2:2">
      <c r="B122"/>
    </row>
    <row r="123" spans="2:2">
      <c r="B123"/>
    </row>
    <row r="124" spans="2:2">
      <c r="B124"/>
    </row>
    <row r="125" spans="2:2">
      <c r="B125"/>
    </row>
    <row r="126" spans="2:2">
      <c r="B126"/>
    </row>
    <row r="127" spans="2:2">
      <c r="B127"/>
    </row>
    <row r="128" spans="2:2">
      <c r="B128"/>
    </row>
    <row r="129" spans="2:2">
      <c r="B129"/>
    </row>
    <row r="130" spans="2:2">
      <c r="B130"/>
    </row>
    <row r="131" spans="2:2">
      <c r="B131"/>
    </row>
    <row r="132" spans="2:2">
      <c r="B132"/>
    </row>
    <row r="133" spans="2:2">
      <c r="B133"/>
    </row>
    <row r="134" spans="2:2">
      <c r="B134"/>
    </row>
    <row r="135" spans="2:2">
      <c r="B135"/>
    </row>
    <row r="136" spans="2:2">
      <c r="B136"/>
    </row>
    <row r="137" spans="2:2">
      <c r="B137"/>
    </row>
    <row r="138" spans="2:2">
      <c r="B138"/>
    </row>
    <row r="139" spans="2:2">
      <c r="B139"/>
    </row>
    <row r="140" spans="2:2">
      <c r="B140"/>
    </row>
    <row r="141" spans="2:2">
      <c r="B141"/>
    </row>
    <row r="142" spans="2:2">
      <c r="B142"/>
    </row>
    <row r="143" spans="2:2">
      <c r="B143"/>
    </row>
    <row r="144" spans="2:2">
      <c r="B144"/>
    </row>
    <row r="145" spans="2:2">
      <c r="B145"/>
    </row>
    <row r="146" spans="2:2">
      <c r="B146"/>
    </row>
    <row r="147" spans="2:2">
      <c r="B147"/>
    </row>
    <row r="148" spans="2:2">
      <c r="B148"/>
    </row>
    <row r="149" spans="2:2">
      <c r="B149"/>
    </row>
    <row r="150" spans="2:2">
      <c r="B150"/>
    </row>
    <row r="151" spans="2:2">
      <c r="B151"/>
    </row>
    <row r="152" spans="2:2">
      <c r="B152"/>
    </row>
    <row r="153" spans="2:2">
      <c r="B153"/>
    </row>
    <row r="154" spans="2:2">
      <c r="B154"/>
    </row>
    <row r="155" spans="2:2">
      <c r="B155"/>
    </row>
    <row r="156" spans="2:2">
      <c r="B156"/>
    </row>
    <row r="157" spans="2:2">
      <c r="B157"/>
    </row>
    <row r="158" spans="2:2">
      <c r="B158"/>
    </row>
    <row r="159" spans="2:2">
      <c r="B159"/>
    </row>
    <row r="160" spans="2:2">
      <c r="B160"/>
    </row>
    <row r="161" spans="2:2">
      <c r="B161"/>
    </row>
    <row r="162" spans="2:2">
      <c r="B162"/>
    </row>
    <row r="163" spans="2:2">
      <c r="B163"/>
    </row>
    <row r="164" spans="2:2">
      <c r="B164"/>
    </row>
    <row r="165" spans="2:2">
      <c r="B165"/>
    </row>
    <row r="166" spans="2:2">
      <c r="B166"/>
    </row>
    <row r="167" spans="2:2">
      <c r="B167"/>
    </row>
    <row r="168" spans="2:2">
      <c r="B168"/>
    </row>
    <row r="169" spans="2:2">
      <c r="B169"/>
    </row>
    <row r="170" spans="2:2">
      <c r="B170"/>
    </row>
    <row r="171" spans="2:2">
      <c r="B171"/>
    </row>
    <row r="172" spans="2:2">
      <c r="B172"/>
    </row>
    <row r="173" spans="2:2">
      <c r="B173"/>
    </row>
    <row r="174" spans="2:2">
      <c r="B174"/>
    </row>
    <row r="175" spans="2:2">
      <c r="B175"/>
    </row>
    <row r="176" spans="2:2">
      <c r="B176"/>
    </row>
    <row r="177" spans="2:2">
      <c r="B177"/>
    </row>
    <row r="178" spans="2:2">
      <c r="B178"/>
    </row>
    <row r="179" spans="2:2">
      <c r="B179"/>
    </row>
    <row r="180" spans="2:2">
      <c r="B180"/>
    </row>
    <row r="181" spans="2:2">
      <c r="B181"/>
    </row>
    <row r="182" spans="2:2">
      <c r="B182"/>
    </row>
    <row r="183" spans="2:2">
      <c r="B183"/>
    </row>
    <row r="184" spans="2:2">
      <c r="B184"/>
    </row>
    <row r="185" spans="2:2">
      <c r="B185"/>
    </row>
    <row r="186" spans="2:2">
      <c r="B186"/>
    </row>
    <row r="187" spans="2:2">
      <c r="B187"/>
    </row>
    <row r="188" spans="2:2">
      <c r="B188"/>
    </row>
    <row r="189" spans="2:2">
      <c r="B189"/>
    </row>
    <row r="190" spans="2:2">
      <c r="B190"/>
    </row>
    <row r="191" spans="2:2">
      <c r="B191"/>
    </row>
    <row r="192" spans="2:2">
      <c r="B192"/>
    </row>
    <row r="193" spans="2:2">
      <c r="B193"/>
    </row>
    <row r="194" spans="2:2">
      <c r="B194"/>
    </row>
    <row r="195" spans="2:2">
      <c r="B195"/>
    </row>
    <row r="196" spans="2:2">
      <c r="B196"/>
    </row>
    <row r="197" spans="2:2">
      <c r="B197"/>
    </row>
    <row r="198" spans="2:2">
      <c r="B198"/>
    </row>
    <row r="199" spans="2:2">
      <c r="B199"/>
    </row>
    <row r="200" spans="2:2">
      <c r="B200"/>
    </row>
    <row r="201" spans="2:2">
      <c r="B201"/>
    </row>
    <row r="202" spans="2:2">
      <c r="B202"/>
    </row>
    <row r="203" spans="2:2">
      <c r="B203"/>
    </row>
    <row r="204" spans="2:2">
      <c r="B204"/>
    </row>
    <row r="205" spans="2:2">
      <c r="B205"/>
    </row>
    <row r="206" spans="2:2">
      <c r="B206"/>
    </row>
    <row r="207" spans="2:2">
      <c r="B207"/>
    </row>
    <row r="208" spans="2:2">
      <c r="B208"/>
    </row>
    <row r="209" spans="2:2">
      <c r="B209"/>
    </row>
    <row r="210" spans="2:2">
      <c r="B210"/>
    </row>
    <row r="211" spans="2:2">
      <c r="B211"/>
    </row>
    <row r="212" spans="2:2">
      <c r="B212"/>
    </row>
    <row r="213" spans="2:2">
      <c r="B213"/>
    </row>
    <row r="214" spans="2:2">
      <c r="B214"/>
    </row>
    <row r="215" spans="2:2">
      <c r="B215"/>
    </row>
    <row r="216" spans="2:2">
      <c r="B216"/>
    </row>
    <row r="217" spans="2:2">
      <c r="B217"/>
    </row>
    <row r="218" spans="2:2">
      <c r="B218"/>
    </row>
    <row r="219" spans="2:2">
      <c r="B219"/>
    </row>
    <row r="220" spans="2:2">
      <c r="B220"/>
    </row>
    <row r="221" spans="2:2">
      <c r="B221"/>
    </row>
    <row r="222" spans="2:2">
      <c r="B222"/>
    </row>
    <row r="223" spans="2:2">
      <c r="B223"/>
    </row>
    <row r="224" spans="2:2">
      <c r="B224"/>
    </row>
    <row r="225" spans="2:2">
      <c r="B225"/>
    </row>
    <row r="226" spans="2:2">
      <c r="B226"/>
    </row>
    <row r="227" spans="2:2">
      <c r="B227"/>
    </row>
    <row r="228" spans="2:2">
      <c r="B228"/>
    </row>
    <row r="229" spans="2:2">
      <c r="B229"/>
    </row>
    <row r="230" spans="2:2">
      <c r="B230"/>
    </row>
    <row r="231" spans="2:2">
      <c r="B231"/>
    </row>
    <row r="232" spans="2:2">
      <c r="B232"/>
    </row>
    <row r="233" spans="2:2">
      <c r="B233"/>
    </row>
    <row r="234" spans="2:2">
      <c r="B234"/>
    </row>
    <row r="235" spans="2:2">
      <c r="B235"/>
    </row>
    <row r="236" spans="2:2">
      <c r="B236"/>
    </row>
    <row r="237" spans="2:2">
      <c r="B237"/>
    </row>
    <row r="238" spans="2:2">
      <c r="B238"/>
    </row>
    <row r="239" spans="2:2">
      <c r="B239"/>
    </row>
    <row r="240" spans="2:2">
      <c r="B240"/>
    </row>
    <row r="241" spans="2:2">
      <c r="B241"/>
    </row>
    <row r="242" spans="2:2">
      <c r="B242"/>
    </row>
    <row r="243" spans="2:2">
      <c r="B243"/>
    </row>
    <row r="244" spans="2:2">
      <c r="B244"/>
    </row>
    <row r="245" spans="2:2">
      <c r="B245"/>
    </row>
    <row r="246" spans="2:2">
      <c r="B246"/>
    </row>
    <row r="247" spans="2:2">
      <c r="B247"/>
    </row>
    <row r="248" spans="2:2">
      <c r="B248"/>
    </row>
    <row r="249" spans="2:2">
      <c r="B249"/>
    </row>
    <row r="250" spans="2:2">
      <c r="B250"/>
    </row>
    <row r="251" spans="2:2">
      <c r="B251"/>
    </row>
    <row r="252" spans="2:2">
      <c r="B252"/>
    </row>
    <row r="253" spans="2:2">
      <c r="B253"/>
    </row>
    <row r="254" spans="2:2">
      <c r="B254"/>
    </row>
    <row r="255" spans="2:2">
      <c r="B255"/>
    </row>
    <row r="256" spans="2:2">
      <c r="B256"/>
    </row>
    <row r="257" spans="2:2">
      <c r="B257"/>
    </row>
    <row r="258" spans="2:2">
      <c r="B258"/>
    </row>
    <row r="259" spans="2:2">
      <c r="B259"/>
    </row>
    <row r="260" spans="2:2">
      <c r="B260"/>
    </row>
    <row r="261" spans="2:2">
      <c r="B261"/>
    </row>
    <row r="262" spans="2:2">
      <c r="B262"/>
    </row>
    <row r="263" spans="2:2">
      <c r="B263"/>
    </row>
    <row r="264" spans="2:2">
      <c r="B264"/>
    </row>
    <row r="265" spans="2:2">
      <c r="B265"/>
    </row>
    <row r="266" spans="2:2">
      <c r="B266"/>
    </row>
    <row r="267" spans="2:2">
      <c r="B267"/>
    </row>
    <row r="268" spans="2:2">
      <c r="B268"/>
    </row>
    <row r="269" spans="2:2">
      <c r="B269"/>
    </row>
    <row r="270" spans="2:2">
      <c r="B270"/>
    </row>
    <row r="271" spans="2:2">
      <c r="B271"/>
    </row>
    <row r="272" spans="2:2">
      <c r="B272"/>
    </row>
    <row r="273" spans="2:2">
      <c r="B273"/>
    </row>
    <row r="274" spans="2:2">
      <c r="B274"/>
    </row>
    <row r="275" spans="2:2">
      <c r="B275"/>
    </row>
    <row r="276" spans="2:2">
      <c r="B276"/>
    </row>
    <row r="277" spans="2:2">
      <c r="B277"/>
    </row>
    <row r="278" spans="2:2">
      <c r="B278"/>
    </row>
    <row r="279" spans="2:2">
      <c r="B279"/>
    </row>
    <row r="280" spans="2:2">
      <c r="B280"/>
    </row>
    <row r="281" spans="2:2">
      <c r="B281"/>
    </row>
    <row r="282" spans="2:2">
      <c r="B282"/>
    </row>
    <row r="283" spans="2:2">
      <c r="B283"/>
    </row>
    <row r="284" spans="2:2">
      <c r="B284"/>
    </row>
    <row r="285" spans="2:2">
      <c r="B285"/>
    </row>
    <row r="286" spans="2:2">
      <c r="B286"/>
    </row>
    <row r="287" spans="2:2">
      <c r="B287"/>
    </row>
    <row r="288" spans="2:2">
      <c r="B288"/>
    </row>
    <row r="289" spans="2:2">
      <c r="B289"/>
    </row>
    <row r="290" spans="2:2">
      <c r="B290"/>
    </row>
    <row r="291" spans="2:2">
      <c r="B291"/>
    </row>
    <row r="292" spans="2:2">
      <c r="B292"/>
    </row>
    <row r="293" spans="2:2">
      <c r="B293"/>
    </row>
    <row r="294" spans="2:2">
      <c r="B294"/>
    </row>
    <row r="295" spans="2:2">
      <c r="B295"/>
    </row>
    <row r="296" spans="2:2">
      <c r="B296"/>
    </row>
    <row r="297" spans="2:2">
      <c r="B297"/>
    </row>
    <row r="298" spans="2:2">
      <c r="B298"/>
    </row>
    <row r="299" spans="2:2">
      <c r="B299"/>
    </row>
    <row r="300" spans="2:2">
      <c r="B300"/>
    </row>
    <row r="301" spans="2:2">
      <c r="B301"/>
    </row>
    <row r="302" spans="2:2">
      <c r="B302"/>
    </row>
    <row r="303" spans="2:2">
      <c r="B303"/>
    </row>
    <row r="304" spans="2:2">
      <c r="B304"/>
    </row>
    <row r="305" spans="2:2">
      <c r="B305"/>
    </row>
    <row r="306" spans="2:2">
      <c r="B306"/>
    </row>
    <row r="307" spans="2:2">
      <c r="B307"/>
    </row>
    <row r="308" spans="2:2">
      <c r="B308"/>
    </row>
    <row r="309" spans="2:2">
      <c r="B309"/>
    </row>
    <row r="310" spans="2:2">
      <c r="B310"/>
    </row>
    <row r="311" spans="2:2">
      <c r="B311"/>
    </row>
    <row r="312" spans="2:2">
      <c r="B312"/>
    </row>
    <row r="313" spans="2:2">
      <c r="B313"/>
    </row>
    <row r="314" spans="2:2">
      <c r="B314"/>
    </row>
    <row r="315" spans="2:2">
      <c r="B315"/>
    </row>
    <row r="316" spans="2:2">
      <c r="B316"/>
    </row>
    <row r="317" spans="2:2">
      <c r="B317"/>
    </row>
    <row r="318" spans="2:2">
      <c r="B318"/>
    </row>
    <row r="319" spans="2:2">
      <c r="B319"/>
    </row>
    <row r="320" spans="2:2">
      <c r="B320"/>
    </row>
    <row r="321" spans="2:2">
      <c r="B321"/>
    </row>
    <row r="322" spans="2:2">
      <c r="B322"/>
    </row>
    <row r="323" spans="2:2">
      <c r="B323"/>
    </row>
    <row r="324" spans="2:2">
      <c r="B324"/>
    </row>
    <row r="325" spans="2:2">
      <c r="B325"/>
    </row>
    <row r="326" spans="2:2">
      <c r="B326"/>
    </row>
    <row r="327" spans="2:2">
      <c r="B327"/>
    </row>
    <row r="328" spans="2:2">
      <c r="B328"/>
    </row>
    <row r="329" spans="2:2">
      <c r="B329"/>
    </row>
    <row r="330" spans="2:2">
      <c r="B330"/>
    </row>
    <row r="331" spans="2:2">
      <c r="B331"/>
    </row>
    <row r="332" spans="2:2">
      <c r="B332"/>
    </row>
    <row r="333" spans="2:2">
      <c r="B333"/>
    </row>
    <row r="334" spans="2:2">
      <c r="B334"/>
    </row>
    <row r="335" spans="2:2">
      <c r="B335"/>
    </row>
    <row r="336" spans="2:2">
      <c r="B336"/>
    </row>
    <row r="337" spans="2:2">
      <c r="B337"/>
    </row>
    <row r="338" spans="2:2">
      <c r="B338"/>
    </row>
    <row r="339" spans="2:2">
      <c r="B339"/>
    </row>
    <row r="340" spans="2:2">
      <c r="B340"/>
    </row>
    <row r="341" spans="2:2">
      <c r="B341"/>
    </row>
    <row r="342" spans="2:2">
      <c r="B342"/>
    </row>
    <row r="343" spans="2:2">
      <c r="B343"/>
    </row>
    <row r="344" spans="2:2">
      <c r="B344"/>
    </row>
    <row r="345" spans="2:2">
      <c r="B345"/>
    </row>
    <row r="346" spans="2:2">
      <c r="B346"/>
    </row>
    <row r="347" spans="2:2">
      <c r="B347"/>
    </row>
    <row r="348" spans="2:2">
      <c r="B348"/>
    </row>
    <row r="349" spans="2:2">
      <c r="B349"/>
    </row>
    <row r="350" spans="2:2">
      <c r="B350"/>
    </row>
    <row r="351" spans="2:2">
      <c r="B351"/>
    </row>
    <row r="352" spans="2:2">
      <c r="B352"/>
    </row>
    <row r="353" spans="2:2">
      <c r="B353"/>
    </row>
    <row r="354" spans="2:2">
      <c r="B354"/>
    </row>
    <row r="355" spans="2:2">
      <c r="B355"/>
    </row>
    <row r="356" spans="2:2">
      <c r="B356"/>
    </row>
    <row r="357" spans="2:2">
      <c r="B357"/>
    </row>
    <row r="358" spans="2:2">
      <c r="B358"/>
    </row>
    <row r="359" spans="2:2">
      <c r="B359"/>
    </row>
    <row r="360" spans="2:2">
      <c r="B360"/>
    </row>
    <row r="361" spans="2:2">
      <c r="B361"/>
    </row>
    <row r="362" spans="2:2">
      <c r="B362"/>
    </row>
    <row r="363" spans="2:2">
      <c r="B363"/>
    </row>
    <row r="364" spans="2:2">
      <c r="B364"/>
    </row>
    <row r="365" spans="2:2">
      <c r="B365"/>
    </row>
    <row r="366" spans="2:2">
      <c r="B366"/>
    </row>
    <row r="367" spans="2:2">
      <c r="B367"/>
    </row>
    <row r="368" spans="2:2">
      <c r="B368"/>
    </row>
    <row r="369" spans="2:2">
      <c r="B369"/>
    </row>
    <row r="370" spans="2:2">
      <c r="B370"/>
    </row>
    <row r="371" spans="2:2">
      <c r="B371"/>
    </row>
    <row r="372" spans="2:2">
      <c r="B372"/>
    </row>
    <row r="373" spans="2:2">
      <c r="B373"/>
    </row>
    <row r="374" spans="2:2">
      <c r="B374"/>
    </row>
    <row r="375" spans="2:2">
      <c r="B375"/>
    </row>
    <row r="376" spans="2:2">
      <c r="B376"/>
    </row>
    <row r="377" spans="2:2">
      <c r="B377"/>
    </row>
    <row r="378" spans="2:2">
      <c r="B378"/>
    </row>
    <row r="379" spans="2:2">
      <c r="B379"/>
    </row>
    <row r="380" spans="2:2">
      <c r="B380"/>
    </row>
    <row r="381" spans="2:2">
      <c r="B381"/>
    </row>
    <row r="382" spans="2:2">
      <c r="B382"/>
    </row>
    <row r="383" spans="2:2">
      <c r="B383"/>
    </row>
    <row r="384" spans="2:2">
      <c r="B384"/>
    </row>
    <row r="385" spans="2:2">
      <c r="B385"/>
    </row>
    <row r="386" spans="2:2">
      <c r="B386"/>
    </row>
    <row r="387" spans="2:2">
      <c r="B387"/>
    </row>
    <row r="388" spans="2:2">
      <c r="B388"/>
    </row>
    <row r="389" spans="2:2">
      <c r="B389"/>
    </row>
    <row r="390" spans="2:2">
      <c r="B390"/>
    </row>
    <row r="391" spans="2:2">
      <c r="B391"/>
    </row>
    <row r="392" spans="2:2">
      <c r="B392"/>
    </row>
    <row r="393" spans="2:2">
      <c r="B393"/>
    </row>
    <row r="394" spans="2:2">
      <c r="B394"/>
    </row>
    <row r="395" spans="2:2">
      <c r="B395"/>
    </row>
    <row r="396" spans="2:2">
      <c r="B396"/>
    </row>
    <row r="397" spans="2:2">
      <c r="B397"/>
    </row>
    <row r="398" spans="2:2">
      <c r="B398"/>
    </row>
    <row r="399" spans="2:2">
      <c r="B399"/>
    </row>
    <row r="400" spans="2:2">
      <c r="B400"/>
    </row>
    <row r="401" spans="2:2">
      <c r="B401"/>
    </row>
    <row r="402" spans="2:2">
      <c r="B402"/>
    </row>
    <row r="403" spans="2:2">
      <c r="B403"/>
    </row>
    <row r="404" spans="2:2">
      <c r="B404"/>
    </row>
    <row r="405" spans="2:2">
      <c r="B405"/>
    </row>
    <row r="406" spans="2:2">
      <c r="B406"/>
    </row>
    <row r="407" spans="2:2">
      <c r="B407"/>
    </row>
    <row r="408" spans="2:2">
      <c r="B408"/>
    </row>
    <row r="409" spans="2:2">
      <c r="B409"/>
    </row>
    <row r="410" spans="2:2">
      <c r="B410"/>
    </row>
    <row r="411" spans="2:2">
      <c r="B411"/>
    </row>
    <row r="412" spans="2:2">
      <c r="B412"/>
    </row>
    <row r="413" spans="2:2">
      <c r="B413"/>
    </row>
    <row r="414" spans="2:2">
      <c r="B414"/>
    </row>
    <row r="415" spans="2:2">
      <c r="B415"/>
    </row>
    <row r="416" spans="2:2">
      <c r="B416"/>
    </row>
    <row r="417" spans="2:2">
      <c r="B417"/>
    </row>
    <row r="418" spans="2:2">
      <c r="B418"/>
    </row>
    <row r="419" spans="2:2">
      <c r="B419"/>
    </row>
    <row r="420" spans="2:2">
      <c r="B420"/>
    </row>
    <row r="421" spans="2:2">
      <c r="B421"/>
    </row>
    <row r="422" spans="2:2">
      <c r="B422"/>
    </row>
    <row r="423" spans="2:2">
      <c r="B423"/>
    </row>
    <row r="424" spans="2:2">
      <c r="B424"/>
    </row>
    <row r="425" spans="2:2">
      <c r="B425"/>
    </row>
    <row r="426" spans="2:2">
      <c r="B426"/>
    </row>
    <row r="427" spans="2:2">
      <c r="B427"/>
    </row>
    <row r="428" spans="2:2">
      <c r="B428"/>
    </row>
    <row r="429" spans="2:2">
      <c r="B429"/>
    </row>
    <row r="430" spans="2:2">
      <c r="B430"/>
    </row>
    <row r="431" spans="2:2">
      <c r="B431"/>
    </row>
    <row r="432" spans="2:2">
      <c r="B432"/>
    </row>
    <row r="433" spans="2:2">
      <c r="B433"/>
    </row>
    <row r="434" spans="2:2">
      <c r="B434"/>
    </row>
    <row r="435" spans="2:2">
      <c r="B435"/>
    </row>
    <row r="436" spans="2:2">
      <c r="B436"/>
    </row>
    <row r="437" spans="2:2">
      <c r="B437"/>
    </row>
    <row r="438" spans="2:2">
      <c r="B438"/>
    </row>
    <row r="439" spans="2:2">
      <c r="B439"/>
    </row>
    <row r="440" spans="2:2">
      <c r="B440"/>
    </row>
    <row r="441" spans="2:2">
      <c r="B441"/>
    </row>
    <row r="442" spans="2:2">
      <c r="B442"/>
    </row>
    <row r="443" spans="2:2">
      <c r="B443"/>
    </row>
    <row r="444" spans="2:2">
      <c r="B444"/>
    </row>
    <row r="445" spans="2:2">
      <c r="B445"/>
    </row>
    <row r="446" spans="2:2">
      <c r="B446"/>
    </row>
    <row r="447" spans="2:2">
      <c r="B447"/>
    </row>
    <row r="448" spans="2:2">
      <c r="B448"/>
    </row>
    <row r="449" spans="2:2">
      <c r="B449"/>
    </row>
    <row r="450" spans="2:2">
      <c r="B450"/>
    </row>
    <row r="451" spans="2:2">
      <c r="B451"/>
    </row>
    <row r="452" spans="2:2">
      <c r="B452"/>
    </row>
    <row r="453" spans="2:2">
      <c r="B453"/>
    </row>
    <row r="454" spans="2:2">
      <c r="B454"/>
    </row>
    <row r="455" spans="2:2">
      <c r="B455"/>
    </row>
    <row r="456" spans="2:2">
      <c r="B456"/>
    </row>
    <row r="457" spans="2:2">
      <c r="B457"/>
    </row>
    <row r="458" spans="2:2">
      <c r="B458"/>
    </row>
    <row r="459" spans="2:2">
      <c r="B459"/>
    </row>
    <row r="460" spans="2:2">
      <c r="B460"/>
    </row>
    <row r="461" spans="2:2">
      <c r="B461"/>
    </row>
    <row r="462" spans="2:2">
      <c r="B462"/>
    </row>
    <row r="463" spans="2:2">
      <c r="B463"/>
    </row>
    <row r="464" spans="2:2">
      <c r="B464"/>
    </row>
    <row r="465" spans="2:2">
      <c r="B465"/>
    </row>
    <row r="466" spans="2:2">
      <c r="B466"/>
    </row>
    <row r="467" spans="2:2">
      <c r="B467"/>
    </row>
    <row r="468" spans="2:2">
      <c r="B468"/>
    </row>
    <row r="469" spans="2:2">
      <c r="B469"/>
    </row>
    <row r="470" spans="2:2">
      <c r="B470"/>
    </row>
    <row r="471" spans="2:2">
      <c r="B471"/>
    </row>
    <row r="472" spans="2:2">
      <c r="B472"/>
    </row>
    <row r="473" spans="2:2">
      <c r="B473"/>
    </row>
    <row r="474" spans="2:2">
      <c r="B474"/>
    </row>
    <row r="475" spans="2:2">
      <c r="B475"/>
    </row>
    <row r="476" spans="2:2">
      <c r="B476"/>
    </row>
    <row r="477" spans="2:2">
      <c r="B477"/>
    </row>
    <row r="478" spans="2:2">
      <c r="B478"/>
    </row>
    <row r="479" spans="2:2">
      <c r="B479"/>
    </row>
    <row r="480" spans="2:2">
      <c r="B480"/>
    </row>
    <row r="481" spans="2:2">
      <c r="B481"/>
    </row>
    <row r="482" spans="2:2">
      <c r="B482"/>
    </row>
    <row r="483" spans="2:2">
      <c r="B483"/>
    </row>
    <row r="484" spans="2:2">
      <c r="B484"/>
    </row>
    <row r="485" spans="2:2">
      <c r="B485"/>
    </row>
    <row r="486" spans="2:2">
      <c r="B486"/>
    </row>
    <row r="487" spans="2:2">
      <c r="B487"/>
    </row>
    <row r="488" spans="2:2">
      <c r="B488"/>
    </row>
    <row r="489" spans="2:2">
      <c r="B489"/>
    </row>
    <row r="490" spans="2:2">
      <c r="B490"/>
    </row>
    <row r="491" spans="2:2">
      <c r="B491"/>
    </row>
    <row r="492" spans="2:2">
      <c r="B492"/>
    </row>
    <row r="493" spans="2:2">
      <c r="B493"/>
    </row>
    <row r="494" spans="2:2">
      <c r="B494"/>
    </row>
    <row r="495" spans="2:2">
      <c r="B495"/>
    </row>
    <row r="496" spans="2:2">
      <c r="B496"/>
    </row>
    <row r="497" spans="2:2">
      <c r="B497"/>
    </row>
    <row r="498" spans="2:2">
      <c r="B498"/>
    </row>
    <row r="499" spans="2:2">
      <c r="B499"/>
    </row>
    <row r="500" spans="2:2">
      <c r="B500"/>
    </row>
    <row r="501" spans="2:2">
      <c r="B501"/>
    </row>
    <row r="502" spans="2:2">
      <c r="B502"/>
    </row>
    <row r="503" spans="2:2">
      <c r="B503"/>
    </row>
    <row r="504" spans="2:2">
      <c r="B504"/>
    </row>
    <row r="505" spans="2:2">
      <c r="B505"/>
    </row>
    <row r="506" spans="2:2">
      <c r="B506"/>
    </row>
    <row r="507" spans="2:2">
      <c r="B507"/>
    </row>
    <row r="508" spans="2:2">
      <c r="B508"/>
    </row>
    <row r="509" spans="2:2">
      <c r="B509"/>
    </row>
    <row r="510" spans="2:2">
      <c r="B510"/>
    </row>
    <row r="511" spans="2:2">
      <c r="B511"/>
    </row>
    <row r="512" spans="2:2">
      <c r="B512"/>
    </row>
    <row r="513" spans="2:2">
      <c r="B513"/>
    </row>
    <row r="514" spans="2:2">
      <c r="B514"/>
    </row>
    <row r="515" spans="2:2">
      <c r="B515"/>
    </row>
    <row r="516" spans="2:2">
      <c r="B516"/>
    </row>
    <row r="517" spans="2:2">
      <c r="B517"/>
    </row>
    <row r="518" spans="2:2">
      <c r="B518"/>
    </row>
    <row r="519" spans="2:2">
      <c r="B519"/>
    </row>
    <row r="520" spans="2:2">
      <c r="B520"/>
    </row>
    <row r="521" spans="2:2">
      <c r="B521"/>
    </row>
    <row r="522" spans="2:2">
      <c r="B522"/>
    </row>
    <row r="523" spans="2:2">
      <c r="B523"/>
    </row>
    <row r="524" spans="2:2">
      <c r="B524"/>
    </row>
    <row r="525" spans="2:2">
      <c r="B525"/>
    </row>
    <row r="526" spans="2:2">
      <c r="B526"/>
    </row>
    <row r="527" spans="2:2">
      <c r="B527"/>
    </row>
    <row r="528" spans="2:2">
      <c r="B528"/>
    </row>
    <row r="529" spans="2:2">
      <c r="B529"/>
    </row>
    <row r="530" spans="2:2">
      <c r="B530"/>
    </row>
    <row r="531" spans="2:2">
      <c r="B531"/>
    </row>
    <row r="532" spans="2:2">
      <c r="B532"/>
    </row>
    <row r="533" spans="2:2">
      <c r="B533"/>
    </row>
    <row r="534" spans="2:2">
      <c r="B534"/>
    </row>
    <row r="535" spans="2:2">
      <c r="B535"/>
    </row>
    <row r="536" spans="2:2">
      <c r="B536"/>
    </row>
    <row r="537" spans="2:2">
      <c r="B537"/>
    </row>
    <row r="538" spans="2:2">
      <c r="B538"/>
    </row>
    <row r="539" spans="2:2">
      <c r="B539"/>
    </row>
    <row r="540" spans="2:2">
      <c r="B540"/>
    </row>
    <row r="541" spans="2:2">
      <c r="B541"/>
    </row>
    <row r="542" spans="2:2">
      <c r="B542"/>
    </row>
    <row r="543" spans="2:2">
      <c r="B543"/>
    </row>
    <row r="544" spans="2:2">
      <c r="B544"/>
    </row>
    <row r="545" spans="2:2">
      <c r="B545"/>
    </row>
    <row r="546" spans="2:2">
      <c r="B546"/>
    </row>
    <row r="547" spans="2:2">
      <c r="B547"/>
    </row>
    <row r="548" spans="2:2">
      <c r="B548"/>
    </row>
    <row r="549" spans="2:2">
      <c r="B549"/>
    </row>
    <row r="550" spans="2:2">
      <c r="B550"/>
    </row>
    <row r="551" spans="2:2">
      <c r="B551"/>
    </row>
    <row r="552" spans="2:2">
      <c r="B552"/>
    </row>
    <row r="553" spans="2:2">
      <c r="B553"/>
    </row>
    <row r="554" spans="2:2">
      <c r="B554"/>
    </row>
    <row r="555" spans="2:2">
      <c r="B555"/>
    </row>
    <row r="556" spans="2:2">
      <c r="B556"/>
    </row>
    <row r="557" spans="2:2">
      <c r="B557"/>
    </row>
    <row r="558" spans="2:2">
      <c r="B558"/>
    </row>
    <row r="559" spans="2:2">
      <c r="B559"/>
    </row>
    <row r="560" spans="2:2">
      <c r="B560"/>
    </row>
    <row r="561" spans="2:2">
      <c r="B561"/>
    </row>
    <row r="562" spans="2:2">
      <c r="B562"/>
    </row>
    <row r="563" spans="2:2">
      <c r="B563"/>
    </row>
    <row r="564" spans="2:2">
      <c r="B564"/>
    </row>
    <row r="565" spans="2:2">
      <c r="B565"/>
    </row>
    <row r="566" spans="2:2">
      <c r="B566"/>
    </row>
    <row r="567" spans="2:2">
      <c r="B567"/>
    </row>
    <row r="568" spans="2:2">
      <c r="B568"/>
    </row>
    <row r="569" spans="2:2">
      <c r="B569"/>
    </row>
    <row r="570" spans="2:2">
      <c r="B570"/>
    </row>
    <row r="571" spans="2:2">
      <c r="B571"/>
    </row>
    <row r="572" spans="2:2">
      <c r="B572"/>
    </row>
    <row r="573" spans="2:2">
      <c r="B573"/>
    </row>
    <row r="574" spans="2:2">
      <c r="B574"/>
    </row>
    <row r="575" spans="2:2">
      <c r="B575"/>
    </row>
    <row r="576" spans="2:2">
      <c r="B576"/>
    </row>
    <row r="577" spans="2:2">
      <c r="B577"/>
    </row>
    <row r="578" spans="2:2">
      <c r="B578"/>
    </row>
    <row r="579" spans="2:2">
      <c r="B579"/>
    </row>
    <row r="580" spans="2:2">
      <c r="B580"/>
    </row>
    <row r="581" spans="2:2">
      <c r="B581"/>
    </row>
    <row r="582" spans="2:2">
      <c r="B582"/>
    </row>
    <row r="583" spans="2:2">
      <c r="B583"/>
    </row>
    <row r="584" spans="2:2">
      <c r="B584"/>
    </row>
    <row r="585" spans="2:2">
      <c r="B585"/>
    </row>
    <row r="586" spans="2:2">
      <c r="B586"/>
    </row>
    <row r="587" spans="2:2">
      <c r="B587"/>
    </row>
    <row r="588" spans="2:2">
      <c r="B588"/>
    </row>
    <row r="589" spans="2:2">
      <c r="B589"/>
    </row>
    <row r="590" spans="2:2">
      <c r="B590"/>
    </row>
    <row r="591" spans="2:2">
      <c r="B591"/>
    </row>
    <row r="592" spans="2:2">
      <c r="B592"/>
    </row>
    <row r="593" spans="2:2">
      <c r="B593"/>
    </row>
    <row r="594" spans="2:2">
      <c r="B594"/>
    </row>
    <row r="595" spans="2:2">
      <c r="B595"/>
    </row>
    <row r="596" spans="2:2">
      <c r="B596"/>
    </row>
    <row r="597" spans="2:2">
      <c r="B597"/>
    </row>
    <row r="598" spans="2:2">
      <c r="B598"/>
    </row>
    <row r="599" spans="2:2">
      <c r="B599"/>
    </row>
    <row r="600" spans="2:2">
      <c r="B600"/>
    </row>
    <row r="601" spans="2:2">
      <c r="B601"/>
    </row>
    <row r="602" spans="2:2">
      <c r="B602"/>
    </row>
    <row r="603" spans="2:2">
      <c r="B603"/>
    </row>
    <row r="604" spans="2:2">
      <c r="B604"/>
    </row>
    <row r="605" spans="2:2">
      <c r="B605"/>
    </row>
    <row r="606" spans="2:2">
      <c r="B606"/>
    </row>
    <row r="607" spans="2:2">
      <c r="B607"/>
    </row>
    <row r="608" spans="2:2">
      <c r="B608"/>
    </row>
    <row r="609" spans="2:2">
      <c r="B609"/>
    </row>
    <row r="610" spans="2:2">
      <c r="B610"/>
    </row>
    <row r="611" spans="2:2">
      <c r="B611"/>
    </row>
    <row r="612" spans="2:2">
      <c r="B612"/>
    </row>
    <row r="613" spans="2:2">
      <c r="B613"/>
    </row>
    <row r="614" spans="2:2">
      <c r="B614"/>
    </row>
    <row r="615" spans="2:2">
      <c r="B615"/>
    </row>
    <row r="616" spans="2:2">
      <c r="B616"/>
    </row>
    <row r="617" spans="2:2">
      <c r="B617"/>
    </row>
    <row r="618" spans="2:2">
      <c r="B618"/>
    </row>
    <row r="619" spans="2:2">
      <c r="B619"/>
    </row>
    <row r="620" spans="2:2">
      <c r="B620"/>
    </row>
    <row r="621" spans="2:2">
      <c r="B621"/>
    </row>
    <row r="622" spans="2:2">
      <c r="B622"/>
    </row>
    <row r="623" spans="2:2">
      <c r="B623"/>
    </row>
    <row r="624" spans="2:2">
      <c r="B624"/>
    </row>
    <row r="625" spans="2:2">
      <c r="B625"/>
    </row>
    <row r="626" spans="2:2">
      <c r="B626"/>
    </row>
    <row r="627" spans="2:2">
      <c r="B627"/>
    </row>
    <row r="628" spans="2:2">
      <c r="B628"/>
    </row>
    <row r="629" spans="2:2">
      <c r="B629"/>
    </row>
    <row r="630" spans="2:2">
      <c r="B630"/>
    </row>
    <row r="631" spans="2:2">
      <c r="B631"/>
    </row>
    <row r="632" spans="2:2">
      <c r="B632"/>
    </row>
    <row r="633" spans="2:2">
      <c r="B633"/>
    </row>
    <row r="634" spans="2:2">
      <c r="B634"/>
    </row>
    <row r="635" spans="2:2">
      <c r="B635"/>
    </row>
    <row r="636" spans="2:2">
      <c r="B636"/>
    </row>
    <row r="637" spans="2:2">
      <c r="B637"/>
    </row>
    <row r="638" spans="2:2">
      <c r="B638"/>
    </row>
    <row r="639" spans="2:2">
      <c r="B639"/>
    </row>
    <row r="640" spans="2:2">
      <c r="B640"/>
    </row>
    <row r="641" spans="2:2">
      <c r="B641"/>
    </row>
    <row r="642" spans="2:2">
      <c r="B642"/>
    </row>
    <row r="643" spans="2:2">
      <c r="B643"/>
    </row>
    <row r="644" spans="2:2">
      <c r="B644"/>
    </row>
    <row r="645" spans="2:2">
      <c r="B645"/>
    </row>
    <row r="646" spans="2:2">
      <c r="B646"/>
    </row>
    <row r="647" spans="2:2">
      <c r="B647"/>
    </row>
    <row r="648" spans="2:2">
      <c r="B648"/>
    </row>
    <row r="649" spans="2:2">
      <c r="B649"/>
    </row>
    <row r="650" spans="2:2">
      <c r="B650"/>
    </row>
    <row r="651" spans="2:2">
      <c r="B651"/>
    </row>
    <row r="652" spans="2:2">
      <c r="B652"/>
    </row>
    <row r="653" spans="2:2">
      <c r="B653"/>
    </row>
    <row r="654" spans="2:2">
      <c r="B654"/>
    </row>
    <row r="655" spans="2:2">
      <c r="B655"/>
    </row>
    <row r="656" spans="2:2">
      <c r="B656"/>
    </row>
    <row r="657" spans="2:2">
      <c r="B657"/>
    </row>
    <row r="658" spans="2:2">
      <c r="B658"/>
    </row>
    <row r="659" spans="2:2">
      <c r="B659"/>
    </row>
    <row r="660" spans="2:2">
      <c r="B660"/>
    </row>
    <row r="661" spans="2:2">
      <c r="B661"/>
    </row>
    <row r="662" spans="2:2">
      <c r="B662"/>
    </row>
    <row r="663" spans="2:2">
      <c r="B663"/>
    </row>
    <row r="664" spans="2:2">
      <c r="B664"/>
    </row>
    <row r="665" spans="2:2">
      <c r="B665"/>
    </row>
    <row r="666" spans="2:2">
      <c r="B666"/>
    </row>
    <row r="667" spans="2:2">
      <c r="B667"/>
    </row>
    <row r="668" spans="2:2">
      <c r="B668"/>
    </row>
    <row r="669" spans="2:2">
      <c r="B669"/>
    </row>
    <row r="670" spans="2:2">
      <c r="B670"/>
    </row>
    <row r="671" spans="2:2">
      <c r="B671"/>
    </row>
    <row r="672" spans="2:2">
      <c r="B672"/>
    </row>
    <row r="673" spans="2:2">
      <c r="B673"/>
    </row>
    <row r="674" spans="2:2">
      <c r="B674"/>
    </row>
    <row r="675" spans="2:2">
      <c r="B675"/>
    </row>
    <row r="676" spans="2:2">
      <c r="B676"/>
    </row>
    <row r="677" spans="2:2">
      <c r="B677"/>
    </row>
    <row r="678" spans="2:2">
      <c r="B678"/>
    </row>
    <row r="679" spans="2:2">
      <c r="B679"/>
    </row>
    <row r="680" spans="2:2">
      <c r="B680"/>
    </row>
    <row r="681" spans="2:2">
      <c r="B681"/>
    </row>
    <row r="682" spans="2:2">
      <c r="B682"/>
    </row>
    <row r="683" spans="2:2">
      <c r="B683"/>
    </row>
    <row r="684" spans="2:2">
      <c r="B684"/>
    </row>
    <row r="685" spans="2:2">
      <c r="B685"/>
    </row>
    <row r="686" spans="2:2">
      <c r="B686"/>
    </row>
    <row r="687" spans="2:2">
      <c r="B687"/>
    </row>
    <row r="688" spans="2:2">
      <c r="B688"/>
    </row>
    <row r="689" spans="2:2">
      <c r="B689"/>
    </row>
    <row r="690" spans="2:2">
      <c r="B690"/>
    </row>
    <row r="691" spans="2:2">
      <c r="B691"/>
    </row>
    <row r="692" spans="2:2">
      <c r="B692"/>
    </row>
    <row r="693" spans="2:2">
      <c r="B693"/>
    </row>
    <row r="694" spans="2:2">
      <c r="B694"/>
    </row>
    <row r="695" spans="2:2">
      <c r="B695"/>
    </row>
    <row r="696" spans="2:2">
      <c r="B696"/>
    </row>
    <row r="697" spans="2:2">
      <c r="B697"/>
    </row>
    <row r="698" spans="2:2">
      <c r="B698"/>
    </row>
    <row r="699" spans="2:2">
      <c r="B699"/>
    </row>
    <row r="700" spans="2:2">
      <c r="B700"/>
    </row>
    <row r="701" spans="2:2">
      <c r="B701"/>
    </row>
    <row r="702" spans="2:2">
      <c r="B702"/>
    </row>
    <row r="703" spans="2:2">
      <c r="B703"/>
    </row>
    <row r="704" spans="2:2">
      <c r="B704"/>
    </row>
    <row r="705" spans="2:2">
      <c r="B705"/>
    </row>
    <row r="706" spans="2:2">
      <c r="B706"/>
    </row>
    <row r="707" spans="2:2">
      <c r="B707"/>
    </row>
    <row r="708" spans="2:2">
      <c r="B708"/>
    </row>
    <row r="709" spans="2:2">
      <c r="B709"/>
    </row>
    <row r="710" spans="2:2">
      <c r="B710"/>
    </row>
    <row r="711" spans="2:2">
      <c r="B711"/>
    </row>
    <row r="712" spans="2:2">
      <c r="B712"/>
    </row>
    <row r="713" spans="2:2">
      <c r="B713"/>
    </row>
    <row r="714" spans="2:2">
      <c r="B714"/>
    </row>
    <row r="715" spans="2:2">
      <c r="B715"/>
    </row>
    <row r="716" spans="2:2">
      <c r="B716"/>
    </row>
    <row r="717" spans="2:2">
      <c r="B717"/>
    </row>
    <row r="718" spans="2:2">
      <c r="B718"/>
    </row>
    <row r="719" spans="2:2">
      <c r="B719"/>
    </row>
    <row r="720" spans="2:2">
      <c r="B720"/>
    </row>
    <row r="721" spans="2:2">
      <c r="B721"/>
    </row>
    <row r="722" spans="2:2">
      <c r="B722"/>
    </row>
    <row r="723" spans="2:2">
      <c r="B723"/>
    </row>
    <row r="724" spans="2:2">
      <c r="B724"/>
    </row>
    <row r="725" spans="2:2">
      <c r="B725"/>
    </row>
    <row r="726" spans="2:2">
      <c r="B726"/>
    </row>
    <row r="727" spans="2:2">
      <c r="B727"/>
    </row>
    <row r="728" spans="2:2">
      <c r="B728"/>
    </row>
    <row r="729" spans="2:2">
      <c r="B729"/>
    </row>
    <row r="730" spans="2:2">
      <c r="B730"/>
    </row>
    <row r="731" spans="2:2">
      <c r="B731"/>
    </row>
    <row r="732" spans="2:2">
      <c r="B732"/>
    </row>
    <row r="733" spans="2:2">
      <c r="B733"/>
    </row>
    <row r="734" spans="2:2">
      <c r="B734"/>
    </row>
    <row r="735" spans="2:2">
      <c r="B735"/>
    </row>
    <row r="736" spans="2:2">
      <c r="B736"/>
    </row>
    <row r="737" spans="2:2">
      <c r="B737"/>
    </row>
    <row r="738" spans="2:2">
      <c r="B738"/>
    </row>
    <row r="739" spans="2:2">
      <c r="B739"/>
    </row>
    <row r="740" spans="2:2">
      <c r="B740"/>
    </row>
    <row r="741" spans="2:2">
      <c r="B741"/>
    </row>
    <row r="742" spans="2:2">
      <c r="B742"/>
    </row>
    <row r="743" spans="2:2">
      <c r="B743"/>
    </row>
    <row r="744" spans="2:2">
      <c r="B744"/>
    </row>
    <row r="745" spans="2:2">
      <c r="B745"/>
    </row>
    <row r="746" spans="2:2">
      <c r="B746"/>
    </row>
    <row r="747" spans="2:2">
      <c r="B747"/>
    </row>
    <row r="748" spans="2:2">
      <c r="B748"/>
    </row>
    <row r="749" spans="2:2">
      <c r="B749"/>
    </row>
    <row r="750" spans="2:2">
      <c r="B750"/>
    </row>
    <row r="751" spans="2:2">
      <c r="B751"/>
    </row>
    <row r="752" spans="2:2">
      <c r="B752"/>
    </row>
    <row r="753" spans="2:2">
      <c r="B753"/>
    </row>
    <row r="754" spans="2:2">
      <c r="B754"/>
    </row>
    <row r="755" spans="2:2">
      <c r="B755"/>
    </row>
    <row r="756" spans="2:2">
      <c r="B756"/>
    </row>
    <row r="757" spans="2:2">
      <c r="B757"/>
    </row>
    <row r="758" spans="2:2">
      <c r="B758"/>
    </row>
    <row r="759" spans="2:2">
      <c r="B759"/>
    </row>
    <row r="760" spans="2:2">
      <c r="B760"/>
    </row>
    <row r="761" spans="2:2">
      <c r="B761"/>
    </row>
    <row r="762" spans="2:2">
      <c r="B762"/>
    </row>
    <row r="763" spans="2:2">
      <c r="B763"/>
    </row>
    <row r="764" spans="2:2">
      <c r="B764"/>
    </row>
    <row r="765" spans="2:2">
      <c r="B765"/>
    </row>
    <row r="766" spans="2:2">
      <c r="B766"/>
    </row>
    <row r="767" spans="2:2">
      <c r="B767"/>
    </row>
    <row r="768" spans="2:2">
      <c r="B768"/>
    </row>
    <row r="769" spans="2:2">
      <c r="B769"/>
    </row>
    <row r="770" spans="2:2">
      <c r="B770"/>
    </row>
    <row r="771" spans="2:2">
      <c r="B771"/>
    </row>
    <row r="772" spans="2:2">
      <c r="B772"/>
    </row>
    <row r="773" spans="2:2">
      <c r="B773"/>
    </row>
    <row r="774" spans="2:2">
      <c r="B774"/>
    </row>
    <row r="775" spans="2:2">
      <c r="B775"/>
    </row>
    <row r="776" spans="2:2">
      <c r="B776"/>
    </row>
    <row r="777" spans="2:2">
      <c r="B777"/>
    </row>
    <row r="778" spans="2:2">
      <c r="B778"/>
    </row>
    <row r="779" spans="2:2">
      <c r="B779"/>
    </row>
    <row r="780" spans="2:2">
      <c r="B780"/>
    </row>
    <row r="781" spans="2:2">
      <c r="B781"/>
    </row>
    <row r="782" spans="2:2">
      <c r="B782"/>
    </row>
    <row r="783" spans="2:2">
      <c r="B783"/>
    </row>
    <row r="784" spans="2:2">
      <c r="B784"/>
    </row>
    <row r="785" spans="2:2">
      <c r="B785"/>
    </row>
    <row r="786" spans="2:2">
      <c r="B786"/>
    </row>
    <row r="787" spans="2:2">
      <c r="B787"/>
    </row>
    <row r="788" spans="2:2">
      <c r="B788"/>
    </row>
    <row r="789" spans="2:2">
      <c r="B789"/>
    </row>
    <row r="790" spans="2:2">
      <c r="B790"/>
    </row>
    <row r="791" spans="2:2">
      <c r="B791"/>
    </row>
    <row r="792" spans="2:2">
      <c r="B792"/>
    </row>
    <row r="793" spans="2:2">
      <c r="B793"/>
    </row>
    <row r="794" spans="2:2">
      <c r="B794"/>
    </row>
    <row r="795" spans="2:2">
      <c r="B795"/>
    </row>
    <row r="796" spans="2:2">
      <c r="B796"/>
    </row>
    <row r="797" spans="2:2">
      <c r="B797"/>
    </row>
    <row r="798" spans="2:2">
      <c r="B798"/>
    </row>
    <row r="799" spans="2:2">
      <c r="B799"/>
    </row>
    <row r="800" spans="2:2">
      <c r="B800"/>
    </row>
    <row r="801" spans="2:2">
      <c r="B801"/>
    </row>
    <row r="802" spans="2:2">
      <c r="B802"/>
    </row>
    <row r="803" spans="2:2">
      <c r="B803"/>
    </row>
    <row r="804" spans="2:2">
      <c r="B804"/>
    </row>
    <row r="805" spans="2:2">
      <c r="B805"/>
    </row>
    <row r="806" spans="2:2">
      <c r="B806"/>
    </row>
    <row r="807" spans="2:2">
      <c r="B807"/>
    </row>
    <row r="808" spans="2:2">
      <c r="B808"/>
    </row>
    <row r="809" spans="2:2">
      <c r="B809"/>
    </row>
    <row r="810" spans="2:2">
      <c r="B810"/>
    </row>
    <row r="811" spans="2:2">
      <c r="B811"/>
    </row>
    <row r="812" spans="2:2">
      <c r="B812"/>
    </row>
    <row r="813" spans="2:2">
      <c r="B813"/>
    </row>
    <row r="814" spans="2:2">
      <c r="B814"/>
    </row>
    <row r="815" spans="2:2">
      <c r="B815"/>
    </row>
    <row r="816" spans="2:2">
      <c r="B816"/>
    </row>
    <row r="817" spans="2:2">
      <c r="B817"/>
    </row>
    <row r="818" spans="2:2">
      <c r="B818"/>
    </row>
    <row r="819" spans="2:2">
      <c r="B819"/>
    </row>
    <row r="820" spans="2:2">
      <c r="B820"/>
    </row>
    <row r="821" spans="2:2">
      <c r="B821"/>
    </row>
    <row r="822" spans="2:2">
      <c r="B822"/>
    </row>
    <row r="823" spans="2:2">
      <c r="B823"/>
    </row>
    <row r="824" spans="2:2">
      <c r="B824"/>
    </row>
    <row r="825" spans="2:2">
      <c r="B825"/>
    </row>
    <row r="826" spans="2:2">
      <c r="B826"/>
    </row>
    <row r="827" spans="2:2">
      <c r="B827"/>
    </row>
    <row r="828" spans="2:2">
      <c r="B828"/>
    </row>
    <row r="829" spans="2:2">
      <c r="B829"/>
    </row>
    <row r="830" spans="2:2">
      <c r="B830"/>
    </row>
    <row r="831" spans="2:2">
      <c r="B831"/>
    </row>
    <row r="832" spans="2:2">
      <c r="B832"/>
    </row>
    <row r="833" spans="2:2">
      <c r="B833"/>
    </row>
    <row r="834" spans="2:2">
      <c r="B834"/>
    </row>
    <row r="835" spans="2:2">
      <c r="B835"/>
    </row>
    <row r="836" spans="2:2">
      <c r="B836"/>
    </row>
    <row r="837" spans="2:2">
      <c r="B837"/>
    </row>
    <row r="838" spans="2:2">
      <c r="B838"/>
    </row>
    <row r="839" spans="2:2">
      <c r="B839"/>
    </row>
    <row r="840" spans="2:2">
      <c r="B840"/>
    </row>
    <row r="841" spans="2:2">
      <c r="B841"/>
    </row>
    <row r="842" spans="2:2">
      <c r="B842"/>
    </row>
    <row r="843" spans="2:2">
      <c r="B843"/>
    </row>
    <row r="844" spans="2:2">
      <c r="B844"/>
    </row>
    <row r="845" spans="2:2">
      <c r="B845"/>
    </row>
    <row r="846" spans="2:2">
      <c r="B846"/>
    </row>
    <row r="847" spans="2:2">
      <c r="B847"/>
    </row>
    <row r="848" spans="2:2">
      <c r="B848"/>
    </row>
    <row r="849" spans="2:2">
      <c r="B849"/>
    </row>
    <row r="850" spans="2:2">
      <c r="B850"/>
    </row>
    <row r="851" spans="2:2">
      <c r="B851"/>
    </row>
    <row r="852" spans="2:2">
      <c r="B852"/>
    </row>
    <row r="853" spans="2:2">
      <c r="B853"/>
    </row>
    <row r="854" spans="2:2">
      <c r="B854"/>
    </row>
    <row r="855" spans="2:2">
      <c r="B855"/>
    </row>
    <row r="856" spans="2:2">
      <c r="B856"/>
    </row>
    <row r="857" spans="2:2">
      <c r="B857"/>
    </row>
    <row r="858" spans="2:2">
      <c r="B858"/>
    </row>
    <row r="859" spans="2:2">
      <c r="B859"/>
    </row>
    <row r="860" spans="2:2">
      <c r="B860"/>
    </row>
    <row r="861" spans="2:2">
      <c r="B861"/>
    </row>
    <row r="862" spans="2:2">
      <c r="B862"/>
    </row>
    <row r="863" spans="2:2">
      <c r="B863"/>
    </row>
    <row r="864" spans="2:2">
      <c r="B864"/>
    </row>
    <row r="865" spans="2:2">
      <c r="B865"/>
    </row>
    <row r="866" spans="2:2">
      <c r="B866"/>
    </row>
    <row r="867" spans="2:2">
      <c r="B867"/>
    </row>
    <row r="868" spans="2:2">
      <c r="B868"/>
    </row>
    <row r="869" spans="2:2">
      <c r="B869"/>
    </row>
    <row r="870" spans="2:2">
      <c r="B870"/>
    </row>
    <row r="871" spans="2:2">
      <c r="B871"/>
    </row>
    <row r="872" spans="2:2">
      <c r="B872"/>
    </row>
    <row r="873" spans="2:2">
      <c r="B873"/>
    </row>
    <row r="874" spans="2:2">
      <c r="B874"/>
    </row>
    <row r="875" spans="2:2">
      <c r="B875"/>
    </row>
    <row r="876" spans="2:2">
      <c r="B876"/>
    </row>
    <row r="877" spans="2:2">
      <c r="B877"/>
    </row>
    <row r="878" spans="2:2">
      <c r="B878"/>
    </row>
    <row r="879" spans="2:2">
      <c r="B879"/>
    </row>
    <row r="880" spans="2:2">
      <c r="B880"/>
    </row>
    <row r="881" spans="2:2">
      <c r="B881"/>
    </row>
    <row r="882" spans="2:2">
      <c r="B882"/>
    </row>
    <row r="883" spans="2:2">
      <c r="B883"/>
    </row>
    <row r="884" spans="2:2">
      <c r="B884"/>
    </row>
    <row r="885" spans="2:2">
      <c r="B885"/>
    </row>
    <row r="886" spans="2:2">
      <c r="B886"/>
    </row>
    <row r="887" spans="2:2">
      <c r="B887"/>
    </row>
    <row r="888" spans="2:2">
      <c r="B888"/>
    </row>
    <row r="889" spans="2:2">
      <c r="B889"/>
    </row>
    <row r="890" spans="2:2">
      <c r="B890"/>
    </row>
    <row r="891" spans="2:2">
      <c r="B891"/>
    </row>
    <row r="892" spans="2:2">
      <c r="B892"/>
    </row>
    <row r="893" spans="2:2">
      <c r="B893"/>
    </row>
    <row r="894" spans="2:2">
      <c r="B894"/>
    </row>
    <row r="895" spans="2:2">
      <c r="B895"/>
    </row>
    <row r="896" spans="2:2">
      <c r="B896"/>
    </row>
    <row r="897" spans="2:2">
      <c r="B897"/>
    </row>
    <row r="898" spans="2:2">
      <c r="B898"/>
    </row>
    <row r="899" spans="2:2">
      <c r="B899"/>
    </row>
    <row r="900" spans="2:2">
      <c r="B900"/>
    </row>
    <row r="901" spans="2:2">
      <c r="B901"/>
    </row>
    <row r="902" spans="2:2">
      <c r="B902"/>
    </row>
    <row r="903" spans="2:2">
      <c r="B903"/>
    </row>
    <row r="904" spans="2:2">
      <c r="B904"/>
    </row>
    <row r="905" spans="2:2">
      <c r="B905"/>
    </row>
    <row r="906" spans="2:2">
      <c r="B906"/>
    </row>
    <row r="907" spans="2:2">
      <c r="B907"/>
    </row>
    <row r="908" spans="2:2">
      <c r="B908"/>
    </row>
    <row r="909" spans="2:2">
      <c r="B909"/>
    </row>
    <row r="910" spans="2:2">
      <c r="B910"/>
    </row>
    <row r="911" spans="2:2">
      <c r="B911"/>
    </row>
    <row r="912" spans="2:2">
      <c r="B912"/>
    </row>
    <row r="913" spans="2:2">
      <c r="B913"/>
    </row>
    <row r="914" spans="2:2">
      <c r="B914"/>
    </row>
    <row r="915" spans="2:2">
      <c r="B915"/>
    </row>
    <row r="916" spans="2:2">
      <c r="B916"/>
    </row>
    <row r="917" spans="2:2">
      <c r="B917"/>
    </row>
    <row r="918" spans="2:2">
      <c r="B918"/>
    </row>
    <row r="919" spans="2:2">
      <c r="B919"/>
    </row>
    <row r="920" spans="2:2">
      <c r="B920"/>
    </row>
    <row r="921" spans="2:2">
      <c r="B921"/>
    </row>
    <row r="922" spans="2:2">
      <c r="B922"/>
    </row>
    <row r="923" spans="2:2">
      <c r="B923"/>
    </row>
    <row r="924" spans="2:2">
      <c r="B924"/>
    </row>
    <row r="925" spans="2:2">
      <c r="B925"/>
    </row>
    <row r="926" spans="2:2">
      <c r="B926"/>
    </row>
    <row r="927" spans="2:2">
      <c r="B927"/>
    </row>
    <row r="928" spans="2:2">
      <c r="B928"/>
    </row>
    <row r="929" spans="2:2">
      <c r="B929"/>
    </row>
    <row r="930" spans="2:2">
      <c r="B930"/>
    </row>
    <row r="931" spans="2:2">
      <c r="B931"/>
    </row>
    <row r="932" spans="2:2">
      <c r="B932"/>
    </row>
    <row r="933" spans="2:2">
      <c r="B933"/>
    </row>
    <row r="934" spans="2:2">
      <c r="B934"/>
    </row>
    <row r="935" spans="2:2">
      <c r="B935"/>
    </row>
    <row r="936" spans="2:2">
      <c r="B936"/>
    </row>
    <row r="937" spans="2:2">
      <c r="B937"/>
    </row>
    <row r="938" spans="2:2">
      <c r="B938"/>
    </row>
    <row r="939" spans="2:2">
      <c r="B939"/>
    </row>
    <row r="940" spans="2:2">
      <c r="B940"/>
    </row>
    <row r="941" spans="2:2">
      <c r="B941"/>
    </row>
    <row r="942" spans="2:2">
      <c r="B942"/>
    </row>
    <row r="943" spans="2:2">
      <c r="B943"/>
    </row>
    <row r="944" spans="2:2">
      <c r="B944"/>
    </row>
    <row r="945" spans="2:2">
      <c r="B945"/>
    </row>
    <row r="946" spans="2:2">
      <c r="B946"/>
    </row>
    <row r="947" spans="2:2">
      <c r="B947"/>
    </row>
    <row r="948" spans="2:2">
      <c r="B948"/>
    </row>
    <row r="949" spans="2:2">
      <c r="B949"/>
    </row>
    <row r="950" spans="2:2">
      <c r="B950"/>
    </row>
    <row r="951" spans="2:2">
      <c r="B951"/>
    </row>
    <row r="952" spans="2:2">
      <c r="B952"/>
    </row>
    <row r="953" spans="2:2">
      <c r="B953"/>
    </row>
    <row r="954" spans="2:2">
      <c r="B954"/>
    </row>
    <row r="955" spans="2:2">
      <c r="B955"/>
    </row>
    <row r="956" spans="2:2">
      <c r="B956"/>
    </row>
    <row r="957" spans="2:2">
      <c r="B957"/>
    </row>
    <row r="958" spans="2:2">
      <c r="B958"/>
    </row>
    <row r="959" spans="2:2">
      <c r="B959"/>
    </row>
    <row r="960" spans="2:2">
      <c r="B960"/>
    </row>
    <row r="961" spans="2:2">
      <c r="B961"/>
    </row>
    <row r="962" spans="2:2">
      <c r="B962"/>
    </row>
    <row r="963" spans="2:2">
      <c r="B963"/>
    </row>
    <row r="964" spans="2:2">
      <c r="B964"/>
    </row>
    <row r="965" spans="2:2">
      <c r="B965"/>
    </row>
    <row r="966" spans="2:2">
      <c r="B966"/>
    </row>
    <row r="967" spans="2:2">
      <c r="B967"/>
    </row>
    <row r="968" spans="2:2">
      <c r="B968"/>
    </row>
    <row r="969" spans="2:2">
      <c r="B969"/>
    </row>
    <row r="970" spans="2:2">
      <c r="B970"/>
    </row>
    <row r="971" spans="2:2">
      <c r="B971"/>
    </row>
    <row r="972" spans="2:2">
      <c r="B972"/>
    </row>
    <row r="973" spans="2:2">
      <c r="B973"/>
    </row>
    <row r="974" spans="2:2">
      <c r="B974"/>
    </row>
    <row r="975" spans="2:2">
      <c r="B975"/>
    </row>
    <row r="976" spans="2:2">
      <c r="B976"/>
    </row>
    <row r="977" spans="2:2">
      <c r="B977"/>
    </row>
    <row r="978" spans="2:2">
      <c r="B978"/>
    </row>
    <row r="979" spans="2:2">
      <c r="B979"/>
    </row>
    <row r="980" spans="2:2">
      <c r="B980"/>
    </row>
    <row r="981" spans="2:2">
      <c r="B981"/>
    </row>
    <row r="982" spans="2:2">
      <c r="B982"/>
    </row>
    <row r="983" spans="2:2">
      <c r="B983"/>
    </row>
    <row r="984" spans="2:2">
      <c r="B984"/>
    </row>
    <row r="985" spans="2:2">
      <c r="B985"/>
    </row>
    <row r="986" spans="2:2">
      <c r="B986"/>
    </row>
    <row r="987" spans="2:2">
      <c r="B987"/>
    </row>
    <row r="988" spans="2:2">
      <c r="B988"/>
    </row>
    <row r="989" spans="2:2">
      <c r="B989"/>
    </row>
    <row r="990" spans="2:2">
      <c r="B990"/>
    </row>
    <row r="991" spans="2:2">
      <c r="B991"/>
    </row>
    <row r="992" spans="2:2">
      <c r="B992"/>
    </row>
    <row r="993" spans="2:2">
      <c r="B993"/>
    </row>
    <row r="994" spans="2:2">
      <c r="B994"/>
    </row>
    <row r="995" spans="2:2">
      <c r="B995"/>
    </row>
    <row r="996" spans="2:2">
      <c r="B996"/>
    </row>
    <row r="997" spans="2:2">
      <c r="B997"/>
    </row>
    <row r="998" spans="2:2">
      <c r="B998"/>
    </row>
    <row r="999" spans="2:2">
      <c r="B999"/>
    </row>
    <row r="1000" spans="2:2">
      <c r="B1000"/>
    </row>
    <row r="1001" spans="2:2">
      <c r="B1001"/>
    </row>
    <row r="1002" spans="2:2">
      <c r="B1002"/>
    </row>
    <row r="1003" spans="2:2">
      <c r="B1003"/>
    </row>
    <row r="1004" spans="2:2">
      <c r="B1004"/>
    </row>
    <row r="1005" spans="2:2">
      <c r="B1005"/>
    </row>
    <row r="1006" spans="2:2">
      <c r="B1006"/>
    </row>
    <row r="1007" spans="2:2">
      <c r="B1007"/>
    </row>
    <row r="1008" spans="2:2">
      <c r="B1008"/>
    </row>
    <row r="1009" spans="2:2">
      <c r="B1009"/>
    </row>
    <row r="1010" spans="2:2">
      <c r="B1010"/>
    </row>
    <row r="1011" spans="2:2">
      <c r="B1011"/>
    </row>
    <row r="1012" spans="2:2">
      <c r="B1012"/>
    </row>
    <row r="1013" spans="2:2">
      <c r="B1013"/>
    </row>
    <row r="1014" spans="2:2">
      <c r="B1014"/>
    </row>
    <row r="1015" spans="2:2">
      <c r="B1015"/>
    </row>
    <row r="1016" spans="2:2">
      <c r="B1016"/>
    </row>
    <row r="1017" spans="2:2">
      <c r="B1017"/>
    </row>
    <row r="1018" spans="2:2">
      <c r="B1018"/>
    </row>
    <row r="1019" spans="2:2">
      <c r="B1019"/>
    </row>
    <row r="1020" spans="2:2">
      <c r="B1020"/>
    </row>
    <row r="1021" spans="2:2">
      <c r="B1021"/>
    </row>
    <row r="1022" spans="2:2">
      <c r="B1022"/>
    </row>
    <row r="1023" spans="2:2">
      <c r="B1023"/>
    </row>
    <row r="1024" spans="2:2">
      <c r="B1024"/>
    </row>
    <row r="1025" spans="2:2">
      <c r="B1025"/>
    </row>
    <row r="1026" spans="2:2">
      <c r="B1026"/>
    </row>
    <row r="1027" spans="2:2">
      <c r="B1027"/>
    </row>
    <row r="1028" spans="2:2">
      <c r="B1028"/>
    </row>
    <row r="1029" spans="2:2">
      <c r="B1029"/>
    </row>
    <row r="1030" spans="2:2">
      <c r="B1030"/>
    </row>
    <row r="1031" spans="2:2">
      <c r="B1031"/>
    </row>
    <row r="1032" spans="2:2">
      <c r="B1032"/>
    </row>
    <row r="1033" spans="2:2">
      <c r="B1033"/>
    </row>
    <row r="1034" spans="2:2">
      <c r="B1034"/>
    </row>
    <row r="1035" spans="2:2">
      <c r="B1035"/>
    </row>
    <row r="1036" spans="2:2">
      <c r="B1036"/>
    </row>
    <row r="1037" spans="2:2">
      <c r="B1037"/>
    </row>
    <row r="1038" spans="2:2">
      <c r="B1038"/>
    </row>
    <row r="1039" spans="2:2">
      <c r="B1039"/>
    </row>
    <row r="1040" spans="2:2">
      <c r="B1040"/>
    </row>
    <row r="1041" spans="2:2">
      <c r="B1041"/>
    </row>
    <row r="1042" spans="2:2">
      <c r="B1042"/>
    </row>
    <row r="1043" spans="2:2">
      <c r="B1043"/>
    </row>
    <row r="1044" spans="2:2">
      <c r="B1044"/>
    </row>
    <row r="1045" spans="2:2">
      <c r="B1045"/>
    </row>
    <row r="1046" spans="2:2">
      <c r="B1046"/>
    </row>
    <row r="1047" spans="2:2">
      <c r="B1047"/>
    </row>
    <row r="1048" spans="2:2">
      <c r="B1048"/>
    </row>
    <row r="1049" spans="2:2">
      <c r="B1049"/>
    </row>
    <row r="1050" spans="2:2">
      <c r="B1050"/>
    </row>
    <row r="1051" spans="2:2">
      <c r="B1051"/>
    </row>
    <row r="1052" spans="2:2">
      <c r="B1052"/>
    </row>
    <row r="1053" spans="2:2">
      <c r="B1053"/>
    </row>
    <row r="1054" spans="2:2">
      <c r="B1054"/>
    </row>
    <row r="1055" spans="2:2">
      <c r="B1055"/>
    </row>
    <row r="1056" spans="2:2">
      <c r="B1056"/>
    </row>
    <row r="1057" spans="2:2">
      <c r="B1057"/>
    </row>
    <row r="1058" spans="2:2">
      <c r="B1058"/>
    </row>
    <row r="1059" spans="2:2">
      <c r="B1059"/>
    </row>
    <row r="1060" spans="2:2">
      <c r="B1060"/>
    </row>
    <row r="1061" spans="2:2">
      <c r="B1061"/>
    </row>
    <row r="1062" spans="2:2">
      <c r="B1062"/>
    </row>
    <row r="1063" spans="2:2">
      <c r="B1063"/>
    </row>
    <row r="1064" spans="2:2">
      <c r="B1064"/>
    </row>
    <row r="1065" spans="2:2">
      <c r="B1065"/>
    </row>
    <row r="1066" spans="2:2">
      <c r="B1066"/>
    </row>
    <row r="1067" spans="2:2">
      <c r="B1067"/>
    </row>
    <row r="1068" spans="2:2">
      <c r="B1068"/>
    </row>
    <row r="1069" spans="2:2">
      <c r="B1069"/>
    </row>
    <row r="1070" spans="2:2">
      <c r="B1070"/>
    </row>
    <row r="1071" spans="2:2">
      <c r="B1071"/>
    </row>
    <row r="1072" spans="2:2">
      <c r="B1072"/>
    </row>
    <row r="1073" spans="2:2">
      <c r="B1073"/>
    </row>
    <row r="1074" spans="2:2">
      <c r="B1074"/>
    </row>
    <row r="1075" spans="2:2">
      <c r="B1075"/>
    </row>
    <row r="1076" spans="2:2">
      <c r="B1076"/>
    </row>
    <row r="1077" spans="2:2">
      <c r="B1077"/>
    </row>
    <row r="1078" spans="2:2">
      <c r="B1078"/>
    </row>
    <row r="1079" spans="2:2">
      <c r="B1079"/>
    </row>
    <row r="1080" spans="2:2">
      <c r="B1080"/>
    </row>
    <row r="1081" spans="2:2">
      <c r="B1081"/>
    </row>
    <row r="1082" spans="2:2">
      <c r="B1082"/>
    </row>
    <row r="1083" spans="2:2">
      <c r="B1083"/>
    </row>
    <row r="1084" spans="2:2">
      <c r="B1084"/>
    </row>
    <row r="1085" spans="2:2">
      <c r="B1085"/>
    </row>
    <row r="1086" spans="2:2">
      <c r="B1086"/>
    </row>
    <row r="1087" spans="2:2">
      <c r="B1087"/>
    </row>
    <row r="1088" spans="2:2">
      <c r="B1088"/>
    </row>
    <row r="1089" spans="2:2">
      <c r="B1089"/>
    </row>
    <row r="1090" spans="2:2">
      <c r="B1090"/>
    </row>
    <row r="1091" spans="2:2">
      <c r="B1091"/>
    </row>
    <row r="1092" spans="2:2">
      <c r="B1092"/>
    </row>
    <row r="1093" spans="2:2">
      <c r="B1093"/>
    </row>
    <row r="1094" spans="2:2">
      <c r="B1094"/>
    </row>
    <row r="1095" spans="2:2">
      <c r="B1095"/>
    </row>
    <row r="1096" spans="2:2">
      <c r="B1096"/>
    </row>
    <row r="1097" spans="2:2">
      <c r="B1097"/>
    </row>
    <row r="1098" spans="2:2">
      <c r="B1098"/>
    </row>
    <row r="1099" spans="2:2">
      <c r="B1099"/>
    </row>
    <row r="1100" spans="2:2">
      <c r="B1100"/>
    </row>
    <row r="1101" spans="2:2">
      <c r="B1101"/>
    </row>
    <row r="1102" spans="2:2">
      <c r="B1102"/>
    </row>
    <row r="1103" spans="2:2">
      <c r="B1103"/>
    </row>
    <row r="1104" spans="2:2">
      <c r="B1104"/>
    </row>
    <row r="1105" spans="2:2">
      <c r="B1105"/>
    </row>
    <row r="1106" spans="2:2">
      <c r="B1106"/>
    </row>
    <row r="1107" spans="2:2">
      <c r="B1107"/>
    </row>
    <row r="1108" spans="2:2">
      <c r="B1108"/>
    </row>
    <row r="1109" spans="2:2">
      <c r="B1109"/>
    </row>
    <row r="1110" spans="2:2">
      <c r="B1110"/>
    </row>
    <row r="1111" spans="2:2">
      <c r="B1111"/>
    </row>
    <row r="1112" spans="2:2">
      <c r="B1112"/>
    </row>
    <row r="1113" spans="2:2">
      <c r="B1113"/>
    </row>
    <row r="1114" spans="2:2">
      <c r="B1114"/>
    </row>
    <row r="1115" spans="2:2">
      <c r="B1115"/>
    </row>
    <row r="1116" spans="2:2">
      <c r="B1116"/>
    </row>
    <row r="1117" spans="2:2">
      <c r="B1117"/>
    </row>
    <row r="1118" spans="2:2">
      <c r="B1118"/>
    </row>
    <row r="1119" spans="2:2">
      <c r="B1119"/>
    </row>
    <row r="1120" spans="2:2">
      <c r="B1120"/>
    </row>
    <row r="1121" spans="2:2">
      <c r="B1121"/>
    </row>
    <row r="1122" spans="2:2">
      <c r="B1122"/>
    </row>
    <row r="1123" spans="2:2">
      <c r="B1123"/>
    </row>
    <row r="1124" spans="2:2">
      <c r="B1124"/>
    </row>
    <row r="1125" spans="2:2">
      <c r="B1125"/>
    </row>
    <row r="1126" spans="2:2">
      <c r="B1126"/>
    </row>
    <row r="1127" spans="2:2">
      <c r="B1127"/>
    </row>
    <row r="1128" spans="2:2">
      <c r="B1128"/>
    </row>
    <row r="1129" spans="2:2">
      <c r="B1129"/>
    </row>
    <row r="1130" spans="2:2">
      <c r="B1130"/>
    </row>
    <row r="1131" spans="2:2">
      <c r="B1131"/>
    </row>
    <row r="1132" spans="2:2">
      <c r="B1132"/>
    </row>
    <row r="1133" spans="2:2">
      <c r="B1133"/>
    </row>
    <row r="1134" spans="2:2">
      <c r="B1134"/>
    </row>
    <row r="1135" spans="2:2">
      <c r="B1135"/>
    </row>
    <row r="1136" spans="2:2">
      <c r="B1136"/>
    </row>
    <row r="1137" spans="2:2">
      <c r="B1137"/>
    </row>
    <row r="1138" spans="2:2">
      <c r="B1138"/>
    </row>
    <row r="1139" spans="2:2">
      <c r="B1139"/>
    </row>
    <row r="1140" spans="2:2">
      <c r="B1140"/>
    </row>
    <row r="1141" spans="2:2">
      <c r="B1141"/>
    </row>
    <row r="1142" spans="2:2">
      <c r="B1142"/>
    </row>
    <row r="1143" spans="2:2">
      <c r="B1143"/>
    </row>
    <row r="1144" spans="2:2">
      <c r="B1144"/>
    </row>
    <row r="1145" spans="2:2">
      <c r="B1145"/>
    </row>
    <row r="1146" spans="2:2">
      <c r="B1146"/>
    </row>
    <row r="1147" spans="2:2">
      <c r="B1147"/>
    </row>
    <row r="1148" spans="2:2">
      <c r="B1148"/>
    </row>
    <row r="1149" spans="2:2">
      <c r="B1149"/>
    </row>
    <row r="1150" spans="2:2">
      <c r="B1150"/>
    </row>
    <row r="1151" spans="2:2">
      <c r="B1151"/>
    </row>
    <row r="1152" spans="2:2">
      <c r="B1152"/>
    </row>
    <row r="1153" spans="2:2">
      <c r="B1153"/>
    </row>
    <row r="1154" spans="2:2">
      <c r="B1154"/>
    </row>
    <row r="1155" spans="2:2">
      <c r="B1155"/>
    </row>
    <row r="1156" spans="2:2">
      <c r="B1156"/>
    </row>
    <row r="1157" spans="2:2">
      <c r="B1157"/>
    </row>
    <row r="1158" spans="2:2">
      <c r="B1158"/>
    </row>
    <row r="1159" spans="2:2">
      <c r="B1159"/>
    </row>
    <row r="1160" spans="2:2">
      <c r="B1160"/>
    </row>
    <row r="1161" spans="2:2">
      <c r="B1161"/>
    </row>
    <row r="1162" spans="2:2">
      <c r="B1162"/>
    </row>
    <row r="1163" spans="2:2">
      <c r="B1163"/>
    </row>
    <row r="1164" spans="2:2">
      <c r="B1164"/>
    </row>
    <row r="1165" spans="2:2">
      <c r="B1165"/>
    </row>
    <row r="1166" spans="2:2">
      <c r="B1166"/>
    </row>
    <row r="1167" spans="2:2">
      <c r="B1167"/>
    </row>
    <row r="1168" spans="2:2">
      <c r="B1168"/>
    </row>
    <row r="1169" spans="2:2">
      <c r="B1169"/>
    </row>
    <row r="1170" spans="2:2">
      <c r="B1170"/>
    </row>
    <row r="1171" spans="2:2">
      <c r="B1171"/>
    </row>
    <row r="1172" spans="2:2">
      <c r="B1172"/>
    </row>
    <row r="1173" spans="2:2">
      <c r="B1173"/>
    </row>
    <row r="1174" spans="2:2">
      <c r="B1174"/>
    </row>
    <row r="1175" spans="2:2">
      <c r="B1175"/>
    </row>
    <row r="1176" spans="2:2">
      <c r="B1176"/>
    </row>
    <row r="1177" spans="2:2">
      <c r="B1177"/>
    </row>
    <row r="1178" spans="2:2">
      <c r="B1178"/>
    </row>
    <row r="1179" spans="2:2">
      <c r="B1179"/>
    </row>
    <row r="1180" spans="2:2">
      <c r="B1180"/>
    </row>
    <row r="1181" spans="2:2">
      <c r="B1181"/>
    </row>
    <row r="1182" spans="2:2">
      <c r="B1182"/>
    </row>
    <row r="1183" spans="2:2">
      <c r="B1183"/>
    </row>
    <row r="1184" spans="2:2">
      <c r="B1184"/>
    </row>
    <row r="1185" spans="2:2">
      <c r="B1185"/>
    </row>
    <row r="1186" spans="2:2">
      <c r="B1186"/>
    </row>
    <row r="1187" spans="2:2">
      <c r="B1187"/>
    </row>
    <row r="1188" spans="2:2">
      <c r="B1188"/>
    </row>
    <row r="1189" spans="2:2">
      <c r="B1189"/>
    </row>
    <row r="1190" spans="2:2">
      <c r="B1190"/>
    </row>
    <row r="1191" spans="2:2">
      <c r="B1191"/>
    </row>
    <row r="1192" spans="2:2">
      <c r="B1192"/>
    </row>
    <row r="1193" spans="2:2">
      <c r="B1193"/>
    </row>
    <row r="1194" spans="2:2">
      <c r="B1194"/>
    </row>
    <row r="1195" spans="2:2">
      <c r="B1195"/>
    </row>
    <row r="1196" spans="2:2">
      <c r="B1196"/>
    </row>
    <row r="1197" spans="2:2">
      <c r="B1197"/>
    </row>
    <row r="1198" spans="2:2">
      <c r="B1198"/>
    </row>
    <row r="1199" spans="2:2">
      <c r="B1199"/>
    </row>
    <row r="1200" spans="2:2">
      <c r="B1200"/>
    </row>
    <row r="1201" spans="2:2">
      <c r="B1201"/>
    </row>
    <row r="1202" spans="2:2">
      <c r="B1202"/>
    </row>
    <row r="1203" spans="2:2">
      <c r="B1203"/>
    </row>
    <row r="1204" spans="2:2">
      <c r="B1204"/>
    </row>
    <row r="1205" spans="2:2">
      <c r="B1205"/>
    </row>
    <row r="1206" spans="2:2">
      <c r="B1206"/>
    </row>
    <row r="1207" spans="2:2">
      <c r="B1207"/>
    </row>
    <row r="1208" spans="2:2">
      <c r="B1208"/>
    </row>
    <row r="1209" spans="2:2">
      <c r="B1209"/>
    </row>
    <row r="1210" spans="2:2">
      <c r="B1210"/>
    </row>
    <row r="1211" spans="2:2">
      <c r="B1211"/>
    </row>
    <row r="1212" spans="2:2">
      <c r="B1212"/>
    </row>
    <row r="1213" spans="2:2">
      <c r="B1213"/>
    </row>
    <row r="1214" spans="2:2">
      <c r="B1214"/>
    </row>
    <row r="1215" spans="2:2">
      <c r="B1215"/>
    </row>
    <row r="1216" spans="2:2">
      <c r="B1216"/>
    </row>
    <row r="1217" spans="2:2">
      <c r="B1217"/>
    </row>
    <row r="1218" spans="2:2">
      <c r="B1218"/>
    </row>
    <row r="1219" spans="2:2">
      <c r="B1219"/>
    </row>
    <row r="1220" spans="2:2">
      <c r="B1220"/>
    </row>
    <row r="1221" spans="2:2">
      <c r="B1221"/>
    </row>
    <row r="1222" spans="2:2">
      <c r="B1222"/>
    </row>
    <row r="1223" spans="2:2">
      <c r="B1223"/>
    </row>
    <row r="1224" spans="2:2">
      <c r="B1224"/>
    </row>
    <row r="1225" spans="2:2">
      <c r="B1225"/>
    </row>
    <row r="1226" spans="2:2">
      <c r="B1226"/>
    </row>
    <row r="1227" spans="2:2">
      <c r="B1227"/>
    </row>
    <row r="1228" spans="2:2">
      <c r="B1228"/>
    </row>
    <row r="1229" spans="2:2">
      <c r="B1229"/>
    </row>
    <row r="1230" spans="2:2">
      <c r="B1230"/>
    </row>
    <row r="1231" spans="2:2">
      <c r="B1231"/>
    </row>
    <row r="1232" spans="2:2">
      <c r="B1232"/>
    </row>
    <row r="1233" spans="2:2">
      <c r="B1233"/>
    </row>
    <row r="1234" spans="2:2">
      <c r="B1234"/>
    </row>
    <row r="1235" spans="2:2">
      <c r="B1235"/>
    </row>
    <row r="1236" spans="2:2">
      <c r="B1236"/>
    </row>
    <row r="1237" spans="2:2">
      <c r="B1237"/>
    </row>
    <row r="1238" spans="2:2">
      <c r="B1238"/>
    </row>
    <row r="1239" spans="2:2">
      <c r="B1239"/>
    </row>
    <row r="1240" spans="2:2">
      <c r="B1240"/>
    </row>
    <row r="1241" spans="2:2">
      <c r="B1241"/>
    </row>
    <row r="1242" spans="2:2">
      <c r="B1242"/>
    </row>
    <row r="1243" spans="2:2">
      <c r="B1243"/>
    </row>
    <row r="1244" spans="2:2">
      <c r="B1244"/>
    </row>
    <row r="1245" spans="2:2">
      <c r="B1245"/>
    </row>
    <row r="1246" spans="2:2">
      <c r="B1246"/>
    </row>
    <row r="1247" spans="2:2">
      <c r="B1247"/>
    </row>
    <row r="1248" spans="2:2">
      <c r="B1248"/>
    </row>
    <row r="1249" spans="2:2">
      <c r="B1249"/>
    </row>
    <row r="1250" spans="2:2">
      <c r="B1250"/>
    </row>
    <row r="1251" spans="2:2">
      <c r="B1251"/>
    </row>
    <row r="1252" spans="2:2">
      <c r="B1252"/>
    </row>
    <row r="1253" spans="2:2">
      <c r="B1253"/>
    </row>
    <row r="1254" spans="2:2">
      <c r="B1254"/>
    </row>
    <row r="1255" spans="2:2">
      <c r="B1255"/>
    </row>
    <row r="1256" spans="2:2">
      <c r="B1256"/>
    </row>
    <row r="1257" spans="2:2">
      <c r="B1257"/>
    </row>
    <row r="1258" spans="2:2">
      <c r="B1258"/>
    </row>
    <row r="1259" spans="2:2">
      <c r="B1259"/>
    </row>
    <row r="1260" spans="2:2">
      <c r="B1260"/>
    </row>
    <row r="1261" spans="2:2">
      <c r="B1261"/>
    </row>
    <row r="1262" spans="2:2">
      <c r="B1262"/>
    </row>
    <row r="1263" spans="2:2">
      <c r="B1263"/>
    </row>
    <row r="1264" spans="2:2">
      <c r="B1264"/>
    </row>
    <row r="1265" spans="2:2">
      <c r="B1265"/>
    </row>
    <row r="1266" spans="2:2">
      <c r="B1266"/>
    </row>
    <row r="1267" spans="2:2">
      <c r="B1267"/>
    </row>
    <row r="1268" spans="2:2">
      <c r="B1268"/>
    </row>
    <row r="1269" spans="2:2">
      <c r="B1269"/>
    </row>
    <row r="1270" spans="2:2">
      <c r="B1270"/>
    </row>
    <row r="1271" spans="2:2">
      <c r="B1271"/>
    </row>
    <row r="1272" spans="2:2">
      <c r="B1272"/>
    </row>
    <row r="1273" spans="2:2">
      <c r="B1273"/>
    </row>
    <row r="1274" spans="2:2">
      <c r="B1274"/>
    </row>
    <row r="1275" spans="2:2">
      <c r="B1275"/>
    </row>
    <row r="1276" spans="2:2">
      <c r="B1276"/>
    </row>
    <row r="1277" spans="2:2">
      <c r="B1277"/>
    </row>
    <row r="1278" spans="2:2">
      <c r="B1278"/>
    </row>
    <row r="1279" spans="2:2">
      <c r="B1279"/>
    </row>
    <row r="1280" spans="2:2">
      <c r="B1280"/>
    </row>
    <row r="1281" spans="2:2">
      <c r="B1281"/>
    </row>
    <row r="1282" spans="2:2">
      <c r="B1282"/>
    </row>
    <row r="1283" spans="2:2">
      <c r="B1283"/>
    </row>
    <row r="1284" spans="2:2">
      <c r="B1284"/>
    </row>
    <row r="1285" spans="2:2">
      <c r="B1285"/>
    </row>
    <row r="1286" spans="2:2">
      <c r="B1286"/>
    </row>
    <row r="1287" spans="2:2">
      <c r="B1287"/>
    </row>
    <row r="1288" spans="2:2">
      <c r="B1288"/>
    </row>
    <row r="1289" spans="2:2">
      <c r="B1289"/>
    </row>
    <row r="1290" spans="2:2">
      <c r="B1290"/>
    </row>
    <row r="1291" spans="2:2">
      <c r="B1291"/>
    </row>
    <row r="1292" spans="2:2">
      <c r="B1292"/>
    </row>
    <row r="1293" spans="2:2">
      <c r="B1293"/>
    </row>
    <row r="1294" spans="2:2">
      <c r="B1294"/>
    </row>
    <row r="1295" spans="2:2">
      <c r="B1295"/>
    </row>
    <row r="1296" spans="2:2">
      <c r="B1296"/>
    </row>
    <row r="1297" spans="2:2">
      <c r="B1297"/>
    </row>
    <row r="1298" spans="2:2">
      <c r="B1298"/>
    </row>
    <row r="1299" spans="2:2">
      <c r="B1299"/>
    </row>
    <row r="1300" spans="2:2">
      <c r="B1300"/>
    </row>
    <row r="1301" spans="2:2">
      <c r="B1301"/>
    </row>
    <row r="1302" spans="2:2">
      <c r="B1302"/>
    </row>
    <row r="1303" spans="2:2">
      <c r="B1303"/>
    </row>
    <row r="1304" spans="2:2">
      <c r="B1304"/>
    </row>
    <row r="1305" spans="2:2">
      <c r="B1305"/>
    </row>
    <row r="1306" spans="2:2">
      <c r="B1306"/>
    </row>
    <row r="1307" spans="2:2">
      <c r="B1307"/>
    </row>
    <row r="1308" spans="2:2">
      <c r="B1308"/>
    </row>
    <row r="1309" spans="2:2">
      <c r="B1309"/>
    </row>
    <row r="1310" spans="2:2">
      <c r="B1310"/>
    </row>
    <row r="1311" spans="2:2">
      <c r="B1311"/>
    </row>
    <row r="1312" spans="2:2">
      <c r="B1312"/>
    </row>
    <row r="1313" spans="2:2">
      <c r="B1313"/>
    </row>
    <row r="1314" spans="2:2">
      <c r="B1314"/>
    </row>
    <row r="1315" spans="2:2">
      <c r="B1315"/>
    </row>
    <row r="1316" spans="2:2">
      <c r="B1316"/>
    </row>
    <row r="1317" spans="2:2">
      <c r="B1317"/>
    </row>
    <row r="1318" spans="2:2">
      <c r="B1318"/>
    </row>
    <row r="1319" spans="2:2">
      <c r="B1319"/>
    </row>
    <row r="1320" spans="2:2">
      <c r="B1320"/>
    </row>
    <row r="1321" spans="2:2">
      <c r="B1321"/>
    </row>
    <row r="1322" spans="2:2">
      <c r="B1322"/>
    </row>
    <row r="1323" spans="2:2">
      <c r="B1323"/>
    </row>
    <row r="1324" spans="2:2">
      <c r="B1324"/>
    </row>
    <row r="1325" spans="2:2">
      <c r="B1325"/>
    </row>
    <row r="1326" spans="2:2">
      <c r="B1326"/>
    </row>
    <row r="1327" spans="2:2">
      <c r="B1327"/>
    </row>
    <row r="1328" spans="2:2">
      <c r="B1328"/>
    </row>
    <row r="1329" spans="2:2">
      <c r="B1329"/>
    </row>
    <row r="1330" spans="2:2">
      <c r="B1330"/>
    </row>
    <row r="1331" spans="2:2">
      <c r="B1331"/>
    </row>
    <row r="1332" spans="2:2">
      <c r="B1332"/>
    </row>
    <row r="1333" spans="2:2">
      <c r="B1333"/>
    </row>
    <row r="1334" spans="2:2">
      <c r="B1334"/>
    </row>
    <row r="1335" spans="2:2">
      <c r="B1335"/>
    </row>
    <row r="1336" spans="2:2">
      <c r="B1336"/>
    </row>
    <row r="1337" spans="2:2">
      <c r="B1337"/>
    </row>
    <row r="1338" spans="2:2">
      <c r="B1338"/>
    </row>
    <row r="1339" spans="2:2">
      <c r="B1339"/>
    </row>
    <row r="1340" spans="2:2">
      <c r="B1340"/>
    </row>
    <row r="1341" spans="2:2">
      <c r="B1341"/>
    </row>
    <row r="1342" spans="2:2">
      <c r="B1342"/>
    </row>
    <row r="1343" spans="2:2">
      <c r="B1343"/>
    </row>
    <row r="1344" spans="2:2">
      <c r="B1344"/>
    </row>
    <row r="1345" spans="2:2">
      <c r="B1345"/>
    </row>
    <row r="1346" spans="2:2">
      <c r="B1346"/>
    </row>
    <row r="1347" spans="2:2">
      <c r="B1347"/>
    </row>
    <row r="1348" spans="2:2">
      <c r="B1348"/>
    </row>
    <row r="1349" spans="2:2">
      <c r="B1349"/>
    </row>
    <row r="1350" spans="2:2">
      <c r="B1350"/>
    </row>
    <row r="1351" spans="2:2">
      <c r="B1351"/>
    </row>
    <row r="1352" spans="2:2">
      <c r="B1352"/>
    </row>
    <row r="1353" spans="2:2">
      <c r="B1353"/>
    </row>
    <row r="1354" spans="2:2">
      <c r="B1354"/>
    </row>
    <row r="1355" spans="2:2">
      <c r="B1355"/>
    </row>
    <row r="1356" spans="2:2">
      <c r="B1356"/>
    </row>
    <row r="1357" spans="2:2">
      <c r="B1357"/>
    </row>
    <row r="1358" spans="2:2">
      <c r="B1358"/>
    </row>
    <row r="1359" spans="2:2">
      <c r="B1359"/>
    </row>
    <row r="1360" spans="2:2">
      <c r="B1360"/>
    </row>
    <row r="1361" spans="2:2">
      <c r="B1361"/>
    </row>
    <row r="1362" spans="2:2">
      <c r="B1362"/>
    </row>
    <row r="1363" spans="2:2">
      <c r="B1363"/>
    </row>
    <row r="1364" spans="2:2">
      <c r="B1364"/>
    </row>
    <row r="1365" spans="2:2">
      <c r="B1365"/>
    </row>
    <row r="1366" spans="2:2">
      <c r="B1366"/>
    </row>
    <row r="1367" spans="2:2">
      <c r="B1367"/>
    </row>
    <row r="1368" spans="2:2">
      <c r="B1368"/>
    </row>
    <row r="1369" spans="2:2">
      <c r="B1369"/>
    </row>
    <row r="1370" spans="2:2">
      <c r="B1370"/>
    </row>
    <row r="1371" spans="2:2">
      <c r="B1371"/>
    </row>
    <row r="1372" spans="2:2">
      <c r="B1372"/>
    </row>
    <row r="1373" spans="2:2">
      <c r="B1373"/>
    </row>
    <row r="1374" spans="2:2">
      <c r="B1374"/>
    </row>
    <row r="1375" spans="2:2">
      <c r="B1375"/>
    </row>
    <row r="1376" spans="2:2">
      <c r="B1376"/>
    </row>
    <row r="1377" spans="2:2">
      <c r="B1377"/>
    </row>
    <row r="1378" spans="2:2">
      <c r="B1378"/>
    </row>
    <row r="1379" spans="2:2">
      <c r="B1379"/>
    </row>
    <row r="1380" spans="2:2">
      <c r="B1380"/>
    </row>
    <row r="1381" spans="2:2">
      <c r="B1381"/>
    </row>
    <row r="1382" spans="2:2">
      <c r="B1382"/>
    </row>
    <row r="1383" spans="2:2">
      <c r="B1383"/>
    </row>
    <row r="1384" spans="2:2">
      <c r="B1384"/>
    </row>
    <row r="1385" spans="2:2">
      <c r="B1385"/>
    </row>
    <row r="1386" spans="2:2">
      <c r="B1386"/>
    </row>
    <row r="1387" spans="2:2">
      <c r="B1387"/>
    </row>
    <row r="1388" spans="2:2">
      <c r="B1388"/>
    </row>
    <row r="1389" spans="2:2">
      <c r="B1389"/>
    </row>
    <row r="1390" spans="2:2">
      <c r="B1390"/>
    </row>
    <row r="1391" spans="2:2">
      <c r="B1391"/>
    </row>
    <row r="1392" spans="2:2">
      <c r="B1392"/>
    </row>
    <row r="1393" spans="2:2">
      <c r="B1393"/>
    </row>
    <row r="1394" spans="2:2">
      <c r="B1394"/>
    </row>
    <row r="1395" spans="2:2">
      <c r="B1395"/>
    </row>
    <row r="1396" spans="2:2">
      <c r="B1396"/>
    </row>
    <row r="1397" spans="2:2">
      <c r="B1397"/>
    </row>
    <row r="1398" spans="2:2">
      <c r="B1398"/>
    </row>
    <row r="1399" spans="2:2">
      <c r="B1399"/>
    </row>
    <row r="1400" spans="2:2">
      <c r="B1400"/>
    </row>
    <row r="1401" spans="2:2">
      <c r="B1401"/>
    </row>
    <row r="1402" spans="2:2">
      <c r="B1402"/>
    </row>
    <row r="1403" spans="2:2">
      <c r="B1403"/>
    </row>
    <row r="1404" spans="2:2">
      <c r="B1404"/>
    </row>
    <row r="1405" spans="2:2">
      <c r="B1405"/>
    </row>
    <row r="1406" spans="2:2">
      <c r="B1406"/>
    </row>
    <row r="1407" spans="2:2">
      <c r="B1407"/>
    </row>
    <row r="1408" spans="2:2">
      <c r="B1408"/>
    </row>
    <row r="1409" spans="2:2">
      <c r="B1409"/>
    </row>
    <row r="1410" spans="2:2">
      <c r="B1410"/>
    </row>
    <row r="1411" spans="2:2">
      <c r="B1411"/>
    </row>
    <row r="1412" spans="2:2">
      <c r="B1412"/>
    </row>
    <row r="1413" spans="2:2">
      <c r="B1413"/>
    </row>
    <row r="1414" spans="2:2">
      <c r="B1414"/>
    </row>
    <row r="1415" spans="2:2">
      <c r="B1415"/>
    </row>
    <row r="1416" spans="2:2">
      <c r="B1416"/>
    </row>
    <row r="1417" spans="2:2">
      <c r="B1417"/>
    </row>
    <row r="1418" spans="2:2">
      <c r="B1418"/>
    </row>
    <row r="1419" spans="2:2">
      <c r="B1419"/>
    </row>
    <row r="1420" spans="2:2">
      <c r="B1420"/>
    </row>
    <row r="1421" spans="2:2">
      <c r="B1421"/>
    </row>
    <row r="1422" spans="2:2">
      <c r="B1422"/>
    </row>
    <row r="1423" spans="2:2">
      <c r="B1423"/>
    </row>
    <row r="1424" spans="2:2">
      <c r="B1424"/>
    </row>
    <row r="1425" spans="2:2">
      <c r="B1425"/>
    </row>
    <row r="1426" spans="2:2">
      <c r="B1426"/>
    </row>
    <row r="1427" spans="2:2">
      <c r="B1427"/>
    </row>
    <row r="1428" spans="2:2">
      <c r="B1428"/>
    </row>
    <row r="1429" spans="2:2">
      <c r="B1429"/>
    </row>
    <row r="1430" spans="2:2">
      <c r="B1430"/>
    </row>
    <row r="1431" spans="2:2">
      <c r="B1431"/>
    </row>
    <row r="1432" spans="2:2">
      <c r="B1432"/>
    </row>
    <row r="1433" spans="2:2">
      <c r="B1433"/>
    </row>
    <row r="1434" spans="2:2">
      <c r="B1434"/>
    </row>
    <row r="1435" spans="2:2">
      <c r="B1435"/>
    </row>
    <row r="1436" spans="2:2">
      <c r="B1436"/>
    </row>
    <row r="1437" spans="2:2">
      <c r="B1437"/>
    </row>
    <row r="1438" spans="2:2">
      <c r="B1438"/>
    </row>
    <row r="1439" spans="2:2">
      <c r="B1439"/>
    </row>
    <row r="1440" spans="2:2">
      <c r="B1440"/>
    </row>
    <row r="1441" spans="2:2">
      <c r="B1441"/>
    </row>
    <row r="1442" spans="2:2">
      <c r="B1442"/>
    </row>
    <row r="1443" spans="2:2">
      <c r="B1443"/>
    </row>
    <row r="1444" spans="2:2">
      <c r="B1444"/>
    </row>
    <row r="1445" spans="2:2">
      <c r="B1445"/>
    </row>
    <row r="1446" spans="2:2">
      <c r="B1446"/>
    </row>
    <row r="1447" spans="2:2">
      <c r="B1447"/>
    </row>
    <row r="1448" spans="2:2">
      <c r="B1448"/>
    </row>
    <row r="1449" spans="2:2">
      <c r="B1449"/>
    </row>
    <row r="1450" spans="2:2">
      <c r="B1450"/>
    </row>
    <row r="1451" spans="2:2">
      <c r="B1451"/>
    </row>
    <row r="1452" spans="2:2">
      <c r="B1452"/>
    </row>
    <row r="1453" spans="2:2">
      <c r="B1453"/>
    </row>
    <row r="1454" spans="2:2">
      <c r="B1454"/>
    </row>
    <row r="1455" spans="2:2">
      <c r="B1455"/>
    </row>
    <row r="1456" spans="2:2">
      <c r="B1456"/>
    </row>
    <row r="1457" spans="2:2">
      <c r="B1457"/>
    </row>
    <row r="1458" spans="2:2">
      <c r="B1458"/>
    </row>
    <row r="1459" spans="2:2">
      <c r="B1459"/>
    </row>
    <row r="1460" spans="2:2">
      <c r="B1460"/>
    </row>
    <row r="1461" spans="2:2">
      <c r="B1461"/>
    </row>
    <row r="1462" spans="2:2">
      <c r="B1462"/>
    </row>
    <row r="1463" spans="2:2">
      <c r="B1463"/>
    </row>
    <row r="1464" spans="2:2">
      <c r="B1464"/>
    </row>
    <row r="1465" spans="2:2">
      <c r="B1465"/>
    </row>
    <row r="1466" spans="2:2">
      <c r="B1466"/>
    </row>
    <row r="1467" spans="2:2">
      <c r="B1467"/>
    </row>
    <row r="1468" spans="2:2">
      <c r="B1468"/>
    </row>
    <row r="1469" spans="2:2">
      <c r="B1469"/>
    </row>
    <row r="1470" spans="2:2">
      <c r="B1470"/>
    </row>
    <row r="1471" spans="2:2">
      <c r="B1471"/>
    </row>
    <row r="1472" spans="2:2">
      <c r="B1472"/>
    </row>
    <row r="1473" spans="2:2">
      <c r="B1473"/>
    </row>
    <row r="1474" spans="2:2">
      <c r="B1474"/>
    </row>
    <row r="1475" spans="2:2">
      <c r="B1475"/>
    </row>
    <row r="1476" spans="2:2">
      <c r="B1476"/>
    </row>
    <row r="1477" spans="2:2">
      <c r="B1477"/>
    </row>
    <row r="1478" spans="2:2">
      <c r="B1478"/>
    </row>
    <row r="1479" spans="2:2">
      <c r="B1479"/>
    </row>
    <row r="1480" spans="2:2">
      <c r="B1480"/>
    </row>
    <row r="1481" spans="2:2">
      <c r="B1481"/>
    </row>
    <row r="1482" spans="2:2">
      <c r="B1482"/>
    </row>
    <row r="1483" spans="2:2">
      <c r="B1483"/>
    </row>
    <row r="1484" spans="2:2">
      <c r="B1484"/>
    </row>
    <row r="1485" spans="2:2">
      <c r="B1485"/>
    </row>
    <row r="1486" spans="2:2">
      <c r="B1486"/>
    </row>
    <row r="1487" spans="2:2">
      <c r="B1487"/>
    </row>
    <row r="1488" spans="2:2">
      <c r="B1488"/>
    </row>
    <row r="1489" spans="2:2">
      <c r="B1489"/>
    </row>
    <row r="1490" spans="2:2">
      <c r="B1490"/>
    </row>
    <row r="1491" spans="2:2">
      <c r="B1491"/>
    </row>
    <row r="1492" spans="2:2">
      <c r="B1492"/>
    </row>
    <row r="1493" spans="2:2">
      <c r="B1493"/>
    </row>
    <row r="1494" spans="2:2">
      <c r="B1494"/>
    </row>
    <row r="1495" spans="2:2">
      <c r="B1495"/>
    </row>
    <row r="1496" spans="2:2">
      <c r="B1496"/>
    </row>
    <row r="1497" spans="2:2">
      <c r="B1497"/>
    </row>
    <row r="1498" spans="2:2">
      <c r="B1498"/>
    </row>
    <row r="1499" spans="2:2">
      <c r="B1499"/>
    </row>
    <row r="1500" spans="2:2">
      <c r="B1500"/>
    </row>
    <row r="1501" spans="2:2">
      <c r="B1501"/>
    </row>
    <row r="1502" spans="2:2">
      <c r="B1502"/>
    </row>
    <row r="1503" spans="2:2">
      <c r="B1503"/>
    </row>
    <row r="1504" spans="2:2">
      <c r="B1504"/>
    </row>
    <row r="1505" spans="2:2">
      <c r="B1505"/>
    </row>
    <row r="1506" spans="2:2">
      <c r="B1506"/>
    </row>
    <row r="1507" spans="2:2">
      <c r="B1507"/>
    </row>
    <row r="1508" spans="2:2">
      <c r="B1508"/>
    </row>
    <row r="1509" spans="2:2">
      <c r="B1509"/>
    </row>
    <row r="1510" spans="2:2">
      <c r="B1510"/>
    </row>
    <row r="1511" spans="2:2">
      <c r="B1511"/>
    </row>
    <row r="1512" spans="2:2">
      <c r="B1512"/>
    </row>
    <row r="1513" spans="2:2">
      <c r="B1513"/>
    </row>
    <row r="1514" spans="2:2">
      <c r="B1514"/>
    </row>
    <row r="1515" spans="2:2">
      <c r="B1515"/>
    </row>
    <row r="1516" spans="2:2">
      <c r="B1516"/>
    </row>
    <row r="1517" spans="2:2">
      <c r="B1517"/>
    </row>
    <row r="1518" spans="2:2">
      <c r="B1518"/>
    </row>
    <row r="1519" spans="2:2">
      <c r="B1519"/>
    </row>
    <row r="1520" spans="2:2">
      <c r="B1520"/>
    </row>
    <row r="1521" spans="2:2">
      <c r="B1521"/>
    </row>
    <row r="1522" spans="2:2">
      <c r="B1522"/>
    </row>
    <row r="1523" spans="2:2">
      <c r="B1523"/>
    </row>
    <row r="1524" spans="2:2">
      <c r="B1524"/>
    </row>
    <row r="1525" spans="2:2">
      <c r="B1525"/>
    </row>
    <row r="1526" spans="2:2">
      <c r="B1526"/>
    </row>
    <row r="1527" spans="2:2">
      <c r="B1527"/>
    </row>
    <row r="1528" spans="2:2">
      <c r="B1528"/>
    </row>
    <row r="1529" spans="2:2">
      <c r="B1529"/>
    </row>
    <row r="1530" spans="2:2">
      <c r="B1530"/>
    </row>
    <row r="1531" spans="2:2">
      <c r="B1531"/>
    </row>
    <row r="1532" spans="2:2">
      <c r="B1532"/>
    </row>
    <row r="1533" spans="2:2">
      <c r="B1533"/>
    </row>
    <row r="1534" spans="2:2">
      <c r="B1534"/>
    </row>
    <row r="1535" spans="2:2">
      <c r="B1535"/>
    </row>
    <row r="1536" spans="2:2">
      <c r="B1536"/>
    </row>
    <row r="1537" spans="2:2">
      <c r="B1537"/>
    </row>
    <row r="1538" spans="2:2">
      <c r="B1538"/>
    </row>
    <row r="1539" spans="2:2">
      <c r="B1539"/>
    </row>
    <row r="1540" spans="2:2">
      <c r="B1540"/>
    </row>
    <row r="1541" spans="2:2">
      <c r="B1541"/>
    </row>
    <row r="1542" spans="2:2">
      <c r="B1542"/>
    </row>
    <row r="1543" spans="2:2">
      <c r="B1543"/>
    </row>
    <row r="1544" spans="2:2">
      <c r="B1544"/>
    </row>
    <row r="1545" spans="2:2">
      <c r="B1545"/>
    </row>
    <row r="1546" spans="2:2">
      <c r="B1546"/>
    </row>
    <row r="1547" spans="2:2">
      <c r="B1547"/>
    </row>
    <row r="1548" spans="2:2">
      <c r="B1548"/>
    </row>
    <row r="1549" spans="2:2">
      <c r="B1549"/>
    </row>
    <row r="1550" spans="2:2">
      <c r="B1550"/>
    </row>
    <row r="1551" spans="2:2">
      <c r="B1551"/>
    </row>
    <row r="1552" spans="2:2">
      <c r="B1552"/>
    </row>
    <row r="1553" spans="2:2">
      <c r="B1553"/>
    </row>
    <row r="1554" spans="2:2">
      <c r="B1554"/>
    </row>
    <row r="1555" spans="2:2">
      <c r="B1555"/>
    </row>
    <row r="1556" spans="2:2">
      <c r="B1556"/>
    </row>
    <row r="1557" spans="2:2">
      <c r="B1557"/>
    </row>
    <row r="1558" spans="2:2">
      <c r="B1558"/>
    </row>
    <row r="1559" spans="2:2">
      <c r="B1559"/>
    </row>
    <row r="1560" spans="2:2">
      <c r="B1560"/>
    </row>
    <row r="1561" spans="2:2">
      <c r="B1561"/>
    </row>
    <row r="1562" spans="2:2">
      <c r="B1562"/>
    </row>
    <row r="1563" spans="2:2">
      <c r="B1563"/>
    </row>
    <row r="1564" spans="2:2">
      <c r="B1564"/>
    </row>
    <row r="1565" spans="2:2">
      <c r="B1565"/>
    </row>
    <row r="1566" spans="2:2">
      <c r="B1566"/>
    </row>
    <row r="1567" spans="2:2">
      <c r="B1567"/>
    </row>
    <row r="1568" spans="2:2">
      <c r="B1568"/>
    </row>
    <row r="1569" spans="2:2">
      <c r="B1569"/>
    </row>
    <row r="1570" spans="2:2">
      <c r="B1570"/>
    </row>
    <row r="1571" spans="2:2">
      <c r="B1571"/>
    </row>
    <row r="1572" spans="2:2">
      <c r="B1572"/>
    </row>
    <row r="1573" spans="2:2">
      <c r="B1573"/>
    </row>
    <row r="1574" spans="2:2">
      <c r="B1574"/>
    </row>
    <row r="1575" spans="2:2">
      <c r="B1575"/>
    </row>
    <row r="1576" spans="2:2">
      <c r="B1576"/>
    </row>
    <row r="1577" spans="2:2">
      <c r="B1577"/>
    </row>
    <row r="1578" spans="2:2">
      <c r="B1578"/>
    </row>
    <row r="1579" spans="2:2">
      <c r="B1579"/>
    </row>
    <row r="1580" spans="2:2">
      <c r="B1580"/>
    </row>
    <row r="1581" spans="2:2">
      <c r="B1581"/>
    </row>
    <row r="1582" spans="2:2">
      <c r="B1582"/>
    </row>
    <row r="1583" spans="2:2">
      <c r="B1583"/>
    </row>
    <row r="1584" spans="2:2">
      <c r="B1584"/>
    </row>
    <row r="1585" spans="2:2">
      <c r="B1585"/>
    </row>
    <row r="1586" spans="2:2">
      <c r="B1586"/>
    </row>
    <row r="1587" spans="2:2">
      <c r="B1587"/>
    </row>
    <row r="1588" spans="2:2">
      <c r="B1588"/>
    </row>
    <row r="1589" spans="2:2">
      <c r="B1589"/>
    </row>
    <row r="1590" spans="2:2">
      <c r="B1590"/>
    </row>
    <row r="1591" spans="2:2">
      <c r="B1591"/>
    </row>
    <row r="1592" spans="2:2">
      <c r="B1592"/>
    </row>
    <row r="1593" spans="2:2">
      <c r="B1593"/>
    </row>
    <row r="1594" spans="2:2">
      <c r="B1594"/>
    </row>
    <row r="1595" spans="2:2">
      <c r="B1595"/>
    </row>
    <row r="1596" spans="2:2">
      <c r="B1596"/>
    </row>
    <row r="1597" spans="2:2">
      <c r="B1597"/>
    </row>
    <row r="1598" spans="2:2">
      <c r="B1598"/>
    </row>
    <row r="1599" spans="2:2">
      <c r="B1599"/>
    </row>
    <row r="1600" spans="2:2">
      <c r="B1600"/>
    </row>
    <row r="1601" spans="2:2">
      <c r="B1601"/>
    </row>
    <row r="1602" spans="2:2">
      <c r="B1602"/>
    </row>
    <row r="1603" spans="2:2">
      <c r="B1603"/>
    </row>
    <row r="1604" spans="2:2">
      <c r="B1604"/>
    </row>
    <row r="1605" spans="2:2">
      <c r="B1605"/>
    </row>
    <row r="1606" spans="2:2">
      <c r="B1606"/>
    </row>
    <row r="1607" spans="2:2">
      <c r="B1607"/>
    </row>
    <row r="1608" spans="2:2">
      <c r="B1608"/>
    </row>
    <row r="1609" spans="2:2">
      <c r="B1609"/>
    </row>
    <row r="1610" spans="2:2">
      <c r="B1610"/>
    </row>
    <row r="1611" spans="2:2">
      <c r="B1611"/>
    </row>
    <row r="1612" spans="2:2">
      <c r="B1612"/>
    </row>
    <row r="1613" spans="2:2">
      <c r="B1613"/>
    </row>
    <row r="1614" spans="2:2">
      <c r="B1614"/>
    </row>
    <row r="1615" spans="2:2">
      <c r="B1615"/>
    </row>
    <row r="1616" spans="2:2">
      <c r="B1616"/>
    </row>
    <row r="1617" spans="2:2">
      <c r="B1617"/>
    </row>
    <row r="1618" spans="2:2">
      <c r="B1618"/>
    </row>
    <row r="1619" spans="2:2">
      <c r="B1619"/>
    </row>
    <row r="1620" spans="2:2">
      <c r="B1620"/>
    </row>
    <row r="1621" spans="2:2">
      <c r="B1621"/>
    </row>
    <row r="1622" spans="2:2">
      <c r="B1622"/>
    </row>
    <row r="1623" spans="2:2">
      <c r="B1623"/>
    </row>
    <row r="1624" spans="2:2">
      <c r="B1624"/>
    </row>
    <row r="1625" spans="2:2">
      <c r="B1625"/>
    </row>
    <row r="1626" spans="2:2">
      <c r="B1626"/>
    </row>
    <row r="1627" spans="2:2">
      <c r="B1627"/>
    </row>
    <row r="1628" spans="2:2">
      <c r="B1628"/>
    </row>
    <row r="1629" spans="2:2">
      <c r="B1629"/>
    </row>
    <row r="1630" spans="2:2">
      <c r="B1630"/>
    </row>
    <row r="1631" spans="2:2">
      <c r="B1631"/>
    </row>
    <row r="1632" spans="2:2">
      <c r="B1632"/>
    </row>
    <row r="1633" spans="2:2">
      <c r="B1633"/>
    </row>
    <row r="1634" spans="2:2">
      <c r="B1634"/>
    </row>
    <row r="1635" spans="2:2">
      <c r="B1635"/>
    </row>
    <row r="1636" spans="2:2">
      <c r="B1636"/>
    </row>
    <row r="1637" spans="2:2">
      <c r="B1637"/>
    </row>
    <row r="1638" spans="2:2">
      <c r="B1638"/>
    </row>
    <row r="1639" spans="2:2">
      <c r="B1639"/>
    </row>
    <row r="1640" spans="2:2">
      <c r="B1640"/>
    </row>
    <row r="1641" spans="2:2">
      <c r="B1641"/>
    </row>
    <row r="1642" spans="2:2">
      <c r="B1642"/>
    </row>
    <row r="1643" spans="2:2">
      <c r="B1643"/>
    </row>
    <row r="1644" spans="2:2">
      <c r="B1644"/>
    </row>
    <row r="1645" spans="2:2">
      <c r="B1645"/>
    </row>
    <row r="1646" spans="2:2">
      <c r="B1646"/>
    </row>
    <row r="1647" spans="2:2">
      <c r="B1647"/>
    </row>
    <row r="1648" spans="2:2">
      <c r="B1648"/>
    </row>
    <row r="1649" spans="2:2">
      <c r="B1649"/>
    </row>
    <row r="1650" spans="2:2">
      <c r="B1650"/>
    </row>
    <row r="1651" spans="2:2">
      <c r="B1651"/>
    </row>
    <row r="1652" spans="2:2">
      <c r="B1652"/>
    </row>
    <row r="1653" spans="2:2">
      <c r="B1653"/>
    </row>
    <row r="1654" spans="2:2">
      <c r="B1654"/>
    </row>
    <row r="1655" spans="2:2">
      <c r="B1655"/>
    </row>
    <row r="1656" spans="2:2">
      <c r="B1656"/>
    </row>
    <row r="1657" spans="2:2">
      <c r="B1657"/>
    </row>
    <row r="1658" spans="2:2">
      <c r="B1658"/>
    </row>
    <row r="1659" spans="2:2">
      <c r="B1659"/>
    </row>
    <row r="1660" spans="2:2">
      <c r="B1660"/>
    </row>
    <row r="1661" spans="2:2">
      <c r="B1661"/>
    </row>
    <row r="1662" spans="2:2">
      <c r="B1662"/>
    </row>
    <row r="1663" spans="2:2">
      <c r="B1663"/>
    </row>
    <row r="1664" spans="2:2">
      <c r="B1664"/>
    </row>
    <row r="1665" spans="2:2">
      <c r="B1665"/>
    </row>
    <row r="1666" spans="2:2">
      <c r="B1666"/>
    </row>
    <row r="1667" spans="2:2">
      <c r="B1667"/>
    </row>
    <row r="1668" spans="2:2">
      <c r="B1668"/>
    </row>
    <row r="1669" spans="2:2">
      <c r="B1669"/>
    </row>
    <row r="1670" spans="2:2">
      <c r="B1670"/>
    </row>
    <row r="1671" spans="2:2">
      <c r="B1671"/>
    </row>
    <row r="1672" spans="2:2">
      <c r="B1672"/>
    </row>
    <row r="1673" spans="2:2">
      <c r="B1673"/>
    </row>
    <row r="1674" spans="2:2">
      <c r="B1674"/>
    </row>
    <row r="1675" spans="2:2">
      <c r="B1675"/>
    </row>
    <row r="1676" spans="2:2">
      <c r="B1676"/>
    </row>
    <row r="1677" spans="2:2">
      <c r="B1677"/>
    </row>
    <row r="1678" spans="2:2">
      <c r="B1678"/>
    </row>
    <row r="1679" spans="2:2">
      <c r="B1679"/>
    </row>
    <row r="1680" spans="2:2">
      <c r="B1680"/>
    </row>
    <row r="1681" spans="2:2">
      <c r="B1681"/>
    </row>
    <row r="1682" spans="2:2">
      <c r="B1682"/>
    </row>
    <row r="1683" spans="2:2">
      <c r="B1683"/>
    </row>
    <row r="1684" spans="2:2">
      <c r="B1684"/>
    </row>
    <row r="1685" spans="2:2">
      <c r="B1685"/>
    </row>
    <row r="1686" spans="2:2">
      <c r="B1686"/>
    </row>
    <row r="1687" spans="2:2">
      <c r="B1687"/>
    </row>
    <row r="1688" spans="2:2">
      <c r="B1688"/>
    </row>
    <row r="1689" spans="2:2">
      <c r="B1689"/>
    </row>
    <row r="1690" spans="2:2">
      <c r="B1690"/>
    </row>
    <row r="1691" spans="2:2">
      <c r="B1691"/>
    </row>
    <row r="1692" spans="2:2">
      <c r="B1692"/>
    </row>
    <row r="1693" spans="2:2">
      <c r="B1693"/>
    </row>
    <row r="1694" spans="2:2">
      <c r="B1694"/>
    </row>
    <row r="1695" spans="2:2">
      <c r="B1695"/>
    </row>
    <row r="1696" spans="2:2">
      <c r="B1696"/>
    </row>
    <row r="1697" spans="2:2">
      <c r="B1697"/>
    </row>
    <row r="1698" spans="2:2">
      <c r="B1698"/>
    </row>
    <row r="1699" spans="2:2">
      <c r="B1699"/>
    </row>
    <row r="1700" spans="2:2">
      <c r="B1700"/>
    </row>
    <row r="1701" spans="2:2">
      <c r="B1701"/>
    </row>
    <row r="1702" spans="2:2">
      <c r="B1702"/>
    </row>
    <row r="1703" spans="2:2">
      <c r="B1703"/>
    </row>
    <row r="1704" spans="2:2">
      <c r="B1704"/>
    </row>
    <row r="1705" spans="2:2">
      <c r="B1705"/>
    </row>
    <row r="1706" spans="2:2">
      <c r="B1706"/>
    </row>
    <row r="1707" spans="2:2">
      <c r="B1707"/>
    </row>
    <row r="1708" spans="2:2">
      <c r="B1708"/>
    </row>
    <row r="1709" spans="2:2">
      <c r="B1709"/>
    </row>
    <row r="1710" spans="2:2">
      <c r="B1710"/>
    </row>
    <row r="1711" spans="2:2">
      <c r="B1711"/>
    </row>
    <row r="1712" spans="2:2">
      <c r="B1712"/>
    </row>
    <row r="1713" spans="2:2">
      <c r="B1713"/>
    </row>
    <row r="1714" spans="2:2">
      <c r="B1714"/>
    </row>
    <row r="1715" spans="2:2">
      <c r="B1715"/>
    </row>
    <row r="1716" spans="2:2">
      <c r="B1716"/>
    </row>
    <row r="1717" spans="2:2">
      <c r="B1717"/>
    </row>
    <row r="1718" spans="2:2">
      <c r="B1718"/>
    </row>
    <row r="1719" spans="2:2">
      <c r="B1719"/>
    </row>
    <row r="1720" spans="2:2">
      <c r="B1720"/>
    </row>
    <row r="1721" spans="2:2">
      <c r="B1721"/>
    </row>
    <row r="1722" spans="2:2">
      <c r="B1722"/>
    </row>
    <row r="1723" spans="2:2">
      <c r="B1723"/>
    </row>
    <row r="1724" spans="2:2">
      <c r="B1724"/>
    </row>
    <row r="1725" spans="2:2">
      <c r="B1725"/>
    </row>
    <row r="1726" spans="2:2">
      <c r="B1726"/>
    </row>
    <row r="1727" spans="2:2">
      <c r="B1727"/>
    </row>
    <row r="1728" spans="2:2">
      <c r="B1728"/>
    </row>
    <row r="1729" spans="2:2">
      <c r="B1729"/>
    </row>
    <row r="1730" spans="2:2">
      <c r="B1730"/>
    </row>
    <row r="1731" spans="2:2">
      <c r="B1731"/>
    </row>
    <row r="1732" spans="2:2">
      <c r="B1732"/>
    </row>
    <row r="1733" spans="2:2">
      <c r="B1733"/>
    </row>
    <row r="1734" spans="2:2">
      <c r="B1734"/>
    </row>
    <row r="1735" spans="2:2">
      <c r="B1735"/>
    </row>
    <row r="1736" spans="2:2">
      <c r="B1736"/>
    </row>
    <row r="1737" spans="2:2">
      <c r="B1737"/>
    </row>
    <row r="1738" spans="2:2">
      <c r="B1738"/>
    </row>
    <row r="1739" spans="2:2">
      <c r="B1739"/>
    </row>
    <row r="1740" spans="2:2">
      <c r="B1740"/>
    </row>
    <row r="1741" spans="2:2">
      <c r="B1741"/>
    </row>
    <row r="1742" spans="2:2">
      <c r="B1742"/>
    </row>
    <row r="1743" spans="2:2">
      <c r="B1743"/>
    </row>
    <row r="1744" spans="2:2">
      <c r="B1744"/>
    </row>
    <row r="1745" spans="2:2">
      <c r="B1745"/>
    </row>
    <row r="1746" spans="2:2">
      <c r="B1746"/>
    </row>
    <row r="1747" spans="2:2">
      <c r="B1747"/>
    </row>
    <row r="1748" spans="2:2">
      <c r="B1748"/>
    </row>
    <row r="1749" spans="2:2">
      <c r="B1749"/>
    </row>
    <row r="1750" spans="2:2">
      <c r="B1750"/>
    </row>
    <row r="1751" spans="2:2">
      <c r="B1751"/>
    </row>
    <row r="1752" spans="2:2">
      <c r="B1752"/>
    </row>
    <row r="1753" spans="2:2">
      <c r="B1753"/>
    </row>
    <row r="1754" spans="2:2">
      <c r="B1754"/>
    </row>
    <row r="1755" spans="2:2">
      <c r="B1755"/>
    </row>
    <row r="1756" spans="2:2">
      <c r="B1756"/>
    </row>
    <row r="1757" spans="2:2">
      <c r="B1757"/>
    </row>
    <row r="1758" spans="2:2">
      <c r="B1758"/>
    </row>
    <row r="1759" spans="2:2">
      <c r="B1759"/>
    </row>
    <row r="1760" spans="2:2">
      <c r="B1760"/>
    </row>
    <row r="1761" spans="2:2">
      <c r="B1761"/>
    </row>
    <row r="1762" spans="2:2">
      <c r="B1762"/>
    </row>
    <row r="1763" spans="2:2">
      <c r="B1763"/>
    </row>
    <row r="1764" spans="2:2">
      <c r="B1764"/>
    </row>
    <row r="1765" spans="2:2">
      <c r="B1765"/>
    </row>
    <row r="1766" spans="2:2">
      <c r="B1766"/>
    </row>
    <row r="1767" spans="2:2">
      <c r="B1767"/>
    </row>
    <row r="1768" spans="2:2">
      <c r="B1768"/>
    </row>
    <row r="1769" spans="2:2">
      <c r="B1769"/>
    </row>
    <row r="1770" spans="2:2">
      <c r="B1770"/>
    </row>
    <row r="1771" spans="2:2">
      <c r="B1771"/>
    </row>
    <row r="1772" spans="2:2">
      <c r="B1772"/>
    </row>
    <row r="1773" spans="2:2">
      <c r="B1773"/>
    </row>
    <row r="1774" spans="2:2">
      <c r="B1774"/>
    </row>
    <row r="1775" spans="2:2">
      <c r="B1775"/>
    </row>
    <row r="1776" spans="2:2">
      <c r="B1776"/>
    </row>
    <row r="1777" spans="2:2">
      <c r="B1777"/>
    </row>
    <row r="1778" spans="2:2">
      <c r="B1778"/>
    </row>
    <row r="1779" spans="2:2">
      <c r="B1779"/>
    </row>
    <row r="1780" spans="2:2">
      <c r="B1780"/>
    </row>
    <row r="1781" spans="2:2">
      <c r="B1781"/>
    </row>
    <row r="1782" spans="2:2">
      <c r="B1782"/>
    </row>
    <row r="1783" spans="2:2">
      <c r="B1783"/>
    </row>
    <row r="1784" spans="2:2">
      <c r="B1784"/>
    </row>
    <row r="1785" spans="2:2">
      <c r="B1785"/>
    </row>
    <row r="1786" spans="2:2">
      <c r="B1786"/>
    </row>
    <row r="1787" spans="2:2">
      <c r="B1787"/>
    </row>
    <row r="1788" spans="2:2">
      <c r="B1788"/>
    </row>
    <row r="1789" spans="2:2">
      <c r="B1789"/>
    </row>
    <row r="1790" spans="2:2">
      <c r="B1790"/>
    </row>
    <row r="1791" spans="2:2">
      <c r="B1791"/>
    </row>
    <row r="1792" spans="2:2">
      <c r="B1792"/>
    </row>
    <row r="1793" spans="2:2">
      <c r="B1793"/>
    </row>
    <row r="1794" spans="2:2">
      <c r="B1794"/>
    </row>
    <row r="1795" spans="2:2">
      <c r="B1795"/>
    </row>
    <row r="1796" spans="2:2">
      <c r="B1796"/>
    </row>
    <row r="1797" spans="2:2">
      <c r="B1797"/>
    </row>
    <row r="1798" spans="2:2">
      <c r="B1798"/>
    </row>
    <row r="1799" spans="2:2">
      <c r="B1799"/>
    </row>
    <row r="1800" spans="2:2">
      <c r="B1800"/>
    </row>
    <row r="1801" spans="2:2">
      <c r="B1801"/>
    </row>
    <row r="1802" spans="2:2">
      <c r="B1802"/>
    </row>
    <row r="1803" spans="2:2">
      <c r="B1803"/>
    </row>
    <row r="1804" spans="2:2">
      <c r="B1804"/>
    </row>
    <row r="1805" spans="2:2">
      <c r="B1805"/>
    </row>
    <row r="1806" spans="2:2">
      <c r="B1806"/>
    </row>
    <row r="1807" spans="2:2">
      <c r="B1807"/>
    </row>
    <row r="1808" spans="2:2">
      <c r="B1808"/>
    </row>
    <row r="1809" spans="2:2">
      <c r="B1809"/>
    </row>
    <row r="1810" spans="2:2">
      <c r="B1810"/>
    </row>
    <row r="1811" spans="2:2">
      <c r="B1811"/>
    </row>
    <row r="1812" spans="2:2">
      <c r="B1812"/>
    </row>
    <row r="1813" spans="2:2">
      <c r="B1813"/>
    </row>
    <row r="1814" spans="2:2">
      <c r="B1814"/>
    </row>
    <row r="1815" spans="2:2">
      <c r="B1815"/>
    </row>
    <row r="1816" spans="2:2">
      <c r="B1816"/>
    </row>
    <row r="1817" spans="2:2">
      <c r="B1817"/>
    </row>
    <row r="1818" spans="2:2">
      <c r="B1818"/>
    </row>
    <row r="1819" spans="2:2">
      <c r="B1819"/>
    </row>
    <row r="1820" spans="2:2">
      <c r="B1820"/>
    </row>
    <row r="1821" spans="2:2">
      <c r="B1821"/>
    </row>
    <row r="1822" spans="2:2">
      <c r="B1822"/>
    </row>
    <row r="1823" spans="2:2">
      <c r="B1823"/>
    </row>
    <row r="1824" spans="2:2">
      <c r="B1824"/>
    </row>
    <row r="1825" spans="2:2">
      <c r="B1825"/>
    </row>
    <row r="1826" spans="2:2">
      <c r="B1826"/>
    </row>
    <row r="1827" spans="2:2">
      <c r="B1827"/>
    </row>
    <row r="1828" spans="2:2">
      <c r="B1828"/>
    </row>
    <row r="1829" spans="2:2">
      <c r="B1829"/>
    </row>
    <row r="1830" spans="2:2">
      <c r="B1830"/>
    </row>
    <row r="1831" spans="2:2">
      <c r="B1831"/>
    </row>
    <row r="1832" spans="2:2">
      <c r="B1832"/>
    </row>
    <row r="1833" spans="2:2">
      <c r="B1833"/>
    </row>
    <row r="1834" spans="2:2">
      <c r="B1834"/>
    </row>
    <row r="1835" spans="2:2">
      <c r="B1835"/>
    </row>
    <row r="1836" spans="2:2">
      <c r="B1836"/>
    </row>
    <row r="1837" spans="2:2">
      <c r="B1837"/>
    </row>
    <row r="1838" spans="2:2">
      <c r="B1838"/>
    </row>
    <row r="1839" spans="2:2">
      <c r="B1839"/>
    </row>
    <row r="1840" spans="2:2">
      <c r="B1840"/>
    </row>
    <row r="1841" spans="2:2">
      <c r="B1841"/>
    </row>
    <row r="1842" spans="2:2">
      <c r="B1842"/>
    </row>
    <row r="1843" spans="2:2">
      <c r="B1843"/>
    </row>
    <row r="1844" spans="2:2">
      <c r="B1844"/>
    </row>
    <row r="1845" spans="2:2">
      <c r="B1845"/>
    </row>
    <row r="1846" spans="2:2">
      <c r="B1846"/>
    </row>
    <row r="1847" spans="2:2">
      <c r="B1847"/>
    </row>
    <row r="1848" spans="2:2">
      <c r="B1848"/>
    </row>
    <row r="1849" spans="2:2">
      <c r="B1849"/>
    </row>
    <row r="1850" spans="2:2">
      <c r="B1850"/>
    </row>
    <row r="1851" spans="2:2">
      <c r="B1851"/>
    </row>
    <row r="1852" spans="2:2">
      <c r="B1852"/>
    </row>
    <row r="1853" spans="2:2">
      <c r="B1853"/>
    </row>
    <row r="1854" spans="2:2">
      <c r="B1854"/>
    </row>
    <row r="1855" spans="2:2">
      <c r="B1855"/>
    </row>
    <row r="1856" spans="2:2">
      <c r="B1856"/>
    </row>
    <row r="1857" spans="2:2">
      <c r="B1857"/>
    </row>
    <row r="1858" spans="2:2">
      <c r="B1858"/>
    </row>
    <row r="1859" spans="2:2">
      <c r="B1859"/>
    </row>
    <row r="1860" spans="2:2">
      <c r="B1860"/>
    </row>
    <row r="1861" spans="2:2">
      <c r="B1861"/>
    </row>
    <row r="1862" spans="2:2">
      <c r="B1862"/>
    </row>
    <row r="1863" spans="2:2">
      <c r="B1863"/>
    </row>
    <row r="1864" spans="2:2">
      <c r="B1864"/>
    </row>
    <row r="1865" spans="2:2">
      <c r="B1865"/>
    </row>
    <row r="1866" spans="2:2">
      <c r="B1866"/>
    </row>
    <row r="1867" spans="2:2">
      <c r="B1867"/>
    </row>
    <row r="1868" spans="2:2">
      <c r="B1868"/>
    </row>
    <row r="1869" spans="2:2">
      <c r="B1869"/>
    </row>
    <row r="1870" spans="2:2">
      <c r="B1870"/>
    </row>
    <row r="1871" spans="2:2">
      <c r="B1871"/>
    </row>
    <row r="1872" spans="2:2">
      <c r="B1872"/>
    </row>
    <row r="1873" spans="2:2">
      <c r="B1873"/>
    </row>
    <row r="1874" spans="2:2">
      <c r="B1874"/>
    </row>
    <row r="1875" spans="2:2">
      <c r="B1875"/>
    </row>
    <row r="1876" spans="2:2">
      <c r="B1876"/>
    </row>
    <row r="1877" spans="2:2">
      <c r="B1877"/>
    </row>
    <row r="1878" spans="2:2">
      <c r="B1878"/>
    </row>
    <row r="1879" spans="2:2">
      <c r="B1879"/>
    </row>
    <row r="1880" spans="2:2">
      <c r="B1880"/>
    </row>
    <row r="1881" spans="2:2">
      <c r="B1881"/>
    </row>
    <row r="1882" spans="2:2">
      <c r="B1882"/>
    </row>
    <row r="1883" spans="2:2">
      <c r="B1883"/>
    </row>
    <row r="1884" spans="2:2">
      <c r="B1884"/>
    </row>
    <row r="1885" spans="2:2">
      <c r="B1885"/>
    </row>
    <row r="1886" spans="2:2">
      <c r="B1886"/>
    </row>
    <row r="1887" spans="2:2">
      <c r="B1887"/>
    </row>
    <row r="1888" spans="2:2">
      <c r="B1888"/>
    </row>
    <row r="1889" spans="2:2">
      <c r="B1889"/>
    </row>
    <row r="1890" spans="2:2">
      <c r="B1890"/>
    </row>
    <row r="1891" spans="2:2">
      <c r="B1891"/>
    </row>
    <row r="1892" spans="2:2">
      <c r="B1892"/>
    </row>
    <row r="1893" spans="2:2">
      <c r="B1893"/>
    </row>
    <row r="1894" spans="2:2">
      <c r="B1894"/>
    </row>
    <row r="1895" spans="2:2">
      <c r="B1895"/>
    </row>
    <row r="1896" spans="2:2">
      <c r="B1896"/>
    </row>
    <row r="1897" spans="2:2">
      <c r="B1897"/>
    </row>
    <row r="1898" spans="2:2">
      <c r="B1898"/>
    </row>
    <row r="1899" spans="2:2">
      <c r="B1899"/>
    </row>
    <row r="1900" spans="2:2">
      <c r="B1900"/>
    </row>
    <row r="1901" spans="2:2">
      <c r="B1901"/>
    </row>
    <row r="1902" spans="2:2">
      <c r="B1902"/>
    </row>
    <row r="1903" spans="2:2">
      <c r="B1903"/>
    </row>
    <row r="1904" spans="2:2">
      <c r="B1904"/>
    </row>
    <row r="1905" spans="2:2">
      <c r="B1905"/>
    </row>
    <row r="1906" spans="2:2">
      <c r="B1906"/>
    </row>
    <row r="1907" spans="2:2">
      <c r="B1907"/>
    </row>
    <row r="1908" spans="2:2">
      <c r="B1908"/>
    </row>
    <row r="1909" spans="2:2">
      <c r="B1909"/>
    </row>
    <row r="1910" spans="2:2">
      <c r="B1910"/>
    </row>
    <row r="1911" spans="2:2">
      <c r="B1911"/>
    </row>
    <row r="1912" spans="2:2">
      <c r="B1912"/>
    </row>
    <row r="1913" spans="2:2">
      <c r="B1913"/>
    </row>
    <row r="1914" spans="2:2">
      <c r="B1914"/>
    </row>
    <row r="1915" spans="2:2">
      <c r="B1915"/>
    </row>
    <row r="1916" spans="2:2">
      <c r="B1916"/>
    </row>
    <row r="1917" spans="2:2">
      <c r="B1917"/>
    </row>
    <row r="1918" spans="2:2">
      <c r="B1918"/>
    </row>
    <row r="1919" spans="2:2">
      <c r="B1919"/>
    </row>
    <row r="1920" spans="2:2">
      <c r="B1920"/>
    </row>
    <row r="1921" spans="2:2">
      <c r="B1921"/>
    </row>
    <row r="1922" spans="2:2">
      <c r="B1922"/>
    </row>
    <row r="1923" spans="2:2">
      <c r="B1923"/>
    </row>
    <row r="1924" spans="2:2">
      <c r="B1924"/>
    </row>
    <row r="1925" spans="2:2">
      <c r="B1925"/>
    </row>
    <row r="1926" spans="2:2">
      <c r="B1926"/>
    </row>
    <row r="1927" spans="2:2">
      <c r="B1927"/>
    </row>
    <row r="1928" spans="2:2">
      <c r="B1928"/>
    </row>
    <row r="1929" spans="2:2">
      <c r="B1929"/>
    </row>
    <row r="1930" spans="2:2">
      <c r="B1930"/>
    </row>
    <row r="1931" spans="2:2">
      <c r="B1931"/>
    </row>
    <row r="1932" spans="2:2">
      <c r="B1932"/>
    </row>
    <row r="1933" spans="2:2">
      <c r="B1933"/>
    </row>
    <row r="1934" spans="2:2">
      <c r="B1934"/>
    </row>
    <row r="1935" spans="2:2">
      <c r="B1935"/>
    </row>
    <row r="1936" spans="2:2">
      <c r="B1936"/>
    </row>
    <row r="1937" spans="2:2">
      <c r="B1937"/>
    </row>
    <row r="1938" spans="2:2">
      <c r="B1938"/>
    </row>
    <row r="1939" spans="2:2">
      <c r="B1939"/>
    </row>
    <row r="1940" spans="2:2">
      <c r="B1940"/>
    </row>
    <row r="1941" spans="2:2">
      <c r="B1941"/>
    </row>
    <row r="1942" spans="2:2">
      <c r="B1942"/>
    </row>
    <row r="1943" spans="2:2">
      <c r="B1943"/>
    </row>
    <row r="1944" spans="2:2">
      <c r="B1944"/>
    </row>
    <row r="1945" spans="2:2">
      <c r="B1945"/>
    </row>
    <row r="1946" spans="2:2">
      <c r="B1946"/>
    </row>
    <row r="1947" spans="2:2">
      <c r="B1947"/>
    </row>
    <row r="1948" spans="2:2">
      <c r="B1948"/>
    </row>
    <row r="1949" spans="2:2">
      <c r="B1949"/>
    </row>
    <row r="1950" spans="2:2">
      <c r="B1950"/>
    </row>
    <row r="1951" spans="2:2">
      <c r="B1951"/>
    </row>
    <row r="1952" spans="2:2">
      <c r="B1952"/>
    </row>
    <row r="1953" spans="2:2">
      <c r="B1953"/>
    </row>
    <row r="1954" spans="2:2">
      <c r="B1954"/>
    </row>
    <row r="1955" spans="2:2">
      <c r="B1955"/>
    </row>
    <row r="1956" spans="2:2">
      <c r="B1956"/>
    </row>
    <row r="1957" spans="2:2">
      <c r="B1957"/>
    </row>
    <row r="1958" spans="2:2">
      <c r="B1958"/>
    </row>
    <row r="1959" spans="2:2">
      <c r="B1959"/>
    </row>
    <row r="1960" spans="2:2">
      <c r="B1960"/>
    </row>
    <row r="1961" spans="2:2">
      <c r="B1961"/>
    </row>
    <row r="1962" spans="2:2">
      <c r="B1962"/>
    </row>
    <row r="1963" spans="2:2">
      <c r="B1963"/>
    </row>
    <row r="1964" spans="2:2">
      <c r="B1964"/>
    </row>
    <row r="1965" spans="2:2">
      <c r="B1965"/>
    </row>
    <row r="1966" spans="2:2">
      <c r="B1966"/>
    </row>
    <row r="1967" spans="2:2">
      <c r="B1967"/>
    </row>
    <row r="1968" spans="2:2">
      <c r="B1968"/>
    </row>
    <row r="1969" spans="2:2">
      <c r="B1969"/>
    </row>
    <row r="1970" spans="2:2">
      <c r="B1970"/>
    </row>
    <row r="1971" spans="2:2">
      <c r="B1971"/>
    </row>
    <row r="1972" spans="2:2">
      <c r="B1972"/>
    </row>
    <row r="1973" spans="2:2">
      <c r="B1973"/>
    </row>
    <row r="1974" spans="2:2">
      <c r="B1974"/>
    </row>
    <row r="1975" spans="2:2">
      <c r="B1975"/>
    </row>
    <row r="1976" spans="2:2">
      <c r="B1976"/>
    </row>
    <row r="1977" spans="2:2">
      <c r="B1977"/>
    </row>
    <row r="1978" spans="2:2">
      <c r="B1978"/>
    </row>
    <row r="1979" spans="2:2">
      <c r="B1979"/>
    </row>
    <row r="1980" spans="2:2">
      <c r="B1980"/>
    </row>
    <row r="1981" spans="2:2">
      <c r="B1981"/>
    </row>
    <row r="1982" spans="2:2">
      <c r="B1982"/>
    </row>
    <row r="1983" spans="2:2">
      <c r="B1983"/>
    </row>
    <row r="1984" spans="2:2">
      <c r="B1984"/>
    </row>
    <row r="1985" spans="2:2">
      <c r="B1985"/>
    </row>
    <row r="1986" spans="2:2">
      <c r="B1986"/>
    </row>
    <row r="1987" spans="2:2">
      <c r="B1987"/>
    </row>
    <row r="1988" spans="2:2">
      <c r="B1988"/>
    </row>
    <row r="1989" spans="2:2">
      <c r="B1989"/>
    </row>
    <row r="1990" spans="2:2">
      <c r="B1990"/>
    </row>
    <row r="1991" spans="2:2">
      <c r="B1991"/>
    </row>
    <row r="1992" spans="2:2">
      <c r="B1992"/>
    </row>
    <row r="1993" spans="2:2">
      <c r="B1993"/>
    </row>
    <row r="1994" spans="2:2">
      <c r="B1994"/>
    </row>
    <row r="1995" spans="2:2">
      <c r="B1995"/>
    </row>
    <row r="1996" spans="2:2">
      <c r="B1996"/>
    </row>
    <row r="1997" spans="2:2">
      <c r="B1997"/>
    </row>
    <row r="1998" spans="2:2">
      <c r="B1998"/>
    </row>
    <row r="1999" spans="2:2">
      <c r="B1999"/>
    </row>
    <row r="2000" spans="2:2">
      <c r="B2000"/>
    </row>
    <row r="2001" spans="2:2">
      <c r="B2001"/>
    </row>
    <row r="2002" spans="2:2">
      <c r="B2002"/>
    </row>
    <row r="2003" spans="2:2">
      <c r="B2003"/>
    </row>
    <row r="2004" spans="2:2">
      <c r="B2004"/>
    </row>
    <row r="2005" spans="2:2">
      <c r="B2005"/>
    </row>
    <row r="2006" spans="2:2">
      <c r="B2006"/>
    </row>
    <row r="2007" spans="2:2">
      <c r="B2007"/>
    </row>
    <row r="2008" spans="2:2">
      <c r="B2008"/>
    </row>
    <row r="2009" spans="2:2">
      <c r="B2009"/>
    </row>
    <row r="2010" spans="2:2">
      <c r="B2010"/>
    </row>
    <row r="2011" spans="2:2">
      <c r="B2011"/>
    </row>
    <row r="2012" spans="2:2">
      <c r="B2012"/>
    </row>
    <row r="2013" spans="2:2">
      <c r="B2013"/>
    </row>
    <row r="2014" spans="2:2">
      <c r="B2014"/>
    </row>
    <row r="2015" spans="2:2">
      <c r="B2015"/>
    </row>
    <row r="2016" spans="2:2">
      <c r="B2016"/>
    </row>
    <row r="2017" spans="2:2">
      <c r="B2017"/>
    </row>
    <row r="2018" spans="2:2">
      <c r="B2018"/>
    </row>
    <row r="2019" spans="2:2">
      <c r="B2019"/>
    </row>
    <row r="2020" spans="2:2">
      <c r="B2020"/>
    </row>
    <row r="2021" spans="2:2">
      <c r="B2021"/>
    </row>
    <row r="2022" spans="2:2">
      <c r="B2022"/>
    </row>
    <row r="2023" spans="2:2">
      <c r="B2023"/>
    </row>
    <row r="2024" spans="2:2">
      <c r="B2024"/>
    </row>
    <row r="2025" spans="2:2">
      <c r="B2025"/>
    </row>
    <row r="2026" spans="2:2">
      <c r="B2026"/>
    </row>
    <row r="2027" spans="2:2">
      <c r="B2027"/>
    </row>
    <row r="2028" spans="2:2">
      <c r="B2028"/>
    </row>
    <row r="2029" spans="2:2">
      <c r="B2029"/>
    </row>
    <row r="2030" spans="2:2">
      <c r="B2030"/>
    </row>
    <row r="2031" spans="2:2">
      <c r="B2031"/>
    </row>
    <row r="2032" spans="2:2">
      <c r="B2032"/>
    </row>
    <row r="2033" spans="2:2">
      <c r="B2033"/>
    </row>
    <row r="2034" spans="2:2">
      <c r="B2034"/>
    </row>
    <row r="2035" spans="2:2">
      <c r="B2035"/>
    </row>
    <row r="2036" spans="2:2">
      <c r="B2036"/>
    </row>
    <row r="2037" spans="2:2">
      <c r="B2037"/>
    </row>
    <row r="2038" spans="2:2">
      <c r="B2038"/>
    </row>
    <row r="2039" spans="2:2">
      <c r="B2039"/>
    </row>
    <row r="2040" spans="2:2">
      <c r="B2040"/>
    </row>
    <row r="2041" spans="2:2">
      <c r="B2041"/>
    </row>
    <row r="2042" spans="2:2">
      <c r="B2042"/>
    </row>
    <row r="2043" spans="2:2">
      <c r="B2043"/>
    </row>
    <row r="2044" spans="2:2">
      <c r="B2044"/>
    </row>
    <row r="2045" spans="2:2">
      <c r="B2045"/>
    </row>
    <row r="2046" spans="2:2">
      <c r="B2046"/>
    </row>
    <row r="2047" spans="2:2">
      <c r="B2047"/>
    </row>
    <row r="2048" spans="2:2">
      <c r="B2048"/>
    </row>
    <row r="2049" spans="2:2">
      <c r="B2049"/>
    </row>
    <row r="2050" spans="2:2">
      <c r="B2050"/>
    </row>
    <row r="2051" spans="2:2">
      <c r="B2051"/>
    </row>
    <row r="2052" spans="2:2">
      <c r="B2052"/>
    </row>
    <row r="2053" spans="2:2">
      <c r="B2053"/>
    </row>
    <row r="2054" spans="2:2">
      <c r="B2054"/>
    </row>
    <row r="2055" spans="2:2">
      <c r="B2055"/>
    </row>
    <row r="2056" spans="2:2">
      <c r="B2056"/>
    </row>
    <row r="2057" spans="2:2">
      <c r="B2057"/>
    </row>
    <row r="2058" spans="2:2">
      <c r="B2058"/>
    </row>
    <row r="2059" spans="2:2">
      <c r="B2059"/>
    </row>
    <row r="2060" spans="2:2">
      <c r="B2060"/>
    </row>
    <row r="2061" spans="2:2">
      <c r="B2061"/>
    </row>
    <row r="2062" spans="2:2">
      <c r="B2062"/>
    </row>
    <row r="2063" spans="2:2">
      <c r="B2063"/>
    </row>
    <row r="2064" spans="2:2">
      <c r="B2064"/>
    </row>
    <row r="2065" spans="2:2">
      <c r="B2065"/>
    </row>
    <row r="2066" spans="2:2">
      <c r="B2066"/>
    </row>
    <row r="2067" spans="2:2">
      <c r="B2067"/>
    </row>
    <row r="2068" spans="2:2">
      <c r="B2068"/>
    </row>
    <row r="2069" spans="2:2">
      <c r="B2069"/>
    </row>
    <row r="2070" spans="2:2">
      <c r="B2070"/>
    </row>
    <row r="2071" spans="2:2">
      <c r="B2071"/>
    </row>
    <row r="2072" spans="2:2">
      <c r="B2072"/>
    </row>
    <row r="2073" spans="2:2">
      <c r="B2073"/>
    </row>
    <row r="2074" spans="2:2">
      <c r="B2074"/>
    </row>
    <row r="2075" spans="2:2">
      <c r="B2075"/>
    </row>
    <row r="2076" spans="2:2">
      <c r="B2076"/>
    </row>
    <row r="2077" spans="2:2">
      <c r="B2077"/>
    </row>
    <row r="2078" spans="2:2">
      <c r="B2078"/>
    </row>
    <row r="2079" spans="2:2">
      <c r="B2079"/>
    </row>
    <row r="2080" spans="2:2">
      <c r="B2080"/>
    </row>
    <row r="2081" spans="2:2">
      <c r="B2081"/>
    </row>
    <row r="2082" spans="2:2">
      <c r="B2082"/>
    </row>
    <row r="2083" spans="2:2">
      <c r="B2083"/>
    </row>
    <row r="2084" spans="2:2">
      <c r="B2084"/>
    </row>
    <row r="2085" spans="2:2">
      <c r="B2085"/>
    </row>
    <row r="2086" spans="2:2">
      <c r="B2086"/>
    </row>
    <row r="2087" spans="2:2">
      <c r="B2087"/>
    </row>
    <row r="2088" spans="2:2">
      <c r="B2088"/>
    </row>
    <row r="2089" spans="2:2">
      <c r="B2089"/>
    </row>
    <row r="2090" spans="2:2">
      <c r="B2090"/>
    </row>
    <row r="2091" spans="2:2">
      <c r="B2091"/>
    </row>
    <row r="2092" spans="2:2">
      <c r="B2092"/>
    </row>
    <row r="2093" spans="2:2">
      <c r="B2093"/>
    </row>
    <row r="2094" spans="2:2">
      <c r="B2094"/>
    </row>
    <row r="2095" spans="2:2">
      <c r="B2095"/>
    </row>
    <row r="2096" spans="2:2">
      <c r="B2096"/>
    </row>
    <row r="2097" spans="2:2">
      <c r="B2097"/>
    </row>
    <row r="2098" spans="2:2">
      <c r="B2098"/>
    </row>
    <row r="2099" spans="2:2">
      <c r="B2099"/>
    </row>
    <row r="2100" spans="2:2">
      <c r="B2100"/>
    </row>
    <row r="2101" spans="2:2">
      <c r="B2101"/>
    </row>
    <row r="2102" spans="2:2">
      <c r="B2102"/>
    </row>
    <row r="2103" spans="2:2">
      <c r="B2103"/>
    </row>
    <row r="2104" spans="2:2">
      <c r="B2104"/>
    </row>
    <row r="2105" spans="2:2">
      <c r="B2105"/>
    </row>
    <row r="2106" spans="2:2">
      <c r="B2106"/>
    </row>
    <row r="2107" spans="2:2">
      <c r="B2107"/>
    </row>
    <row r="2108" spans="2:2">
      <c r="B2108"/>
    </row>
    <row r="2109" spans="2:2">
      <c r="B2109"/>
    </row>
    <row r="2110" spans="2:2">
      <c r="B2110"/>
    </row>
    <row r="2111" spans="2:2">
      <c r="B2111"/>
    </row>
    <row r="2112" spans="2:2">
      <c r="B2112"/>
    </row>
    <row r="2113" spans="2:2">
      <c r="B2113"/>
    </row>
    <row r="2114" spans="2:2">
      <c r="B2114"/>
    </row>
    <row r="2115" spans="2:2">
      <c r="B2115"/>
    </row>
    <row r="2116" spans="2:2">
      <c r="B2116"/>
    </row>
    <row r="2117" spans="2:2">
      <c r="B2117"/>
    </row>
    <row r="2118" spans="2:2">
      <c r="B2118"/>
    </row>
    <row r="2119" spans="2:2">
      <c r="B2119"/>
    </row>
    <row r="2120" spans="2:2">
      <c r="B2120"/>
    </row>
    <row r="2121" spans="2:2">
      <c r="B2121"/>
    </row>
    <row r="2122" spans="2:2">
      <c r="B2122"/>
    </row>
    <row r="2123" spans="2:2">
      <c r="B2123"/>
    </row>
    <row r="2124" spans="2:2">
      <c r="B2124"/>
    </row>
    <row r="2125" spans="2:2">
      <c r="B2125"/>
    </row>
    <row r="2126" spans="2:2">
      <c r="B2126"/>
    </row>
    <row r="2127" spans="2:2">
      <c r="B2127"/>
    </row>
    <row r="2128" spans="2:2">
      <c r="B2128"/>
    </row>
    <row r="2129" spans="2:2">
      <c r="B2129"/>
    </row>
    <row r="2130" spans="2:2">
      <c r="B2130"/>
    </row>
    <row r="2131" spans="2:2">
      <c r="B2131"/>
    </row>
    <row r="2132" spans="2:2">
      <c r="B2132"/>
    </row>
    <row r="2133" spans="2:2">
      <c r="B2133"/>
    </row>
    <row r="2134" spans="2:2">
      <c r="B2134"/>
    </row>
    <row r="2135" spans="2:2">
      <c r="B2135"/>
    </row>
    <row r="2136" spans="2:2">
      <c r="B2136"/>
    </row>
    <row r="2137" spans="2:2">
      <c r="B2137"/>
    </row>
    <row r="2138" spans="2:2">
      <c r="B2138"/>
    </row>
    <row r="2139" spans="2:2">
      <c r="B2139"/>
    </row>
    <row r="2140" spans="2:2">
      <c r="B2140"/>
    </row>
    <row r="2141" spans="2:2">
      <c r="B2141"/>
    </row>
    <row r="2142" spans="2:2">
      <c r="B2142"/>
    </row>
    <row r="2143" spans="2:2">
      <c r="B2143"/>
    </row>
    <row r="2144" spans="2:2">
      <c r="B2144"/>
    </row>
    <row r="2145" spans="2:2">
      <c r="B2145"/>
    </row>
    <row r="2146" spans="2:2">
      <c r="B2146"/>
    </row>
    <row r="2147" spans="2:2">
      <c r="B2147"/>
    </row>
    <row r="2148" spans="2:2">
      <c r="B2148"/>
    </row>
    <row r="2149" spans="2:2">
      <c r="B2149"/>
    </row>
    <row r="2150" spans="2:2">
      <c r="B2150"/>
    </row>
    <row r="2151" spans="2:2">
      <c r="B2151"/>
    </row>
    <row r="2152" spans="2:2">
      <c r="B2152"/>
    </row>
    <row r="2153" spans="2:2">
      <c r="B2153"/>
    </row>
    <row r="2154" spans="2:2">
      <c r="B2154"/>
    </row>
    <row r="2155" spans="2:2">
      <c r="B2155"/>
    </row>
    <row r="2156" spans="2:2">
      <c r="B2156"/>
    </row>
    <row r="2157" spans="2:2">
      <c r="B2157"/>
    </row>
    <row r="2158" spans="2:2">
      <c r="B2158"/>
    </row>
    <row r="2159" spans="2:2">
      <c r="B2159"/>
    </row>
    <row r="2160" spans="2:2">
      <c r="B2160"/>
    </row>
    <row r="2161" spans="2:2">
      <c r="B2161"/>
    </row>
    <row r="2162" spans="2:2">
      <c r="B2162"/>
    </row>
    <row r="2163" spans="2:2">
      <c r="B2163"/>
    </row>
    <row r="2164" spans="2:2">
      <c r="B2164"/>
    </row>
    <row r="2165" spans="2:2">
      <c r="B2165"/>
    </row>
    <row r="2166" spans="2:2">
      <c r="B2166"/>
    </row>
    <row r="2167" spans="2:2">
      <c r="B2167"/>
    </row>
    <row r="2168" spans="2:2">
      <c r="B2168"/>
    </row>
    <row r="2169" spans="2:2">
      <c r="B2169"/>
    </row>
    <row r="2170" spans="2:2">
      <c r="B2170"/>
    </row>
    <row r="2171" spans="2:2">
      <c r="B2171"/>
    </row>
    <row r="2172" spans="2:2">
      <c r="B2172"/>
    </row>
    <row r="2173" spans="2:2">
      <c r="B2173"/>
    </row>
    <row r="2174" spans="2:2">
      <c r="B2174"/>
    </row>
    <row r="2175" spans="2:2">
      <c r="B2175"/>
    </row>
    <row r="2176" spans="2:2">
      <c r="B2176"/>
    </row>
    <row r="2177" spans="2:2">
      <c r="B2177"/>
    </row>
    <row r="2178" spans="2:2">
      <c r="B2178"/>
    </row>
    <row r="2179" spans="2:2">
      <c r="B2179"/>
    </row>
    <row r="2180" spans="2:2">
      <c r="B2180"/>
    </row>
    <row r="2181" spans="2:2">
      <c r="B2181"/>
    </row>
    <row r="2182" spans="2:2">
      <c r="B2182"/>
    </row>
    <row r="2183" spans="2:2">
      <c r="B2183"/>
    </row>
    <row r="2184" spans="2:2">
      <c r="B2184"/>
    </row>
    <row r="2185" spans="2:2">
      <c r="B2185"/>
    </row>
    <row r="2186" spans="2:2">
      <c r="B2186"/>
    </row>
    <row r="2187" spans="2:2">
      <c r="B2187"/>
    </row>
    <row r="2188" spans="2:2">
      <c r="B2188"/>
    </row>
    <row r="2189" spans="2:2">
      <c r="B2189"/>
    </row>
    <row r="2190" spans="2:2">
      <c r="B2190"/>
    </row>
    <row r="2191" spans="2:2">
      <c r="B2191"/>
    </row>
    <row r="2192" spans="2:2">
      <c r="B2192"/>
    </row>
    <row r="2193" spans="2:2">
      <c r="B2193"/>
    </row>
    <row r="2194" spans="2:2">
      <c r="B2194"/>
    </row>
    <row r="2195" spans="2:2">
      <c r="B2195"/>
    </row>
    <row r="2196" spans="2:2">
      <c r="B2196"/>
    </row>
    <row r="2197" spans="2:2">
      <c r="B2197"/>
    </row>
    <row r="2198" spans="2:2">
      <c r="B2198"/>
    </row>
    <row r="2199" spans="2:2">
      <c r="B2199"/>
    </row>
    <row r="2200" spans="2:2">
      <c r="B2200"/>
    </row>
    <row r="2201" spans="2:2">
      <c r="B2201"/>
    </row>
    <row r="2202" spans="2:2">
      <c r="B2202"/>
    </row>
    <row r="2203" spans="2:2">
      <c r="B2203"/>
    </row>
    <row r="2204" spans="2:2">
      <c r="B2204"/>
    </row>
    <row r="2205" spans="2:2">
      <c r="B2205"/>
    </row>
    <row r="2206" spans="2:2">
      <c r="B2206"/>
    </row>
    <row r="2207" spans="2:2">
      <c r="B2207"/>
    </row>
    <row r="2208" spans="2:2">
      <c r="B2208"/>
    </row>
    <row r="2209" spans="2:2">
      <c r="B2209"/>
    </row>
    <row r="2210" spans="2:2">
      <c r="B2210"/>
    </row>
    <row r="2211" spans="2:2">
      <c r="B2211"/>
    </row>
    <row r="2212" spans="2:2">
      <c r="B2212"/>
    </row>
    <row r="2213" spans="2:2">
      <c r="B2213"/>
    </row>
    <row r="2214" spans="2:2">
      <c r="B2214"/>
    </row>
    <row r="2215" spans="2:2">
      <c r="B2215"/>
    </row>
    <row r="2216" spans="2:2">
      <c r="B2216"/>
    </row>
    <row r="2217" spans="2:2">
      <c r="B2217"/>
    </row>
    <row r="2218" spans="2:2">
      <c r="B2218"/>
    </row>
    <row r="2219" spans="2:2">
      <c r="B2219"/>
    </row>
    <row r="2220" spans="2:2">
      <c r="B2220"/>
    </row>
    <row r="2221" spans="2:2">
      <c r="B2221"/>
    </row>
    <row r="2222" spans="2:2">
      <c r="B2222"/>
    </row>
    <row r="2223" spans="2:2">
      <c r="B2223"/>
    </row>
    <row r="2224" spans="2:2">
      <c r="B2224"/>
    </row>
    <row r="2225" spans="2:2">
      <c r="B2225"/>
    </row>
    <row r="2226" spans="2:2">
      <c r="B2226"/>
    </row>
    <row r="2227" spans="2:2">
      <c r="B2227"/>
    </row>
    <row r="2228" spans="2:2">
      <c r="B2228"/>
    </row>
    <row r="2229" spans="2:2">
      <c r="B2229"/>
    </row>
    <row r="2230" spans="2:2">
      <c r="B2230"/>
    </row>
    <row r="2231" spans="2:2">
      <c r="B2231"/>
    </row>
    <row r="2232" spans="2:2">
      <c r="B2232"/>
    </row>
    <row r="2233" spans="2:2">
      <c r="B2233"/>
    </row>
    <row r="2234" spans="2:2">
      <c r="B2234"/>
    </row>
    <row r="2235" spans="2:2">
      <c r="B2235"/>
    </row>
    <row r="2236" spans="2:2">
      <c r="B2236"/>
    </row>
    <row r="2237" spans="2:2">
      <c r="B2237"/>
    </row>
    <row r="2238" spans="2:2">
      <c r="B2238"/>
    </row>
    <row r="2239" spans="2:2">
      <c r="B2239"/>
    </row>
    <row r="2240" spans="2:2">
      <c r="B2240"/>
    </row>
    <row r="2241" spans="2:2">
      <c r="B2241"/>
    </row>
    <row r="2242" spans="2:2">
      <c r="B2242"/>
    </row>
    <row r="2243" spans="2:2">
      <c r="B2243"/>
    </row>
    <row r="2244" spans="2:2">
      <c r="B2244"/>
    </row>
    <row r="2245" spans="2:2">
      <c r="B2245"/>
    </row>
    <row r="2246" spans="2:2">
      <c r="B2246"/>
    </row>
    <row r="2247" spans="2:2">
      <c r="B2247"/>
    </row>
    <row r="2248" spans="2:2">
      <c r="B2248"/>
    </row>
    <row r="2249" spans="2:2">
      <c r="B2249"/>
    </row>
    <row r="2250" spans="2:2">
      <c r="B2250"/>
    </row>
    <row r="2251" spans="2:2">
      <c r="B2251"/>
    </row>
    <row r="2252" spans="2:2">
      <c r="B2252"/>
    </row>
    <row r="2253" spans="2:2">
      <c r="B2253"/>
    </row>
    <row r="2254" spans="2:2">
      <c r="B2254"/>
    </row>
    <row r="2255" spans="2:2">
      <c r="B2255"/>
    </row>
    <row r="2256" spans="2:2">
      <c r="B2256"/>
    </row>
    <row r="2257" spans="2:2">
      <c r="B2257"/>
    </row>
    <row r="2258" spans="2:2">
      <c r="B2258"/>
    </row>
    <row r="2259" spans="2:2">
      <c r="B2259"/>
    </row>
    <row r="2260" spans="2:2">
      <c r="B2260"/>
    </row>
    <row r="2261" spans="2:2">
      <c r="B2261"/>
    </row>
    <row r="2262" spans="2:2">
      <c r="B2262"/>
    </row>
    <row r="2263" spans="2:2">
      <c r="B2263"/>
    </row>
    <row r="2264" spans="2:2">
      <c r="B2264"/>
    </row>
    <row r="2265" spans="2:2">
      <c r="B2265"/>
    </row>
    <row r="2266" spans="2:2">
      <c r="B2266"/>
    </row>
    <row r="2267" spans="2:2">
      <c r="B2267"/>
    </row>
    <row r="2268" spans="2:2">
      <c r="B2268"/>
    </row>
    <row r="2269" spans="2:2">
      <c r="B2269"/>
    </row>
    <row r="2270" spans="2:2">
      <c r="B2270"/>
    </row>
    <row r="2271" spans="2:2">
      <c r="B2271"/>
    </row>
    <row r="2272" spans="2:2">
      <c r="B2272"/>
    </row>
    <row r="2273" spans="2:2">
      <c r="B2273"/>
    </row>
    <row r="2274" spans="2:2">
      <c r="B2274"/>
    </row>
    <row r="2275" spans="2:2">
      <c r="B2275"/>
    </row>
    <row r="2276" spans="2:2">
      <c r="B2276"/>
    </row>
    <row r="2277" spans="2:2">
      <c r="B2277"/>
    </row>
    <row r="2278" spans="2:2">
      <c r="B2278"/>
    </row>
    <row r="2279" spans="2:2">
      <c r="B2279"/>
    </row>
    <row r="2280" spans="2:2">
      <c r="B2280"/>
    </row>
    <row r="2281" spans="2:2">
      <c r="B2281"/>
    </row>
    <row r="2282" spans="2:2">
      <c r="B2282"/>
    </row>
    <row r="2283" spans="2:2">
      <c r="B2283"/>
    </row>
    <row r="2284" spans="2:2">
      <c r="B2284"/>
    </row>
    <row r="2285" spans="2:2">
      <c r="B2285"/>
    </row>
    <row r="2286" spans="2:2">
      <c r="B2286"/>
    </row>
    <row r="2287" spans="2:2">
      <c r="B2287"/>
    </row>
    <row r="2288" spans="2:2">
      <c r="B2288"/>
    </row>
    <row r="2289" spans="2:2">
      <c r="B2289"/>
    </row>
    <row r="2290" spans="2:2">
      <c r="B2290"/>
    </row>
    <row r="2291" spans="2:2">
      <c r="B2291"/>
    </row>
    <row r="2292" spans="2:2">
      <c r="B2292"/>
    </row>
    <row r="2293" spans="2:2">
      <c r="B2293"/>
    </row>
    <row r="2294" spans="2:2">
      <c r="B2294"/>
    </row>
    <row r="2295" spans="2:2">
      <c r="B2295"/>
    </row>
    <row r="2296" spans="2:2">
      <c r="B2296"/>
    </row>
    <row r="2297" spans="2:2">
      <c r="B2297"/>
    </row>
    <row r="2298" spans="2:2">
      <c r="B2298"/>
    </row>
    <row r="2299" spans="2:2">
      <c r="B2299"/>
    </row>
    <row r="2300" spans="2:2">
      <c r="B2300"/>
    </row>
    <row r="2301" spans="2:2">
      <c r="B2301"/>
    </row>
    <row r="2302" spans="2:2">
      <c r="B2302"/>
    </row>
    <row r="2303" spans="2:2">
      <c r="B2303"/>
    </row>
    <row r="2304" spans="2:2">
      <c r="B2304"/>
    </row>
    <row r="2305" spans="2:2">
      <c r="B2305"/>
    </row>
    <row r="2306" spans="2:2">
      <c r="B2306"/>
    </row>
    <row r="2307" spans="2:2">
      <c r="B2307"/>
    </row>
    <row r="2308" spans="2:2">
      <c r="B2308"/>
    </row>
    <row r="2309" spans="2:2">
      <c r="B2309"/>
    </row>
    <row r="2310" spans="2:2">
      <c r="B2310"/>
    </row>
    <row r="2311" spans="2:2">
      <c r="B2311"/>
    </row>
    <row r="2312" spans="2:2">
      <c r="B2312"/>
    </row>
    <row r="2313" spans="2:2">
      <c r="B2313"/>
    </row>
    <row r="2314" spans="2:2">
      <c r="B2314"/>
    </row>
    <row r="2315" spans="2:2">
      <c r="B2315"/>
    </row>
    <row r="2316" spans="2:2">
      <c r="B2316"/>
    </row>
    <row r="2317" spans="2:2">
      <c r="B2317"/>
    </row>
    <row r="2318" spans="2:2">
      <c r="B2318"/>
    </row>
    <row r="2319" spans="2:2">
      <c r="B2319"/>
    </row>
    <row r="2320" spans="2:2">
      <c r="B2320"/>
    </row>
    <row r="2321" spans="2:2">
      <c r="B2321"/>
    </row>
    <row r="2322" spans="2:2">
      <c r="B2322"/>
    </row>
    <row r="2323" spans="2:2">
      <c r="B2323"/>
    </row>
    <row r="2324" spans="2:2">
      <c r="B2324"/>
    </row>
    <row r="2325" spans="2:2">
      <c r="B2325"/>
    </row>
    <row r="2326" spans="2:2">
      <c r="B2326"/>
    </row>
    <row r="2327" spans="2:2">
      <c r="B2327"/>
    </row>
    <row r="2328" spans="2:2">
      <c r="B2328"/>
    </row>
    <row r="2329" spans="2:2">
      <c r="B2329"/>
    </row>
    <row r="2330" spans="2:2">
      <c r="B2330"/>
    </row>
    <row r="2331" spans="2:2">
      <c r="B2331"/>
    </row>
    <row r="2332" spans="2:2">
      <c r="B2332"/>
    </row>
    <row r="2333" spans="2:2">
      <c r="B2333"/>
    </row>
    <row r="2334" spans="2:2">
      <c r="B2334"/>
    </row>
    <row r="2335" spans="2:2">
      <c r="B2335"/>
    </row>
    <row r="2336" spans="2:2">
      <c r="B2336"/>
    </row>
    <row r="2337" spans="2:2">
      <c r="B2337"/>
    </row>
    <row r="2338" spans="2:2">
      <c r="B2338"/>
    </row>
    <row r="2339" spans="2:2">
      <c r="B2339"/>
    </row>
    <row r="2340" spans="2:2">
      <c r="B2340"/>
    </row>
    <row r="2341" spans="2:2">
      <c r="B2341"/>
    </row>
    <row r="2342" spans="2:2">
      <c r="B2342"/>
    </row>
    <row r="2343" spans="2:2">
      <c r="B2343"/>
    </row>
    <row r="2344" spans="2:2">
      <c r="B2344"/>
    </row>
    <row r="2345" spans="2:2">
      <c r="B2345"/>
    </row>
    <row r="2346" spans="2:2">
      <c r="B2346"/>
    </row>
    <row r="2347" spans="2:2">
      <c r="B2347"/>
    </row>
    <row r="2348" spans="2:2">
      <c r="B2348"/>
    </row>
    <row r="2349" spans="2:2">
      <c r="B2349"/>
    </row>
    <row r="2350" spans="2:2">
      <c r="B2350"/>
    </row>
    <row r="2351" spans="2:2">
      <c r="B2351"/>
    </row>
    <row r="2352" spans="2:2">
      <c r="B2352"/>
    </row>
    <row r="2353" spans="2:2">
      <c r="B2353"/>
    </row>
    <row r="2354" spans="2:2">
      <c r="B2354"/>
    </row>
    <row r="2355" spans="2:2">
      <c r="B2355"/>
    </row>
    <row r="2356" spans="2:2">
      <c r="B2356"/>
    </row>
    <row r="2357" spans="2:2">
      <c r="B2357"/>
    </row>
    <row r="2358" spans="2:2">
      <c r="B2358"/>
    </row>
    <row r="2359" spans="2:2">
      <c r="B2359"/>
    </row>
    <row r="2360" spans="2:2">
      <c r="B2360"/>
    </row>
    <row r="2361" spans="2:2">
      <c r="B2361"/>
    </row>
    <row r="2362" spans="2:2">
      <c r="B2362"/>
    </row>
    <row r="2363" spans="2:2">
      <c r="B2363"/>
    </row>
    <row r="2364" spans="2:2">
      <c r="B2364"/>
    </row>
    <row r="2365" spans="2:2">
      <c r="B2365"/>
    </row>
    <row r="2366" spans="2:2">
      <c r="B2366"/>
    </row>
    <row r="2367" spans="2:2">
      <c r="B2367"/>
    </row>
    <row r="2368" spans="2:2">
      <c r="B2368"/>
    </row>
    <row r="2369" spans="2:2">
      <c r="B2369"/>
    </row>
    <row r="2370" spans="2:2">
      <c r="B2370"/>
    </row>
    <row r="2371" spans="2:2">
      <c r="B2371"/>
    </row>
    <row r="2372" spans="2:2">
      <c r="B2372"/>
    </row>
    <row r="2373" spans="2:2">
      <c r="B2373"/>
    </row>
    <row r="2374" spans="2:2">
      <c r="B2374"/>
    </row>
    <row r="2375" spans="2:2">
      <c r="B2375"/>
    </row>
    <row r="2376" spans="2:2">
      <c r="B2376"/>
    </row>
    <row r="2377" spans="2:2">
      <c r="B2377"/>
    </row>
    <row r="2378" spans="2:2">
      <c r="B2378"/>
    </row>
    <row r="2379" spans="2:2">
      <c r="B2379"/>
    </row>
    <row r="2380" spans="2:2">
      <c r="B2380"/>
    </row>
    <row r="2381" spans="2:2">
      <c r="B2381"/>
    </row>
    <row r="2382" spans="2:2">
      <c r="B2382"/>
    </row>
    <row r="2383" spans="2:2">
      <c r="B2383"/>
    </row>
    <row r="2384" spans="2:2">
      <c r="B2384"/>
    </row>
    <row r="2385" spans="2:2">
      <c r="B2385"/>
    </row>
    <row r="2386" spans="2:2">
      <c r="B2386"/>
    </row>
    <row r="2387" spans="2:2">
      <c r="B2387"/>
    </row>
    <row r="2388" spans="2:2">
      <c r="B2388"/>
    </row>
    <row r="2389" spans="2:2">
      <c r="B2389"/>
    </row>
    <row r="2390" spans="2:2">
      <c r="B2390"/>
    </row>
    <row r="2391" spans="2:2">
      <c r="B2391"/>
    </row>
    <row r="2392" spans="2:2">
      <c r="B2392"/>
    </row>
    <row r="2393" spans="2:2">
      <c r="B2393"/>
    </row>
    <row r="2394" spans="2:2">
      <c r="B2394"/>
    </row>
    <row r="2395" spans="2:2">
      <c r="B2395"/>
    </row>
    <row r="2396" spans="2:2">
      <c r="B2396"/>
    </row>
    <row r="2397" spans="2:2">
      <c r="B2397"/>
    </row>
    <row r="2398" spans="2:2">
      <c r="B2398"/>
    </row>
    <row r="2399" spans="2:2">
      <c r="B2399"/>
    </row>
    <row r="2400" spans="2:2">
      <c r="B2400"/>
    </row>
    <row r="2401" spans="2:2">
      <c r="B2401"/>
    </row>
    <row r="2402" spans="2:2">
      <c r="B2402"/>
    </row>
    <row r="2403" spans="2:2">
      <c r="B2403"/>
    </row>
    <row r="2404" spans="2:2">
      <c r="B2404"/>
    </row>
    <row r="2405" spans="2:2">
      <c r="B2405"/>
    </row>
    <row r="2406" spans="2:2">
      <c r="B2406"/>
    </row>
    <row r="2407" spans="2:2">
      <c r="B2407"/>
    </row>
    <row r="2408" spans="2:2">
      <c r="B2408"/>
    </row>
    <row r="2409" spans="2:2">
      <c r="B2409"/>
    </row>
    <row r="2410" spans="2:2">
      <c r="B2410"/>
    </row>
    <row r="2411" spans="2:2">
      <c r="B2411"/>
    </row>
    <row r="2412" spans="2:2">
      <c r="B2412"/>
    </row>
    <row r="2413" spans="2:2">
      <c r="B2413"/>
    </row>
    <row r="2414" spans="2:2">
      <c r="B2414"/>
    </row>
    <row r="2415" spans="2:2">
      <c r="B2415"/>
    </row>
    <row r="2416" spans="2:2">
      <c r="B2416"/>
    </row>
    <row r="2417" spans="2:2">
      <c r="B2417"/>
    </row>
    <row r="2418" spans="2:2">
      <c r="B2418"/>
    </row>
    <row r="2419" spans="2:2">
      <c r="B2419"/>
    </row>
    <row r="2420" spans="2:2">
      <c r="B2420"/>
    </row>
    <row r="2421" spans="2:2">
      <c r="B2421"/>
    </row>
    <row r="2422" spans="2:2">
      <c r="B2422"/>
    </row>
    <row r="2423" spans="2:2">
      <c r="B2423"/>
    </row>
    <row r="2424" spans="2:2">
      <c r="B2424"/>
    </row>
    <row r="2425" spans="2:2">
      <c r="B2425"/>
    </row>
    <row r="2426" spans="2:2">
      <c r="B2426"/>
    </row>
    <row r="2427" spans="2:2">
      <c r="B2427"/>
    </row>
    <row r="2428" spans="2:2">
      <c r="B2428"/>
    </row>
    <row r="2429" spans="2:2">
      <c r="B2429"/>
    </row>
    <row r="2430" spans="2:2">
      <c r="B2430"/>
    </row>
    <row r="2431" spans="2:2">
      <c r="B2431"/>
    </row>
    <row r="2432" spans="2:2">
      <c r="B2432"/>
    </row>
    <row r="2433" spans="2:2">
      <c r="B2433"/>
    </row>
    <row r="2434" spans="2:2">
      <c r="B2434"/>
    </row>
    <row r="2435" spans="2:2">
      <c r="B2435"/>
    </row>
    <row r="2436" spans="2:2">
      <c r="B2436"/>
    </row>
    <row r="2437" spans="2:2">
      <c r="B2437"/>
    </row>
    <row r="2438" spans="2:2">
      <c r="B2438"/>
    </row>
    <row r="2439" spans="2:2">
      <c r="B2439"/>
    </row>
    <row r="2440" spans="2:2">
      <c r="B2440"/>
    </row>
    <row r="2441" spans="2:2">
      <c r="B2441"/>
    </row>
    <row r="2442" spans="2:2">
      <c r="B2442"/>
    </row>
    <row r="2443" spans="2:2">
      <c r="B2443"/>
    </row>
    <row r="2444" spans="2:2">
      <c r="B2444"/>
    </row>
    <row r="2445" spans="2:2">
      <c r="B2445"/>
    </row>
    <row r="2446" spans="2:2">
      <c r="B2446"/>
    </row>
    <row r="2447" spans="2:2">
      <c r="B2447"/>
    </row>
    <row r="2448" spans="2:2">
      <c r="B2448"/>
    </row>
    <row r="2449" spans="2:2">
      <c r="B2449"/>
    </row>
    <row r="2450" spans="2:2">
      <c r="B2450"/>
    </row>
    <row r="2451" spans="2:2">
      <c r="B2451"/>
    </row>
    <row r="2452" spans="2:2">
      <c r="B2452"/>
    </row>
    <row r="2453" spans="2:2">
      <c r="B2453"/>
    </row>
    <row r="2454" spans="2:2">
      <c r="B2454"/>
    </row>
    <row r="2455" spans="2:2">
      <c r="B2455"/>
    </row>
    <row r="2456" spans="2:2">
      <c r="B2456"/>
    </row>
    <row r="2457" spans="2:2">
      <c r="B2457"/>
    </row>
    <row r="2458" spans="2:2">
      <c r="B2458"/>
    </row>
    <row r="2459" spans="2:2">
      <c r="B2459"/>
    </row>
    <row r="2460" spans="2:2">
      <c r="B2460"/>
    </row>
    <row r="2461" spans="2:2">
      <c r="B2461"/>
    </row>
    <row r="2462" spans="2:2">
      <c r="B2462"/>
    </row>
    <row r="2463" spans="2:2">
      <c r="B2463"/>
    </row>
    <row r="2464" spans="2:2">
      <c r="B2464"/>
    </row>
    <row r="2465" spans="2:2">
      <c r="B2465"/>
    </row>
    <row r="2466" spans="2:2">
      <c r="B2466"/>
    </row>
    <row r="2467" spans="2:2">
      <c r="B2467"/>
    </row>
    <row r="2468" spans="2:2">
      <c r="B2468"/>
    </row>
    <row r="2469" spans="2:2">
      <c r="B2469"/>
    </row>
    <row r="2470" spans="2:2">
      <c r="B2470"/>
    </row>
    <row r="2471" spans="2:2">
      <c r="B2471"/>
    </row>
    <row r="2472" spans="2:2">
      <c r="B2472"/>
    </row>
    <row r="2473" spans="2:2">
      <c r="B2473"/>
    </row>
    <row r="2474" spans="2:2">
      <c r="B2474"/>
    </row>
    <row r="2475" spans="2:2">
      <c r="B2475"/>
    </row>
    <row r="2476" spans="2:2">
      <c r="B2476"/>
    </row>
    <row r="2477" spans="2:2">
      <c r="B2477"/>
    </row>
    <row r="2478" spans="2:2">
      <c r="B2478"/>
    </row>
    <row r="2479" spans="2:2">
      <c r="B2479"/>
    </row>
    <row r="2480" spans="2:2">
      <c r="B2480"/>
    </row>
    <row r="2481" spans="2:2">
      <c r="B2481"/>
    </row>
    <row r="2482" spans="2:2">
      <c r="B2482"/>
    </row>
    <row r="2483" spans="2:2">
      <c r="B2483"/>
    </row>
    <row r="2484" spans="2:2">
      <c r="B2484"/>
    </row>
    <row r="2485" spans="2:2">
      <c r="B2485"/>
    </row>
    <row r="2486" spans="2:2">
      <c r="B2486"/>
    </row>
    <row r="2487" spans="2:2">
      <c r="B2487"/>
    </row>
    <row r="2488" spans="2:2">
      <c r="B2488"/>
    </row>
    <row r="2489" spans="2:2">
      <c r="B2489"/>
    </row>
    <row r="2490" spans="2:2">
      <c r="B2490"/>
    </row>
    <row r="2491" spans="2:2">
      <c r="B2491"/>
    </row>
    <row r="2492" spans="2:2">
      <c r="B2492"/>
    </row>
    <row r="2493" spans="2:2">
      <c r="B2493"/>
    </row>
    <row r="2494" spans="2:2">
      <c r="B2494"/>
    </row>
    <row r="2495" spans="2:2">
      <c r="B2495"/>
    </row>
    <row r="2496" spans="2:2">
      <c r="B2496"/>
    </row>
    <row r="2497" spans="2:2">
      <c r="B2497"/>
    </row>
    <row r="2498" spans="2:2">
      <c r="B2498"/>
    </row>
    <row r="2499" spans="2:2">
      <c r="B2499"/>
    </row>
    <row r="2500" spans="2:2">
      <c r="B2500"/>
    </row>
    <row r="2501" spans="2:2">
      <c r="B2501"/>
    </row>
    <row r="2502" spans="2:2">
      <c r="B2502"/>
    </row>
    <row r="2503" spans="2:2">
      <c r="B2503"/>
    </row>
    <row r="2504" spans="2:2">
      <c r="B2504"/>
    </row>
    <row r="2505" spans="2:2">
      <c r="B2505"/>
    </row>
    <row r="2506" spans="2:2">
      <c r="B2506"/>
    </row>
    <row r="2507" spans="2:2">
      <c r="B2507"/>
    </row>
    <row r="2508" spans="2:2">
      <c r="B2508"/>
    </row>
    <row r="2509" spans="2:2">
      <c r="B2509"/>
    </row>
    <row r="2510" spans="2:2">
      <c r="B2510"/>
    </row>
    <row r="2511" spans="2:2">
      <c r="B2511"/>
    </row>
    <row r="2512" spans="2:2">
      <c r="B2512"/>
    </row>
    <row r="2513" spans="2:2">
      <c r="B2513"/>
    </row>
    <row r="2514" spans="2:2">
      <c r="B2514"/>
    </row>
    <row r="2515" spans="2:2">
      <c r="B2515"/>
    </row>
    <row r="2516" spans="2:2">
      <c r="B2516"/>
    </row>
    <row r="2517" spans="2:2">
      <c r="B2517"/>
    </row>
    <row r="2518" spans="2:2">
      <c r="B2518"/>
    </row>
    <row r="2519" spans="2:2">
      <c r="B2519"/>
    </row>
    <row r="2520" spans="2:2">
      <c r="B2520"/>
    </row>
    <row r="2521" spans="2:2">
      <c r="B2521"/>
    </row>
    <row r="2522" spans="2:2">
      <c r="B2522"/>
    </row>
    <row r="2523" spans="2:2">
      <c r="B2523"/>
    </row>
    <row r="2524" spans="2:2">
      <c r="B2524"/>
    </row>
    <row r="2525" spans="2:2">
      <c r="B2525"/>
    </row>
    <row r="2526" spans="2:2">
      <c r="B2526"/>
    </row>
    <row r="2527" spans="2:2">
      <c r="B2527"/>
    </row>
    <row r="2528" spans="2:2">
      <c r="B2528"/>
    </row>
    <row r="2529" spans="2:2">
      <c r="B2529"/>
    </row>
    <row r="2530" spans="2:2">
      <c r="B2530"/>
    </row>
    <row r="2531" spans="2:2">
      <c r="B2531"/>
    </row>
    <row r="2532" spans="2:2">
      <c r="B2532"/>
    </row>
    <row r="2533" spans="2:2">
      <c r="B2533"/>
    </row>
    <row r="2534" spans="2:2">
      <c r="B2534"/>
    </row>
    <row r="2535" spans="2:2">
      <c r="B2535"/>
    </row>
    <row r="2536" spans="2:2">
      <c r="B2536"/>
    </row>
    <row r="2537" spans="2:2">
      <c r="B2537"/>
    </row>
    <row r="2538" spans="2:2">
      <c r="B2538"/>
    </row>
    <row r="2539" spans="2:2">
      <c r="B2539"/>
    </row>
    <row r="2540" spans="2:2">
      <c r="B2540"/>
    </row>
    <row r="2541" spans="2:2">
      <c r="B2541"/>
    </row>
    <row r="2542" spans="2:2">
      <c r="B2542"/>
    </row>
    <row r="2543" spans="2:2">
      <c r="B2543"/>
    </row>
    <row r="2544" spans="2:2">
      <c r="B2544"/>
    </row>
    <row r="2545" spans="2:2">
      <c r="B2545"/>
    </row>
    <row r="2546" spans="2:2">
      <c r="B2546"/>
    </row>
    <row r="2547" spans="2:2">
      <c r="B2547"/>
    </row>
    <row r="2548" spans="2:2">
      <c r="B2548"/>
    </row>
    <row r="2549" spans="2:2">
      <c r="B2549"/>
    </row>
    <row r="2550" spans="2:2">
      <c r="B2550"/>
    </row>
    <row r="2551" spans="2:2">
      <c r="B2551"/>
    </row>
    <row r="2552" spans="2:2">
      <c r="B2552"/>
    </row>
    <row r="2553" spans="2:2">
      <c r="B2553"/>
    </row>
    <row r="2554" spans="2:2">
      <c r="B2554"/>
    </row>
    <row r="2555" spans="2:2">
      <c r="B2555"/>
    </row>
    <row r="2556" spans="2:2">
      <c r="B2556"/>
    </row>
    <row r="2557" spans="2:2">
      <c r="B2557"/>
    </row>
    <row r="2558" spans="2:2">
      <c r="B2558"/>
    </row>
    <row r="2559" spans="2:2">
      <c r="B2559"/>
    </row>
    <row r="2560" spans="2:2">
      <c r="B2560"/>
    </row>
    <row r="2561" spans="2:2">
      <c r="B2561"/>
    </row>
    <row r="2562" spans="2:2">
      <c r="B2562"/>
    </row>
    <row r="2563" spans="2:2">
      <c r="B2563"/>
    </row>
    <row r="2564" spans="2:2">
      <c r="B2564"/>
    </row>
    <row r="2565" spans="2:2">
      <c r="B2565"/>
    </row>
    <row r="2566" spans="2:2">
      <c r="B2566"/>
    </row>
    <row r="2567" spans="2:2">
      <c r="B2567"/>
    </row>
    <row r="2568" spans="2:2">
      <c r="B2568"/>
    </row>
    <row r="2569" spans="2:2">
      <c r="B2569"/>
    </row>
    <row r="2570" spans="2:2">
      <c r="B2570"/>
    </row>
    <row r="2571" spans="2:2">
      <c r="B2571"/>
    </row>
    <row r="2572" spans="2:2">
      <c r="B2572"/>
    </row>
    <row r="2573" spans="2:2">
      <c r="B2573"/>
    </row>
    <row r="2574" spans="2:2">
      <c r="B2574"/>
    </row>
    <row r="2575" spans="2:2">
      <c r="B2575"/>
    </row>
    <row r="2576" spans="2:2">
      <c r="B2576"/>
    </row>
    <row r="2577" spans="2:2">
      <c r="B2577"/>
    </row>
    <row r="2578" spans="2:2">
      <c r="B2578"/>
    </row>
    <row r="2579" spans="2:2">
      <c r="B2579"/>
    </row>
    <row r="2580" spans="2:2">
      <c r="B2580"/>
    </row>
    <row r="2581" spans="2:2">
      <c r="B2581"/>
    </row>
    <row r="2582" spans="2:2">
      <c r="B2582"/>
    </row>
    <row r="2583" spans="2:2">
      <c r="B2583"/>
    </row>
    <row r="2584" spans="2:2">
      <c r="B2584"/>
    </row>
    <row r="2585" spans="2:2">
      <c r="B2585"/>
    </row>
    <row r="2586" spans="2:2">
      <c r="B2586"/>
    </row>
    <row r="2587" spans="2:2">
      <c r="B2587"/>
    </row>
    <row r="2588" spans="2:2">
      <c r="B2588"/>
    </row>
    <row r="2589" spans="2:2">
      <c r="B2589"/>
    </row>
    <row r="2590" spans="2:2">
      <c r="B2590"/>
    </row>
    <row r="2591" spans="2:2">
      <c r="B2591"/>
    </row>
    <row r="2592" spans="2:2">
      <c r="B2592"/>
    </row>
    <row r="2593" spans="2:2">
      <c r="B2593"/>
    </row>
    <row r="2594" spans="2:2">
      <c r="B2594"/>
    </row>
    <row r="2595" spans="2:2">
      <c r="B2595"/>
    </row>
    <row r="2596" spans="2:2">
      <c r="B2596"/>
    </row>
    <row r="2597" spans="2:2">
      <c r="B2597"/>
    </row>
    <row r="2598" spans="2:2">
      <c r="B2598"/>
    </row>
    <row r="2599" spans="2:2">
      <c r="B2599"/>
    </row>
    <row r="2600" spans="2:2">
      <c r="B2600"/>
    </row>
    <row r="2601" spans="2:2">
      <c r="B2601"/>
    </row>
    <row r="2602" spans="2:2">
      <c r="B2602"/>
    </row>
    <row r="2603" spans="2:2">
      <c r="B2603"/>
    </row>
    <row r="2604" spans="2:2">
      <c r="B2604"/>
    </row>
    <row r="2605" spans="2:2">
      <c r="B2605"/>
    </row>
    <row r="2606" spans="2:2">
      <c r="B2606"/>
    </row>
    <row r="2607" spans="2:2">
      <c r="B2607"/>
    </row>
    <row r="2608" spans="2:2">
      <c r="B2608"/>
    </row>
    <row r="2609" spans="2:2">
      <c r="B2609"/>
    </row>
    <row r="2610" spans="2:2">
      <c r="B2610"/>
    </row>
    <row r="2611" spans="2:2">
      <c r="B2611"/>
    </row>
    <row r="2612" spans="2:2">
      <c r="B2612"/>
    </row>
    <row r="2613" spans="2:2">
      <c r="B2613"/>
    </row>
    <row r="2614" spans="2:2">
      <c r="B2614"/>
    </row>
    <row r="2615" spans="2:2">
      <c r="B2615"/>
    </row>
    <row r="2616" spans="2:2">
      <c r="B2616"/>
    </row>
    <row r="2617" spans="2:2">
      <c r="B2617"/>
    </row>
    <row r="2618" spans="2:2">
      <c r="B2618"/>
    </row>
    <row r="2619" spans="2:2">
      <c r="B2619"/>
    </row>
    <row r="2620" spans="2:2">
      <c r="B2620"/>
    </row>
    <row r="2621" spans="2:2">
      <c r="B2621"/>
    </row>
    <row r="2622" spans="2:2">
      <c r="B2622"/>
    </row>
    <row r="2623" spans="2:2">
      <c r="B2623"/>
    </row>
    <row r="2624" spans="2:2">
      <c r="B2624"/>
    </row>
    <row r="2625" spans="2:2">
      <c r="B2625"/>
    </row>
    <row r="2626" spans="2:2">
      <c r="B2626"/>
    </row>
    <row r="2627" spans="2:2">
      <c r="B2627"/>
    </row>
    <row r="2628" spans="2:2">
      <c r="B2628"/>
    </row>
    <row r="2629" spans="2:2">
      <c r="B2629"/>
    </row>
    <row r="2630" spans="2:2">
      <c r="B2630"/>
    </row>
    <row r="2631" spans="2:2">
      <c r="B2631"/>
    </row>
    <row r="2632" spans="2:2">
      <c r="B2632"/>
    </row>
    <row r="2633" spans="2:2">
      <c r="B2633"/>
    </row>
    <row r="2634" spans="2:2">
      <c r="B2634"/>
    </row>
    <row r="2635" spans="2:2">
      <c r="B2635"/>
    </row>
    <row r="2636" spans="2:2">
      <c r="B2636"/>
    </row>
    <row r="2637" spans="2:2">
      <c r="B2637"/>
    </row>
    <row r="2638" spans="2:2">
      <c r="B2638"/>
    </row>
    <row r="2639" spans="2:2">
      <c r="B2639"/>
    </row>
    <row r="2640" spans="2:2">
      <c r="B2640"/>
    </row>
    <row r="2641" spans="2:2">
      <c r="B2641"/>
    </row>
    <row r="2642" spans="2:2">
      <c r="B2642"/>
    </row>
    <row r="2643" spans="2:2">
      <c r="B2643"/>
    </row>
    <row r="2644" spans="2:2">
      <c r="B2644"/>
    </row>
    <row r="2645" spans="2:2">
      <c r="B2645"/>
    </row>
    <row r="2646" spans="2:2">
      <c r="B2646"/>
    </row>
    <row r="2647" spans="2:2">
      <c r="B2647"/>
    </row>
    <row r="2648" spans="2:2">
      <c r="B2648"/>
    </row>
    <row r="2649" spans="2:2">
      <c r="B2649"/>
    </row>
    <row r="2650" spans="2:2">
      <c r="B2650"/>
    </row>
    <row r="2651" spans="2:2">
      <c r="B2651"/>
    </row>
    <row r="2652" spans="2:2">
      <c r="B2652"/>
    </row>
    <row r="2653" spans="2:2">
      <c r="B2653"/>
    </row>
    <row r="2654" spans="2:2">
      <c r="B2654"/>
    </row>
    <row r="2655" spans="2:2">
      <c r="B2655"/>
    </row>
    <row r="2656" spans="2:2">
      <c r="B2656"/>
    </row>
    <row r="2657" spans="2:2">
      <c r="B2657"/>
    </row>
    <row r="2658" spans="2:2">
      <c r="B2658"/>
    </row>
    <row r="2659" spans="2:2">
      <c r="B2659"/>
    </row>
    <row r="2660" spans="2:2">
      <c r="B2660"/>
    </row>
    <row r="2661" spans="2:2">
      <c r="B2661"/>
    </row>
    <row r="2662" spans="2:2">
      <c r="B2662"/>
    </row>
    <row r="2663" spans="2:2">
      <c r="B2663"/>
    </row>
    <row r="2664" spans="2:2">
      <c r="B2664"/>
    </row>
    <row r="2665" spans="2:2">
      <c r="B2665"/>
    </row>
    <row r="2666" spans="2:2">
      <c r="B2666"/>
    </row>
    <row r="2667" spans="2:2">
      <c r="B2667"/>
    </row>
    <row r="2668" spans="2:2">
      <c r="B2668"/>
    </row>
    <row r="2669" spans="2:2">
      <c r="B2669"/>
    </row>
    <row r="2670" spans="2:2">
      <c r="B2670"/>
    </row>
    <row r="2671" spans="2:2">
      <c r="B2671"/>
    </row>
    <row r="2672" spans="2:2">
      <c r="B2672"/>
    </row>
    <row r="2673" spans="2:2">
      <c r="B2673"/>
    </row>
    <row r="2674" spans="2:2">
      <c r="B2674"/>
    </row>
    <row r="2675" spans="2:2">
      <c r="B2675"/>
    </row>
    <row r="2676" spans="2:2">
      <c r="B2676"/>
    </row>
    <row r="2677" spans="2:2">
      <c r="B2677"/>
    </row>
    <row r="2678" spans="2:2">
      <c r="B2678"/>
    </row>
    <row r="2679" spans="2:2">
      <c r="B2679"/>
    </row>
    <row r="2680" spans="2:2">
      <c r="B2680"/>
    </row>
    <row r="2681" spans="2:2">
      <c r="B2681"/>
    </row>
    <row r="2682" spans="2:2">
      <c r="B2682"/>
    </row>
    <row r="2683" spans="2:2">
      <c r="B2683"/>
    </row>
    <row r="2684" spans="2:2">
      <c r="B2684"/>
    </row>
    <row r="2685" spans="2:2">
      <c r="B2685"/>
    </row>
    <row r="2686" spans="2:2">
      <c r="B2686"/>
    </row>
    <row r="2687" spans="2:2">
      <c r="B2687"/>
    </row>
    <row r="2688" spans="2:2">
      <c r="B2688"/>
    </row>
    <row r="2689" spans="2:2">
      <c r="B2689"/>
    </row>
    <row r="2690" spans="2:2">
      <c r="B2690"/>
    </row>
    <row r="2691" spans="2:2">
      <c r="B2691"/>
    </row>
    <row r="2692" spans="2:2">
      <c r="B2692"/>
    </row>
    <row r="2693" spans="2:2">
      <c r="B2693"/>
    </row>
    <row r="2694" spans="2:2">
      <c r="B2694"/>
    </row>
    <row r="2695" spans="2:2">
      <c r="B2695"/>
    </row>
    <row r="2696" spans="2:2">
      <c r="B2696"/>
    </row>
    <row r="2697" spans="2:2">
      <c r="B2697"/>
    </row>
    <row r="2698" spans="2:2">
      <c r="B2698"/>
    </row>
    <row r="2699" spans="2:2">
      <c r="B2699"/>
    </row>
    <row r="2700" spans="2:2">
      <c r="B2700"/>
    </row>
    <row r="2701" spans="2:2">
      <c r="B2701"/>
    </row>
    <row r="2702" spans="2:2">
      <c r="B2702"/>
    </row>
    <row r="2703" spans="2:2">
      <c r="B2703"/>
    </row>
    <row r="2704" spans="2:2">
      <c r="B2704"/>
    </row>
    <row r="2705" spans="2:2">
      <c r="B2705"/>
    </row>
    <row r="2706" spans="2:2">
      <c r="B2706"/>
    </row>
    <row r="2707" spans="2:2">
      <c r="B2707"/>
    </row>
    <row r="2708" spans="2:2">
      <c r="B2708"/>
    </row>
    <row r="2709" spans="2:2">
      <c r="B2709"/>
    </row>
    <row r="2710" spans="2:2">
      <c r="B2710"/>
    </row>
    <row r="2711" spans="2:2">
      <c r="B2711"/>
    </row>
    <row r="2712" spans="2:2">
      <c r="B2712"/>
    </row>
    <row r="2713" spans="2:2">
      <c r="B2713"/>
    </row>
    <row r="2714" spans="2:2">
      <c r="B2714"/>
    </row>
    <row r="2715" spans="2:2">
      <c r="B2715"/>
    </row>
    <row r="2716" spans="2:2">
      <c r="B2716"/>
    </row>
    <row r="2717" spans="2:2">
      <c r="B2717"/>
    </row>
    <row r="2718" spans="2:2">
      <c r="B2718"/>
    </row>
    <row r="2719" spans="2:2">
      <c r="B2719"/>
    </row>
    <row r="2720" spans="2:2">
      <c r="B2720"/>
    </row>
    <row r="2721" spans="2:2">
      <c r="B2721"/>
    </row>
    <row r="2722" spans="2:2">
      <c r="B2722"/>
    </row>
    <row r="2723" spans="2:2">
      <c r="B2723"/>
    </row>
    <row r="2724" spans="2:2">
      <c r="B2724"/>
    </row>
    <row r="2725" spans="2:2">
      <c r="B2725"/>
    </row>
    <row r="2726" spans="2:2">
      <c r="B2726"/>
    </row>
    <row r="2727" spans="2:2">
      <c r="B2727"/>
    </row>
    <row r="2728" spans="2:2">
      <c r="B2728"/>
    </row>
    <row r="2729" spans="2:2">
      <c r="B2729"/>
    </row>
    <row r="2730" spans="2:2">
      <c r="B2730"/>
    </row>
    <row r="2731" spans="2:2">
      <c r="B2731"/>
    </row>
    <row r="2732" spans="2:2">
      <c r="B2732"/>
    </row>
    <row r="2733" spans="2:2">
      <c r="B2733"/>
    </row>
    <row r="2734" spans="2:2">
      <c r="B2734"/>
    </row>
    <row r="2735" spans="2:2">
      <c r="B2735"/>
    </row>
    <row r="2736" spans="2:2">
      <c r="B2736"/>
    </row>
    <row r="2737" spans="2:2">
      <c r="B2737"/>
    </row>
    <row r="2738" spans="2:2">
      <c r="B2738"/>
    </row>
    <row r="2739" spans="2:2">
      <c r="B2739"/>
    </row>
    <row r="2740" spans="2:2">
      <c r="B2740"/>
    </row>
    <row r="2741" spans="2:2">
      <c r="B2741"/>
    </row>
    <row r="2742" spans="2:2">
      <c r="B2742"/>
    </row>
    <row r="2743" spans="2:2">
      <c r="B2743"/>
    </row>
    <row r="2744" spans="2:2">
      <c r="B2744"/>
    </row>
    <row r="2745" spans="2:2">
      <c r="B2745"/>
    </row>
    <row r="2746" spans="2:2">
      <c r="B2746"/>
    </row>
    <row r="2747" spans="2:2">
      <c r="B2747"/>
    </row>
    <row r="2748" spans="2:2">
      <c r="B2748"/>
    </row>
    <row r="2749" spans="2:2">
      <c r="B2749"/>
    </row>
    <row r="2750" spans="2:2">
      <c r="B2750"/>
    </row>
    <row r="2751" spans="2:2">
      <c r="B2751"/>
    </row>
    <row r="2752" spans="2:2">
      <c r="B2752"/>
    </row>
    <row r="2753" spans="2:2">
      <c r="B2753"/>
    </row>
    <row r="2754" spans="2:2">
      <c r="B2754"/>
    </row>
    <row r="2755" spans="2:2">
      <c r="B2755"/>
    </row>
    <row r="2756" spans="2:2">
      <c r="B2756"/>
    </row>
    <row r="2757" spans="2:2">
      <c r="B2757"/>
    </row>
    <row r="2758" spans="2:2">
      <c r="B2758"/>
    </row>
    <row r="2759" spans="2:2">
      <c r="B2759"/>
    </row>
    <row r="2760" spans="2:2">
      <c r="B2760"/>
    </row>
    <row r="2761" spans="2:2">
      <c r="B2761"/>
    </row>
    <row r="2762" spans="2:2">
      <c r="B2762"/>
    </row>
    <row r="2763" spans="2:2">
      <c r="B2763"/>
    </row>
    <row r="2764" spans="2:2">
      <c r="B2764"/>
    </row>
    <row r="2765" spans="2:2">
      <c r="B2765"/>
    </row>
    <row r="2766" spans="2:2">
      <c r="B2766"/>
    </row>
    <row r="2767" spans="2:2">
      <c r="B2767"/>
    </row>
    <row r="2768" spans="2:2">
      <c r="B2768"/>
    </row>
    <row r="2769" spans="2:2">
      <c r="B2769"/>
    </row>
    <row r="2770" spans="2:2">
      <c r="B2770"/>
    </row>
    <row r="2771" spans="2:2">
      <c r="B2771"/>
    </row>
    <row r="2772" spans="2:2">
      <c r="B2772"/>
    </row>
    <row r="2773" spans="2:2">
      <c r="B2773"/>
    </row>
    <row r="2774" spans="2:2">
      <c r="B2774"/>
    </row>
    <row r="2775" spans="2:2">
      <c r="B2775"/>
    </row>
    <row r="2776" spans="2:2">
      <c r="B2776"/>
    </row>
    <row r="2777" spans="2:2">
      <c r="B2777"/>
    </row>
    <row r="2778" spans="2:2">
      <c r="B2778"/>
    </row>
    <row r="2779" spans="2:2">
      <c r="B2779"/>
    </row>
    <row r="2780" spans="2:2">
      <c r="B2780"/>
    </row>
    <row r="2781" spans="2:2">
      <c r="B2781"/>
    </row>
    <row r="2782" spans="2:2">
      <c r="B2782"/>
    </row>
    <row r="2783" spans="2:2">
      <c r="B2783"/>
    </row>
    <row r="2784" spans="2:2">
      <c r="B2784"/>
    </row>
    <row r="2785" spans="2:2">
      <c r="B2785"/>
    </row>
    <row r="2786" spans="2:2">
      <c r="B2786"/>
    </row>
    <row r="2787" spans="2:2">
      <c r="B2787"/>
    </row>
    <row r="2788" spans="2:2">
      <c r="B2788"/>
    </row>
    <row r="2789" spans="2:2">
      <c r="B2789"/>
    </row>
    <row r="2790" spans="2:2">
      <c r="B2790"/>
    </row>
    <row r="2791" spans="2:2">
      <c r="B2791"/>
    </row>
    <row r="2792" spans="2:2">
      <c r="B2792"/>
    </row>
    <row r="2793" spans="2:2">
      <c r="B2793"/>
    </row>
    <row r="2794" spans="2:2">
      <c r="B2794"/>
    </row>
    <row r="2795" spans="2:2">
      <c r="B2795"/>
    </row>
    <row r="2796" spans="2:2">
      <c r="B2796"/>
    </row>
    <row r="2797" spans="2:2">
      <c r="B2797"/>
    </row>
    <row r="2798" spans="2:2">
      <c r="B2798"/>
    </row>
    <row r="2799" spans="2:2">
      <c r="B2799"/>
    </row>
    <row r="2800" spans="2:2">
      <c r="B2800"/>
    </row>
    <row r="2801" spans="2:2">
      <c r="B2801"/>
    </row>
    <row r="2802" spans="2:2">
      <c r="B2802"/>
    </row>
    <row r="2803" spans="2:2">
      <c r="B2803"/>
    </row>
    <row r="2804" spans="2:2">
      <c r="B2804"/>
    </row>
    <row r="2805" spans="2:2">
      <c r="B2805"/>
    </row>
    <row r="2806" spans="2:2">
      <c r="B2806"/>
    </row>
    <row r="2807" spans="2:2">
      <c r="B2807"/>
    </row>
    <row r="2808" spans="2:2">
      <c r="B2808"/>
    </row>
    <row r="2809" spans="2:2">
      <c r="B2809"/>
    </row>
    <row r="2810" spans="2:2">
      <c r="B2810"/>
    </row>
    <row r="2811" spans="2:2">
      <c r="B2811"/>
    </row>
    <row r="2812" spans="2:2">
      <c r="B2812"/>
    </row>
    <row r="2813" spans="2:2">
      <c r="B2813"/>
    </row>
    <row r="2814" spans="2:2">
      <c r="B2814"/>
    </row>
    <row r="2815" spans="2:2">
      <c r="B2815"/>
    </row>
    <row r="2816" spans="2:2">
      <c r="B2816"/>
    </row>
    <row r="2817" spans="2:2">
      <c r="B2817"/>
    </row>
    <row r="2818" spans="2:2">
      <c r="B2818"/>
    </row>
    <row r="2819" spans="2:2">
      <c r="B2819"/>
    </row>
    <row r="2820" spans="2:2">
      <c r="B2820"/>
    </row>
    <row r="2821" spans="2:2">
      <c r="B2821"/>
    </row>
    <row r="2822" spans="2:2">
      <c r="B2822"/>
    </row>
    <row r="2823" spans="2:2">
      <c r="B2823"/>
    </row>
    <row r="2824" spans="2:2">
      <c r="B2824"/>
    </row>
    <row r="2825" spans="2:2">
      <c r="B2825"/>
    </row>
    <row r="2826" spans="2:2">
      <c r="B2826"/>
    </row>
    <row r="2827" spans="2:2">
      <c r="B2827"/>
    </row>
    <row r="2828" spans="2:2">
      <c r="B2828"/>
    </row>
    <row r="2829" spans="2:2">
      <c r="B2829"/>
    </row>
    <row r="2830" spans="2:2">
      <c r="B2830"/>
    </row>
    <row r="2831" spans="2:2">
      <c r="B2831"/>
    </row>
    <row r="2832" spans="2:2">
      <c r="B2832"/>
    </row>
    <row r="2833" spans="2:2">
      <c r="B2833"/>
    </row>
    <row r="2834" spans="2:2">
      <c r="B2834"/>
    </row>
    <row r="2835" spans="2:2">
      <c r="B2835"/>
    </row>
    <row r="2836" spans="2:2">
      <c r="B2836"/>
    </row>
    <row r="2837" spans="2:2">
      <c r="B2837"/>
    </row>
    <row r="2838" spans="2:2">
      <c r="B2838"/>
    </row>
    <row r="2839" spans="2:2">
      <c r="B2839"/>
    </row>
    <row r="2840" spans="2:2">
      <c r="B2840"/>
    </row>
    <row r="2841" spans="2:2">
      <c r="B2841"/>
    </row>
    <row r="2842" spans="2:2">
      <c r="B2842"/>
    </row>
    <row r="2843" spans="2:2">
      <c r="B2843"/>
    </row>
    <row r="2844" spans="2:2">
      <c r="B2844"/>
    </row>
    <row r="2845" spans="2:2">
      <c r="B2845"/>
    </row>
    <row r="2846" spans="2:2">
      <c r="B2846"/>
    </row>
    <row r="2847" spans="2:2">
      <c r="B2847"/>
    </row>
    <row r="2848" spans="2:2">
      <c r="B2848"/>
    </row>
    <row r="2849" spans="2:2">
      <c r="B2849"/>
    </row>
    <row r="2850" spans="2:2">
      <c r="B2850"/>
    </row>
    <row r="2851" spans="2:2">
      <c r="B2851"/>
    </row>
    <row r="2852" spans="2:2">
      <c r="B2852"/>
    </row>
    <row r="2853" spans="2:2">
      <c r="B2853"/>
    </row>
    <row r="2854" spans="2:2">
      <c r="B2854"/>
    </row>
    <row r="2855" spans="2:2">
      <c r="B2855"/>
    </row>
    <row r="2856" spans="2:2">
      <c r="B2856"/>
    </row>
    <row r="2857" spans="2:2">
      <c r="B2857"/>
    </row>
    <row r="2858" spans="2:2">
      <c r="B2858"/>
    </row>
    <row r="2859" spans="2:2">
      <c r="B2859"/>
    </row>
    <row r="2860" spans="2:2">
      <c r="B2860"/>
    </row>
    <row r="2861" spans="2:2">
      <c r="B2861"/>
    </row>
    <row r="2862" spans="2:2">
      <c r="B2862"/>
    </row>
    <row r="2863" spans="2:2">
      <c r="B2863"/>
    </row>
    <row r="2864" spans="2:2">
      <c r="B2864"/>
    </row>
    <row r="2865" spans="2:2">
      <c r="B2865"/>
    </row>
    <row r="2866" spans="2:2">
      <c r="B2866"/>
    </row>
    <row r="2867" spans="2:2">
      <c r="B2867"/>
    </row>
    <row r="2868" spans="2:2">
      <c r="B2868"/>
    </row>
    <row r="2869" spans="2:2">
      <c r="B2869"/>
    </row>
    <row r="2870" spans="2:2">
      <c r="B2870"/>
    </row>
    <row r="2871" spans="2:2">
      <c r="B2871"/>
    </row>
    <row r="2872" spans="2:2">
      <c r="B2872"/>
    </row>
    <row r="2873" spans="2:2">
      <c r="B2873"/>
    </row>
    <row r="2874" spans="2:2">
      <c r="B2874"/>
    </row>
    <row r="2875" spans="2:2">
      <c r="B2875"/>
    </row>
    <row r="2876" spans="2:2">
      <c r="B2876"/>
    </row>
    <row r="2877" spans="2:2">
      <c r="B2877"/>
    </row>
    <row r="2878" spans="2:2">
      <c r="B2878"/>
    </row>
    <row r="2879" spans="2:2">
      <c r="B2879"/>
    </row>
    <row r="2880" spans="2:2">
      <c r="B2880"/>
    </row>
    <row r="2881" spans="2:2">
      <c r="B2881"/>
    </row>
    <row r="2882" spans="2:2">
      <c r="B2882"/>
    </row>
    <row r="2883" spans="2:2">
      <c r="B2883"/>
    </row>
    <row r="2884" spans="2:2">
      <c r="B2884"/>
    </row>
    <row r="2885" spans="2:2">
      <c r="B2885"/>
    </row>
    <row r="2886" spans="2:2">
      <c r="B2886"/>
    </row>
    <row r="2887" spans="2:2">
      <c r="B2887"/>
    </row>
    <row r="2888" spans="2:2">
      <c r="B2888"/>
    </row>
    <row r="2889" spans="2:2">
      <c r="B2889"/>
    </row>
    <row r="2890" spans="2:2">
      <c r="B2890"/>
    </row>
    <row r="2891" spans="2:2">
      <c r="B2891"/>
    </row>
    <row r="2892" spans="2:2">
      <c r="B2892"/>
    </row>
    <row r="2893" spans="2:2">
      <c r="B2893"/>
    </row>
    <row r="2894" spans="2:2">
      <c r="B2894"/>
    </row>
    <row r="2895" spans="2:2">
      <c r="B2895"/>
    </row>
    <row r="2896" spans="2:2">
      <c r="B2896"/>
    </row>
    <row r="2897" spans="2:2">
      <c r="B2897"/>
    </row>
    <row r="2898" spans="2:2">
      <c r="B2898"/>
    </row>
    <row r="2899" spans="2:2">
      <c r="B2899"/>
    </row>
    <row r="2900" spans="2:2">
      <c r="B2900"/>
    </row>
    <row r="2901" spans="2:2">
      <c r="B2901"/>
    </row>
    <row r="2902" spans="2:2">
      <c r="B2902"/>
    </row>
    <row r="2903" spans="2:2">
      <c r="B2903"/>
    </row>
    <row r="2904" spans="2:2">
      <c r="B2904"/>
    </row>
    <row r="2905" spans="2:2">
      <c r="B2905"/>
    </row>
    <row r="2906" spans="2:2">
      <c r="B2906"/>
    </row>
    <row r="2907" spans="2:2">
      <c r="B2907"/>
    </row>
    <row r="2908" spans="2:2">
      <c r="B2908"/>
    </row>
    <row r="2909" spans="2:2">
      <c r="B2909"/>
    </row>
    <row r="2910" spans="2:2">
      <c r="B2910"/>
    </row>
    <row r="2911" spans="2:2">
      <c r="B2911"/>
    </row>
    <row r="2912" spans="2:2">
      <c r="B2912"/>
    </row>
    <row r="2913" spans="2:2">
      <c r="B2913"/>
    </row>
    <row r="2914" spans="2:2">
      <c r="B2914"/>
    </row>
    <row r="2915" spans="2:2">
      <c r="B2915"/>
    </row>
    <row r="2916" spans="2:2">
      <c r="B2916"/>
    </row>
    <row r="2917" spans="2:2">
      <c r="B2917"/>
    </row>
    <row r="2918" spans="2:2">
      <c r="B2918"/>
    </row>
    <row r="2919" spans="2:2">
      <c r="B2919"/>
    </row>
    <row r="2920" spans="2:2">
      <c r="B2920"/>
    </row>
    <row r="2921" spans="2:2">
      <c r="B2921"/>
    </row>
    <row r="2922" spans="2:2">
      <c r="B2922"/>
    </row>
    <row r="2923" spans="2:2">
      <c r="B2923"/>
    </row>
    <row r="2924" spans="2:2">
      <c r="B2924"/>
    </row>
    <row r="2925" spans="2:2">
      <c r="B2925"/>
    </row>
    <row r="2926" spans="2:2">
      <c r="B2926"/>
    </row>
    <row r="2927" spans="2:2">
      <c r="B2927"/>
    </row>
    <row r="2928" spans="2:2">
      <c r="B2928"/>
    </row>
    <row r="2929" spans="2:2">
      <c r="B2929"/>
    </row>
    <row r="2930" spans="2:2">
      <c r="B2930"/>
    </row>
    <row r="2931" spans="2:2">
      <c r="B2931"/>
    </row>
    <row r="2932" spans="2:2">
      <c r="B2932"/>
    </row>
    <row r="2933" spans="2:2">
      <c r="B2933"/>
    </row>
    <row r="2934" spans="2:2">
      <c r="B2934"/>
    </row>
    <row r="2935" spans="2:2">
      <c r="B2935"/>
    </row>
    <row r="2936" spans="2:2">
      <c r="B2936"/>
    </row>
    <row r="2937" spans="2:2">
      <c r="B2937"/>
    </row>
    <row r="2938" spans="2:2">
      <c r="B2938"/>
    </row>
    <row r="2939" spans="2:2">
      <c r="B2939"/>
    </row>
    <row r="2940" spans="2:2">
      <c r="B2940"/>
    </row>
    <row r="2941" spans="2:2">
      <c r="B2941"/>
    </row>
    <row r="2942" spans="2:2">
      <c r="B2942"/>
    </row>
    <row r="2943" spans="2:2">
      <c r="B2943"/>
    </row>
    <row r="2944" spans="2:2">
      <c r="B2944"/>
    </row>
    <row r="2945" spans="2:2">
      <c r="B2945"/>
    </row>
    <row r="2946" spans="2:2">
      <c r="B2946"/>
    </row>
    <row r="2947" spans="2:2">
      <c r="B2947"/>
    </row>
    <row r="2948" spans="2:2">
      <c r="B2948"/>
    </row>
    <row r="2949" spans="2:2">
      <c r="B2949"/>
    </row>
    <row r="2950" spans="2:2">
      <c r="B2950"/>
    </row>
    <row r="2951" spans="2:2">
      <c r="B2951"/>
    </row>
    <row r="2952" spans="2:2">
      <c r="B2952"/>
    </row>
    <row r="2953" spans="2:2">
      <c r="B2953"/>
    </row>
    <row r="2954" spans="2:2">
      <c r="B2954"/>
    </row>
    <row r="2955" spans="2:2">
      <c r="B2955"/>
    </row>
    <row r="2956" spans="2:2">
      <c r="B2956"/>
    </row>
    <row r="2957" spans="2:2">
      <c r="B2957"/>
    </row>
    <row r="2958" spans="2:2">
      <c r="B2958"/>
    </row>
    <row r="2959" spans="2:2">
      <c r="B2959"/>
    </row>
    <row r="2960" spans="2:2">
      <c r="B2960"/>
    </row>
    <row r="2961" spans="2:2">
      <c r="B2961"/>
    </row>
    <row r="2962" spans="2:2">
      <c r="B2962"/>
    </row>
    <row r="2963" spans="2:2">
      <c r="B2963"/>
    </row>
    <row r="2964" spans="2:2">
      <c r="B2964"/>
    </row>
    <row r="2965" spans="2:2">
      <c r="B2965"/>
    </row>
    <row r="2966" spans="2:2">
      <c r="B2966"/>
    </row>
    <row r="2967" spans="2:2">
      <c r="B2967"/>
    </row>
    <row r="2968" spans="2:2">
      <c r="B2968"/>
    </row>
    <row r="2969" spans="2:2">
      <c r="B2969"/>
    </row>
    <row r="2970" spans="2:2">
      <c r="B2970"/>
    </row>
    <row r="2971" spans="2:2">
      <c r="B2971"/>
    </row>
    <row r="2972" spans="2:2">
      <c r="B2972"/>
    </row>
    <row r="2973" spans="2:2">
      <c r="B2973"/>
    </row>
    <row r="2974" spans="2:2">
      <c r="B2974"/>
    </row>
    <row r="2975" spans="2:2">
      <c r="B2975"/>
    </row>
    <row r="2976" spans="2:2">
      <c r="B2976"/>
    </row>
    <row r="2977" spans="2:2">
      <c r="B2977"/>
    </row>
    <row r="2978" spans="2:2">
      <c r="B2978"/>
    </row>
    <row r="2979" spans="2:2">
      <c r="B2979"/>
    </row>
    <row r="2980" spans="2:2">
      <c r="B2980"/>
    </row>
    <row r="2981" spans="2:2">
      <c r="B2981"/>
    </row>
    <row r="2982" spans="2:2">
      <c r="B2982"/>
    </row>
    <row r="2983" spans="2:2">
      <c r="B2983"/>
    </row>
    <row r="2984" spans="2:2">
      <c r="B2984"/>
    </row>
    <row r="2985" spans="2:2">
      <c r="B2985"/>
    </row>
    <row r="2986" spans="2:2">
      <c r="B2986"/>
    </row>
    <row r="2987" spans="2:2">
      <c r="B2987"/>
    </row>
    <row r="2988" spans="2:2">
      <c r="B2988"/>
    </row>
    <row r="2989" spans="2:2">
      <c r="B2989"/>
    </row>
    <row r="2990" spans="2:2">
      <c r="B2990"/>
    </row>
    <row r="2991" spans="2:2">
      <c r="B2991"/>
    </row>
    <row r="2992" spans="2:2">
      <c r="B2992"/>
    </row>
    <row r="2993" spans="2:2">
      <c r="B2993"/>
    </row>
    <row r="2994" spans="2:2">
      <c r="B2994"/>
    </row>
    <row r="2995" spans="2:2">
      <c r="B2995"/>
    </row>
    <row r="2996" spans="2:2">
      <c r="B2996"/>
    </row>
    <row r="2997" spans="2:2">
      <c r="B2997"/>
    </row>
    <row r="2998" spans="2:2">
      <c r="B2998"/>
    </row>
    <row r="2999" spans="2:2">
      <c r="B2999"/>
    </row>
    <row r="3000" spans="2:2">
      <c r="B3000"/>
    </row>
    <row r="3001" spans="2:2">
      <c r="B3001"/>
    </row>
    <row r="3002" spans="2:2">
      <c r="B3002"/>
    </row>
    <row r="3003" spans="2:2">
      <c r="B3003"/>
    </row>
    <row r="3004" spans="2:2">
      <c r="B3004"/>
    </row>
    <row r="3005" spans="2:2">
      <c r="B3005"/>
    </row>
    <row r="3006" spans="2:2">
      <c r="B3006"/>
    </row>
    <row r="3007" spans="2:2">
      <c r="B3007"/>
    </row>
    <row r="3008" spans="2:2">
      <c r="B3008"/>
    </row>
    <row r="3009" spans="2:2">
      <c r="B3009"/>
    </row>
    <row r="3010" spans="2:2">
      <c r="B3010"/>
    </row>
    <row r="3011" spans="2:2">
      <c r="B3011"/>
    </row>
    <row r="3012" spans="2:2">
      <c r="B3012"/>
    </row>
    <row r="3013" spans="2:2">
      <c r="B3013"/>
    </row>
    <row r="3014" spans="2:2">
      <c r="B3014"/>
    </row>
    <row r="3015" spans="2:2">
      <c r="B3015"/>
    </row>
    <row r="3016" spans="2:2">
      <c r="B3016"/>
    </row>
    <row r="3017" spans="2:2">
      <c r="B3017"/>
    </row>
    <row r="3018" spans="2:2">
      <c r="B3018"/>
    </row>
    <row r="3019" spans="2:2">
      <c r="B3019"/>
    </row>
    <row r="3020" spans="2:2">
      <c r="B3020"/>
    </row>
    <row r="3021" spans="2:2">
      <c r="B3021"/>
    </row>
    <row r="3022" spans="2:2">
      <c r="B3022"/>
    </row>
    <row r="3023" spans="2:2">
      <c r="B3023"/>
    </row>
    <row r="3024" spans="2:2">
      <c r="B3024"/>
    </row>
    <row r="3025" spans="2:2">
      <c r="B3025"/>
    </row>
    <row r="3026" spans="2:2">
      <c r="B3026"/>
    </row>
    <row r="3027" spans="2:2">
      <c r="B3027"/>
    </row>
    <row r="3028" spans="2:2">
      <c r="B3028"/>
    </row>
    <row r="3029" spans="2:2">
      <c r="B3029"/>
    </row>
    <row r="3030" spans="2:2">
      <c r="B3030"/>
    </row>
    <row r="3031" spans="2:2">
      <c r="B3031"/>
    </row>
    <row r="3032" spans="2:2">
      <c r="B3032"/>
    </row>
    <row r="3033" spans="2:2">
      <c r="B3033"/>
    </row>
    <row r="3034" spans="2:2">
      <c r="B3034"/>
    </row>
    <row r="3035" spans="2:2">
      <c r="B3035"/>
    </row>
    <row r="3036" spans="2:2">
      <c r="B3036"/>
    </row>
    <row r="3037" spans="2:2">
      <c r="B3037"/>
    </row>
    <row r="3038" spans="2:2">
      <c r="B3038"/>
    </row>
    <row r="3039" spans="2:2">
      <c r="B3039"/>
    </row>
    <row r="3040" spans="2:2">
      <c r="B3040"/>
    </row>
    <row r="3041" spans="2:2">
      <c r="B3041"/>
    </row>
    <row r="3042" spans="2:2">
      <c r="B3042"/>
    </row>
    <row r="3043" spans="2:2">
      <c r="B3043"/>
    </row>
    <row r="3044" spans="2:2">
      <c r="B3044"/>
    </row>
    <row r="3045" spans="2:2">
      <c r="B3045"/>
    </row>
    <row r="3046" spans="2:2">
      <c r="B3046"/>
    </row>
    <row r="3047" spans="2:2">
      <c r="B3047"/>
    </row>
    <row r="3048" spans="2:2">
      <c r="B3048"/>
    </row>
    <row r="3049" spans="2:2">
      <c r="B3049"/>
    </row>
    <row r="3050" spans="2:2">
      <c r="B3050"/>
    </row>
    <row r="3051" spans="2:2">
      <c r="B3051"/>
    </row>
    <row r="3052" spans="2:2">
      <c r="B3052"/>
    </row>
    <row r="3053" spans="2:2">
      <c r="B3053"/>
    </row>
    <row r="3054" spans="2:2">
      <c r="B3054"/>
    </row>
    <row r="3055" spans="2:2">
      <c r="B3055"/>
    </row>
    <row r="3056" spans="2:2">
      <c r="B3056"/>
    </row>
    <row r="3057" spans="2:2">
      <c r="B3057"/>
    </row>
    <row r="3058" spans="2:2">
      <c r="B3058"/>
    </row>
    <row r="3059" spans="2:2">
      <c r="B3059"/>
    </row>
    <row r="3060" spans="2:2">
      <c r="B3060"/>
    </row>
    <row r="3061" spans="2:2">
      <c r="B3061"/>
    </row>
    <row r="3062" spans="2:2">
      <c r="B3062"/>
    </row>
    <row r="3063" spans="2:2">
      <c r="B3063"/>
    </row>
    <row r="3064" spans="2:2">
      <c r="B3064"/>
    </row>
    <row r="3065" spans="2:2">
      <c r="B3065"/>
    </row>
    <row r="3066" spans="2:2">
      <c r="B3066"/>
    </row>
    <row r="3067" spans="2:2">
      <c r="B3067"/>
    </row>
    <row r="3068" spans="2:2">
      <c r="B3068"/>
    </row>
    <row r="3069" spans="2:2">
      <c r="B3069"/>
    </row>
    <row r="3070" spans="2:2">
      <c r="B3070"/>
    </row>
    <row r="3071" spans="2:2">
      <c r="B3071"/>
    </row>
    <row r="3072" spans="2:2">
      <c r="B3072"/>
    </row>
    <row r="3073" spans="2:2">
      <c r="B3073"/>
    </row>
    <row r="3074" spans="2:2">
      <c r="B3074"/>
    </row>
    <row r="3075" spans="2:2">
      <c r="B3075"/>
    </row>
    <row r="3076" spans="2:2">
      <c r="B3076"/>
    </row>
    <row r="3077" spans="2:2">
      <c r="B3077"/>
    </row>
    <row r="3078" spans="2:2">
      <c r="B3078"/>
    </row>
    <row r="3079" spans="2:2">
      <c r="B3079"/>
    </row>
    <row r="3080" spans="2:2">
      <c r="B3080"/>
    </row>
    <row r="3081" spans="2:2">
      <c r="B3081"/>
    </row>
    <row r="3082" spans="2:2">
      <c r="B3082"/>
    </row>
    <row r="3083" spans="2:2">
      <c r="B3083"/>
    </row>
    <row r="3084" spans="2:2">
      <c r="B3084"/>
    </row>
    <row r="3085" spans="2:2">
      <c r="B3085"/>
    </row>
    <row r="3086" spans="2:2">
      <c r="B3086"/>
    </row>
    <row r="3087" spans="2:2">
      <c r="B3087"/>
    </row>
    <row r="3088" spans="2:2">
      <c r="B3088"/>
    </row>
    <row r="3089" spans="2:2">
      <c r="B3089"/>
    </row>
    <row r="3090" spans="2:2">
      <c r="B3090"/>
    </row>
    <row r="3091" spans="2:2">
      <c r="B3091"/>
    </row>
    <row r="3092" spans="2:2">
      <c r="B3092"/>
    </row>
    <row r="3093" spans="2:2">
      <c r="B3093"/>
    </row>
    <row r="3094" spans="2:2">
      <c r="B3094"/>
    </row>
    <row r="3095" spans="2:2">
      <c r="B3095"/>
    </row>
    <row r="3096" spans="2:2">
      <c r="B3096"/>
    </row>
    <row r="3097" spans="2:2">
      <c r="B3097"/>
    </row>
    <row r="3098" spans="2:2">
      <c r="B3098"/>
    </row>
    <row r="3099" spans="2:2">
      <c r="B3099"/>
    </row>
    <row r="3100" spans="2:2">
      <c r="B3100"/>
    </row>
    <row r="3101" spans="2:2">
      <c r="B3101"/>
    </row>
    <row r="3102" spans="2:2">
      <c r="B3102"/>
    </row>
    <row r="3103" spans="2:2">
      <c r="B3103"/>
    </row>
    <row r="3104" spans="2:2">
      <c r="B3104"/>
    </row>
    <row r="3105" spans="2:2">
      <c r="B3105"/>
    </row>
    <row r="3106" spans="2:2">
      <c r="B3106"/>
    </row>
    <row r="3107" spans="2:2">
      <c r="B3107"/>
    </row>
    <row r="3108" spans="2:2">
      <c r="B3108"/>
    </row>
    <row r="3109" spans="2:2">
      <c r="B3109"/>
    </row>
    <row r="3110" spans="2:2">
      <c r="B3110"/>
    </row>
    <row r="3111" spans="2:2">
      <c r="B3111"/>
    </row>
    <row r="3112" spans="2:2">
      <c r="B3112"/>
    </row>
    <row r="3113" spans="2:2">
      <c r="B3113"/>
    </row>
    <row r="3114" spans="2:2">
      <c r="B3114"/>
    </row>
    <row r="3115" spans="2:2">
      <c r="B3115"/>
    </row>
    <row r="3116" spans="2:2">
      <c r="B3116"/>
    </row>
    <row r="3117" spans="2:2">
      <c r="B3117"/>
    </row>
    <row r="3118" spans="2:2">
      <c r="B3118"/>
    </row>
    <row r="3119" spans="2:2">
      <c r="B3119"/>
    </row>
    <row r="3120" spans="2:2">
      <c r="B3120"/>
    </row>
    <row r="3121" spans="2:2">
      <c r="B3121"/>
    </row>
    <row r="3122" spans="2:2">
      <c r="B3122"/>
    </row>
    <row r="3123" spans="2:2">
      <c r="B3123"/>
    </row>
    <row r="3124" spans="2:2">
      <c r="B3124"/>
    </row>
    <row r="3125" spans="2:2">
      <c r="B3125"/>
    </row>
    <row r="3126" spans="2:2">
      <c r="B3126"/>
    </row>
    <row r="3127" spans="2:2">
      <c r="B3127"/>
    </row>
    <row r="3128" spans="2:2">
      <c r="B3128"/>
    </row>
    <row r="3129" spans="2:2">
      <c r="B3129"/>
    </row>
    <row r="3130" spans="2:2">
      <c r="B3130"/>
    </row>
    <row r="3131" spans="2:2">
      <c r="B3131"/>
    </row>
    <row r="3132" spans="2:2">
      <c r="B3132"/>
    </row>
    <row r="3133" spans="2:2">
      <c r="B3133"/>
    </row>
    <row r="3134" spans="2:2">
      <c r="B3134"/>
    </row>
    <row r="3135" spans="2:2">
      <c r="B3135"/>
    </row>
    <row r="3136" spans="2:2">
      <c r="B3136"/>
    </row>
    <row r="3137" spans="2:2">
      <c r="B3137"/>
    </row>
    <row r="3138" spans="2:2">
      <c r="B3138"/>
    </row>
    <row r="3139" spans="2:2">
      <c r="B3139"/>
    </row>
    <row r="3140" spans="2:2">
      <c r="B3140"/>
    </row>
    <row r="3141" spans="2:2">
      <c r="B3141"/>
    </row>
    <row r="3142" spans="2:2">
      <c r="B3142"/>
    </row>
    <row r="3143" spans="2:2">
      <c r="B3143"/>
    </row>
    <row r="3144" spans="2:2">
      <c r="B3144"/>
    </row>
    <row r="3145" spans="2:2">
      <c r="B3145"/>
    </row>
    <row r="3146" spans="2:2">
      <c r="B3146"/>
    </row>
    <row r="3147" spans="2:2">
      <c r="B3147"/>
    </row>
    <row r="3148" spans="2:2">
      <c r="B3148"/>
    </row>
    <row r="3149" spans="2:2">
      <c r="B3149"/>
    </row>
    <row r="3150" spans="2:2">
      <c r="B3150"/>
    </row>
    <row r="3151" spans="2:2">
      <c r="B3151"/>
    </row>
    <row r="3152" spans="2:2">
      <c r="B3152"/>
    </row>
    <row r="3153" spans="2:2">
      <c r="B3153"/>
    </row>
    <row r="3154" spans="2:2">
      <c r="B3154"/>
    </row>
    <row r="3155" spans="2:2">
      <c r="B3155"/>
    </row>
    <row r="3156" spans="2:2">
      <c r="B3156"/>
    </row>
    <row r="3157" spans="2:2">
      <c r="B3157"/>
    </row>
    <row r="3158" spans="2:2">
      <c r="B3158"/>
    </row>
    <row r="3159" spans="2:2">
      <c r="B3159"/>
    </row>
    <row r="3160" spans="2:2">
      <c r="B3160"/>
    </row>
    <row r="3161" spans="2:2">
      <c r="B3161"/>
    </row>
    <row r="3162" spans="2:2">
      <c r="B3162"/>
    </row>
    <row r="3163" spans="2:2">
      <c r="B3163"/>
    </row>
    <row r="3164" spans="2:2">
      <c r="B3164"/>
    </row>
    <row r="3165" spans="2:2">
      <c r="B3165"/>
    </row>
    <row r="3166" spans="2:2">
      <c r="B3166"/>
    </row>
    <row r="3167" spans="2:2">
      <c r="B3167"/>
    </row>
    <row r="3168" spans="2:2">
      <c r="B3168"/>
    </row>
    <row r="3169" spans="2:2">
      <c r="B3169"/>
    </row>
    <row r="3170" spans="2:2">
      <c r="B3170"/>
    </row>
    <row r="3171" spans="2:2">
      <c r="B3171"/>
    </row>
    <row r="3172" spans="2:2">
      <c r="B3172"/>
    </row>
    <row r="3173" spans="2:2">
      <c r="B3173"/>
    </row>
    <row r="3174" spans="2:2">
      <c r="B3174"/>
    </row>
    <row r="3175" spans="2:2">
      <c r="B3175"/>
    </row>
    <row r="3176" spans="2:2">
      <c r="B3176"/>
    </row>
    <row r="3177" spans="2:2">
      <c r="B3177"/>
    </row>
    <row r="3178" spans="2:2">
      <c r="B3178"/>
    </row>
    <row r="3179" spans="2:2">
      <c r="B3179"/>
    </row>
    <row r="3180" spans="2:2">
      <c r="B3180"/>
    </row>
    <row r="3181" spans="2:2">
      <c r="B3181"/>
    </row>
    <row r="3182" spans="2:2">
      <c r="B3182"/>
    </row>
    <row r="3183" spans="2:2">
      <c r="B3183"/>
    </row>
    <row r="3184" spans="2:2">
      <c r="B3184"/>
    </row>
    <row r="3185" spans="2:2">
      <c r="B3185"/>
    </row>
    <row r="3186" spans="2:2">
      <c r="B3186"/>
    </row>
    <row r="3187" spans="2:2">
      <c r="B3187"/>
    </row>
    <row r="3188" spans="2:2">
      <c r="B3188"/>
    </row>
    <row r="3189" spans="2:2">
      <c r="B3189"/>
    </row>
    <row r="3190" spans="2:2">
      <c r="B3190"/>
    </row>
    <row r="3191" spans="2:2">
      <c r="B3191"/>
    </row>
    <row r="3192" spans="2:2">
      <c r="B3192"/>
    </row>
    <row r="3193" spans="2:2">
      <c r="B3193"/>
    </row>
    <row r="3194" spans="2:2">
      <c r="B3194"/>
    </row>
    <row r="3195" spans="2:2">
      <c r="B3195"/>
    </row>
    <row r="3196" spans="2:2">
      <c r="B3196"/>
    </row>
    <row r="3197" spans="2:2">
      <c r="B3197"/>
    </row>
    <row r="3198" spans="2:2">
      <c r="B3198"/>
    </row>
    <row r="3199" spans="2:2">
      <c r="B3199"/>
    </row>
    <row r="3200" spans="2:2">
      <c r="B3200"/>
    </row>
    <row r="3201" spans="2:2">
      <c r="B3201"/>
    </row>
    <row r="3202" spans="2:2">
      <c r="B3202"/>
    </row>
    <row r="3203" spans="2:2">
      <c r="B3203"/>
    </row>
    <row r="3204" spans="2:2">
      <c r="B3204"/>
    </row>
    <row r="3205" spans="2:2">
      <c r="B3205"/>
    </row>
    <row r="3206" spans="2:2">
      <c r="B3206"/>
    </row>
    <row r="3207" spans="2:2">
      <c r="B3207"/>
    </row>
    <row r="3208" spans="2:2">
      <c r="B3208"/>
    </row>
    <row r="3209" spans="2:2">
      <c r="B3209"/>
    </row>
    <row r="3210" spans="2:2">
      <c r="B3210"/>
    </row>
    <row r="3211" spans="2:2">
      <c r="B3211"/>
    </row>
    <row r="3212" spans="2:2">
      <c r="B3212"/>
    </row>
    <row r="3213" spans="2:2">
      <c r="B3213"/>
    </row>
    <row r="3214" spans="2:2">
      <c r="B3214"/>
    </row>
    <row r="3215" spans="2:2">
      <c r="B3215"/>
    </row>
    <row r="3216" spans="2:2">
      <c r="B3216"/>
    </row>
    <row r="3217" spans="2:2">
      <c r="B3217"/>
    </row>
    <row r="3218" spans="2:2">
      <c r="B3218"/>
    </row>
    <row r="3219" spans="2:2">
      <c r="B3219"/>
    </row>
    <row r="3220" spans="2:2">
      <c r="B3220"/>
    </row>
    <row r="3221" spans="2:2">
      <c r="B3221"/>
    </row>
    <row r="3222" spans="2:2">
      <c r="B3222"/>
    </row>
    <row r="3223" spans="2:2">
      <c r="B3223"/>
    </row>
    <row r="3224" spans="2:2">
      <c r="B3224"/>
    </row>
    <row r="3225" spans="2:2">
      <c r="B3225"/>
    </row>
    <row r="3226" spans="2:2">
      <c r="B3226"/>
    </row>
    <row r="3227" spans="2:2">
      <c r="B3227"/>
    </row>
    <row r="3228" spans="2:2">
      <c r="B3228"/>
    </row>
    <row r="3229" spans="2:2">
      <c r="B3229"/>
    </row>
    <row r="3230" spans="2:2">
      <c r="B3230"/>
    </row>
    <row r="3231" spans="2:2">
      <c r="B3231"/>
    </row>
    <row r="3232" spans="2:2">
      <c r="B3232"/>
    </row>
    <row r="3233" spans="2:2">
      <c r="B3233"/>
    </row>
    <row r="3234" spans="2:2">
      <c r="B3234"/>
    </row>
    <row r="3235" spans="2:2">
      <c r="B3235"/>
    </row>
    <row r="3236" spans="2:2">
      <c r="B3236"/>
    </row>
    <row r="3237" spans="2:2">
      <c r="B3237"/>
    </row>
    <row r="3238" spans="2:2">
      <c r="B3238"/>
    </row>
    <row r="3239" spans="2:2">
      <c r="B3239"/>
    </row>
    <row r="3240" spans="2:2">
      <c r="B3240"/>
    </row>
    <row r="3241" spans="2:2">
      <c r="B3241"/>
    </row>
    <row r="3242" spans="2:2">
      <c r="B3242"/>
    </row>
    <row r="3243" spans="2:2">
      <c r="B3243"/>
    </row>
    <row r="3244" spans="2:2">
      <c r="B3244"/>
    </row>
    <row r="3245" spans="2:2">
      <c r="B3245"/>
    </row>
    <row r="3246" spans="2:2">
      <c r="B3246"/>
    </row>
    <row r="3247" spans="2:2">
      <c r="B3247"/>
    </row>
    <row r="3248" spans="2:2">
      <c r="B3248"/>
    </row>
    <row r="3249" spans="2:2">
      <c r="B3249"/>
    </row>
    <row r="3250" spans="2:2">
      <c r="B3250"/>
    </row>
    <row r="3251" spans="2:2">
      <c r="B3251"/>
    </row>
    <row r="3252" spans="2:2">
      <c r="B3252"/>
    </row>
    <row r="3253" spans="2:2">
      <c r="B3253"/>
    </row>
    <row r="3254" spans="2:2">
      <c r="B3254"/>
    </row>
    <row r="3255" spans="2:2">
      <c r="B3255"/>
    </row>
    <row r="3256" spans="2:2">
      <c r="B3256"/>
    </row>
    <row r="3257" spans="2:2">
      <c r="B3257"/>
    </row>
    <row r="3258" spans="2:2">
      <c r="B3258"/>
    </row>
    <row r="3259" spans="2:2">
      <c r="B3259"/>
    </row>
    <row r="3260" spans="2:2">
      <c r="B3260"/>
    </row>
    <row r="3261" spans="2:2">
      <c r="B3261"/>
    </row>
    <row r="3262" spans="2:2">
      <c r="B3262"/>
    </row>
    <row r="3263" spans="2:2">
      <c r="B3263"/>
    </row>
    <row r="3264" spans="2:2">
      <c r="B3264"/>
    </row>
    <row r="3265" spans="2:2">
      <c r="B3265"/>
    </row>
    <row r="3266" spans="2:2">
      <c r="B3266"/>
    </row>
    <row r="3267" spans="2:2">
      <c r="B3267"/>
    </row>
    <row r="3268" spans="2:2">
      <c r="B3268"/>
    </row>
    <row r="3269" spans="2:2">
      <c r="B3269"/>
    </row>
    <row r="3270" spans="2:2">
      <c r="B3270"/>
    </row>
    <row r="3271" spans="2:2">
      <c r="B3271"/>
    </row>
    <row r="3272" spans="2:2">
      <c r="B3272"/>
    </row>
    <row r="3273" spans="2:2">
      <c r="B3273"/>
    </row>
    <row r="3274" spans="2:2">
      <c r="B3274"/>
    </row>
    <row r="3275" spans="2:2">
      <c r="B3275"/>
    </row>
    <row r="3276" spans="2:2">
      <c r="B3276"/>
    </row>
    <row r="3277" spans="2:2">
      <c r="B3277"/>
    </row>
    <row r="3278" spans="2:2">
      <c r="B3278"/>
    </row>
    <row r="3279" spans="2:2">
      <c r="B3279"/>
    </row>
    <row r="3280" spans="2:2">
      <c r="B3280"/>
    </row>
    <row r="3281" spans="2:2">
      <c r="B3281"/>
    </row>
    <row r="3282" spans="2:2">
      <c r="B3282"/>
    </row>
    <row r="3283" spans="2:2">
      <c r="B3283"/>
    </row>
    <row r="3284" spans="2:2">
      <c r="B3284"/>
    </row>
    <row r="3285" spans="2:2">
      <c r="B3285"/>
    </row>
    <row r="3286" spans="2:2">
      <c r="B3286"/>
    </row>
    <row r="3287" spans="2:2">
      <c r="B3287"/>
    </row>
    <row r="3288" spans="2:2">
      <c r="B3288"/>
    </row>
    <row r="3289" spans="2:2">
      <c r="B3289"/>
    </row>
    <row r="3290" spans="2:2">
      <c r="B3290"/>
    </row>
    <row r="3291" spans="2:2">
      <c r="B3291"/>
    </row>
    <row r="3292" spans="2:2">
      <c r="B3292"/>
    </row>
    <row r="3293" spans="2:2">
      <c r="B3293"/>
    </row>
    <row r="3294" spans="2:2">
      <c r="B3294"/>
    </row>
    <row r="3295" spans="2:2">
      <c r="B3295"/>
    </row>
    <row r="3296" spans="2:2">
      <c r="B3296"/>
    </row>
    <row r="3297" spans="2:2">
      <c r="B3297"/>
    </row>
    <row r="3298" spans="2:2">
      <c r="B3298"/>
    </row>
    <row r="3299" spans="2:2">
      <c r="B3299"/>
    </row>
    <row r="3300" spans="2:2">
      <c r="B3300"/>
    </row>
    <row r="3301" spans="2:2">
      <c r="B3301"/>
    </row>
    <row r="3302" spans="2:2">
      <c r="B3302"/>
    </row>
    <row r="3303" spans="2:2">
      <c r="B3303"/>
    </row>
    <row r="3304" spans="2:2">
      <c r="B3304"/>
    </row>
    <row r="3305" spans="2:2">
      <c r="B3305"/>
    </row>
    <row r="3306" spans="2:2">
      <c r="B3306"/>
    </row>
    <row r="3307" spans="2:2">
      <c r="B3307"/>
    </row>
    <row r="3308" spans="2:2">
      <c r="B3308"/>
    </row>
    <row r="3309" spans="2:2">
      <c r="B3309"/>
    </row>
    <row r="3310" spans="2:2">
      <c r="B3310"/>
    </row>
    <row r="3311" spans="2:2">
      <c r="B3311"/>
    </row>
    <row r="3312" spans="2:2">
      <c r="B3312"/>
    </row>
    <row r="3313" spans="2:2">
      <c r="B3313"/>
    </row>
    <row r="3314" spans="2:2">
      <c r="B3314"/>
    </row>
    <row r="3315" spans="2:2">
      <c r="B3315"/>
    </row>
    <row r="3316" spans="2:2">
      <c r="B3316"/>
    </row>
    <row r="3317" spans="2:2">
      <c r="B3317"/>
    </row>
    <row r="3318" spans="2:2">
      <c r="B3318"/>
    </row>
    <row r="3319" spans="2:2">
      <c r="B3319"/>
    </row>
    <row r="3320" spans="2:2">
      <c r="B3320"/>
    </row>
    <row r="3321" spans="2:2">
      <c r="B3321"/>
    </row>
    <row r="3322" spans="2:2">
      <c r="B3322"/>
    </row>
    <row r="3323" spans="2:2">
      <c r="B3323"/>
    </row>
    <row r="3324" spans="2:2">
      <c r="B3324"/>
    </row>
    <row r="3325" spans="2:2">
      <c r="B3325"/>
    </row>
    <row r="3326" spans="2:2">
      <c r="B3326"/>
    </row>
    <row r="3327" spans="2:2">
      <c r="B3327"/>
    </row>
    <row r="3328" spans="2:2">
      <c r="B3328"/>
    </row>
    <row r="3329" spans="2:2">
      <c r="B3329"/>
    </row>
    <row r="3330" spans="2:2">
      <c r="B3330"/>
    </row>
    <row r="3331" spans="2:2">
      <c r="B3331"/>
    </row>
    <row r="3332" spans="2:2">
      <c r="B3332"/>
    </row>
    <row r="3333" spans="2:2">
      <c r="B3333"/>
    </row>
    <row r="3334" spans="2:2">
      <c r="B3334"/>
    </row>
    <row r="3335" spans="2:2">
      <c r="B3335"/>
    </row>
    <row r="3336" spans="2:2">
      <c r="B3336"/>
    </row>
    <row r="3337" spans="2:2">
      <c r="B3337"/>
    </row>
    <row r="3338" spans="2:2">
      <c r="B3338"/>
    </row>
    <row r="3339" spans="2:2">
      <c r="B3339"/>
    </row>
    <row r="3340" spans="2:2">
      <c r="B3340"/>
    </row>
    <row r="3341" spans="2:2">
      <c r="B3341"/>
    </row>
    <row r="3342" spans="2:2">
      <c r="B3342"/>
    </row>
    <row r="3343" spans="2:2">
      <c r="B3343"/>
    </row>
    <row r="3344" spans="2:2">
      <c r="B3344"/>
    </row>
    <row r="3345" spans="2:2">
      <c r="B3345"/>
    </row>
    <row r="3346" spans="2:2">
      <c r="B3346"/>
    </row>
    <row r="3347" spans="2:2">
      <c r="B3347"/>
    </row>
    <row r="3348" spans="2:2">
      <c r="B3348"/>
    </row>
    <row r="3349" spans="2:2">
      <c r="B3349"/>
    </row>
    <row r="3350" spans="2:2">
      <c r="B3350"/>
    </row>
    <row r="3351" spans="2:2">
      <c r="B3351"/>
    </row>
    <row r="3352" spans="2:2">
      <c r="B3352"/>
    </row>
    <row r="3353" spans="2:2">
      <c r="B3353"/>
    </row>
    <row r="3354" spans="2:2">
      <c r="B3354"/>
    </row>
    <row r="3355" spans="2:2">
      <c r="B3355"/>
    </row>
    <row r="3356" spans="2:2">
      <c r="B3356"/>
    </row>
    <row r="3357" spans="2:2">
      <c r="B3357"/>
    </row>
    <row r="3358" spans="2:2">
      <c r="B3358"/>
    </row>
    <row r="3359" spans="2:2">
      <c r="B3359"/>
    </row>
    <row r="3360" spans="2:2">
      <c r="B3360"/>
    </row>
    <row r="3361" spans="2:2">
      <c r="B3361"/>
    </row>
    <row r="3362" spans="2:2">
      <c r="B3362"/>
    </row>
    <row r="3363" spans="2:2">
      <c r="B3363"/>
    </row>
    <row r="3364" spans="2:2">
      <c r="B3364"/>
    </row>
    <row r="3365" spans="2:2">
      <c r="B3365"/>
    </row>
    <row r="3366" spans="2:2">
      <c r="B3366"/>
    </row>
    <row r="3367" spans="2:2">
      <c r="B3367"/>
    </row>
    <row r="3368" spans="2:2">
      <c r="B3368"/>
    </row>
    <row r="3369" spans="2:2">
      <c r="B3369"/>
    </row>
    <row r="3370" spans="2:2">
      <c r="B3370"/>
    </row>
    <row r="3371" spans="2:2">
      <c r="B3371"/>
    </row>
    <row r="3372" spans="2:2">
      <c r="B3372"/>
    </row>
    <row r="3373" spans="2:2">
      <c r="B3373"/>
    </row>
    <row r="3374" spans="2:2">
      <c r="B3374"/>
    </row>
    <row r="3375" spans="2:2">
      <c r="B3375"/>
    </row>
    <row r="3376" spans="2:2">
      <c r="B3376"/>
    </row>
    <row r="3377" spans="2:2">
      <c r="B3377"/>
    </row>
    <row r="3378" spans="2:2">
      <c r="B3378"/>
    </row>
    <row r="3379" spans="2:2">
      <c r="B3379"/>
    </row>
    <row r="3380" spans="2:2">
      <c r="B3380"/>
    </row>
    <row r="3381" spans="2:2">
      <c r="B3381"/>
    </row>
    <row r="3382" spans="2:2">
      <c r="B3382"/>
    </row>
    <row r="3383" spans="2:2">
      <c r="B3383"/>
    </row>
    <row r="3384" spans="2:2">
      <c r="B3384"/>
    </row>
    <row r="3385" spans="2:2">
      <c r="B3385"/>
    </row>
    <row r="3386" spans="2:2">
      <c r="B3386"/>
    </row>
    <row r="3387" spans="2:2">
      <c r="B3387"/>
    </row>
    <row r="3388" spans="2:2">
      <c r="B3388"/>
    </row>
    <row r="3389" spans="2:2">
      <c r="B3389"/>
    </row>
    <row r="3390" spans="2:2">
      <c r="B3390"/>
    </row>
    <row r="3391" spans="2:2">
      <c r="B3391"/>
    </row>
    <row r="3392" spans="2:2">
      <c r="B3392"/>
    </row>
    <row r="3393" spans="2:2">
      <c r="B3393"/>
    </row>
    <row r="3394" spans="2:2">
      <c r="B3394"/>
    </row>
    <row r="3395" spans="2:2">
      <c r="B3395"/>
    </row>
    <row r="3396" spans="2:2">
      <c r="B3396"/>
    </row>
    <row r="3397" spans="2:2">
      <c r="B3397"/>
    </row>
    <row r="3398" spans="2:2">
      <c r="B3398"/>
    </row>
    <row r="3399" spans="2:2">
      <c r="B3399"/>
    </row>
    <row r="3400" spans="2:2">
      <c r="B3400"/>
    </row>
    <row r="3401" spans="2:2">
      <c r="B3401"/>
    </row>
    <row r="3402" spans="2:2">
      <c r="B3402"/>
    </row>
    <row r="3403" spans="2:2">
      <c r="B3403"/>
    </row>
    <row r="3404" spans="2:2">
      <c r="B3404"/>
    </row>
    <row r="3405" spans="2:2">
      <c r="B3405"/>
    </row>
    <row r="3406" spans="2:2">
      <c r="B3406"/>
    </row>
    <row r="3407" spans="2:2">
      <c r="B3407"/>
    </row>
    <row r="3408" spans="2:2">
      <c r="B3408"/>
    </row>
    <row r="3409" spans="2:2">
      <c r="B3409"/>
    </row>
    <row r="3410" spans="2:2">
      <c r="B3410"/>
    </row>
    <row r="3411" spans="2:2">
      <c r="B3411"/>
    </row>
    <row r="3412" spans="2:2">
      <c r="B3412"/>
    </row>
    <row r="3413" spans="2:2">
      <c r="B3413"/>
    </row>
    <row r="3414" spans="2:2">
      <c r="B3414"/>
    </row>
    <row r="3415" spans="2:2">
      <c r="B3415"/>
    </row>
    <row r="3416" spans="2:2">
      <c r="B3416"/>
    </row>
    <row r="3417" spans="2:2">
      <c r="B3417"/>
    </row>
    <row r="3418" spans="2:2">
      <c r="B3418"/>
    </row>
    <row r="3419" spans="2:2">
      <c r="B3419"/>
    </row>
    <row r="3420" spans="2:2">
      <c r="B3420"/>
    </row>
    <row r="3421" spans="2:2">
      <c r="B3421"/>
    </row>
    <row r="3422" spans="2:2">
      <c r="B3422"/>
    </row>
    <row r="3423" spans="2:2">
      <c r="B3423"/>
    </row>
    <row r="3424" spans="2:2">
      <c r="B3424"/>
    </row>
    <row r="3425" spans="2:2">
      <c r="B3425"/>
    </row>
    <row r="3426" spans="2:2">
      <c r="B3426"/>
    </row>
    <row r="3427" spans="2:2">
      <c r="B3427"/>
    </row>
    <row r="3428" spans="2:2">
      <c r="B3428"/>
    </row>
    <row r="3429" spans="2:2">
      <c r="B3429"/>
    </row>
    <row r="3430" spans="2:2">
      <c r="B3430"/>
    </row>
    <row r="3431" spans="2:2">
      <c r="B3431"/>
    </row>
    <row r="3432" spans="2:2">
      <c r="B3432"/>
    </row>
    <row r="3433" spans="2:2">
      <c r="B3433"/>
    </row>
    <row r="3434" spans="2:2">
      <c r="B3434"/>
    </row>
    <row r="3435" spans="2:2">
      <c r="B3435"/>
    </row>
    <row r="3436" spans="2:2">
      <c r="B3436"/>
    </row>
    <row r="3437" spans="2:2">
      <c r="B3437"/>
    </row>
    <row r="3438" spans="2:2">
      <c r="B3438"/>
    </row>
    <row r="3439" spans="2:2">
      <c r="B3439"/>
    </row>
    <row r="3440" spans="2:2">
      <c r="B3440"/>
    </row>
    <row r="3441" spans="2:2">
      <c r="B3441"/>
    </row>
    <row r="3442" spans="2:2">
      <c r="B3442"/>
    </row>
    <row r="3443" spans="2:2">
      <c r="B3443"/>
    </row>
    <row r="3444" spans="2:2">
      <c r="B3444"/>
    </row>
    <row r="3445" spans="2:2">
      <c r="B3445"/>
    </row>
    <row r="3446" spans="2:2">
      <c r="B3446"/>
    </row>
    <row r="3447" spans="2:2">
      <c r="B3447"/>
    </row>
    <row r="3448" spans="2:2">
      <c r="B3448"/>
    </row>
    <row r="3449" spans="2:2">
      <c r="B3449"/>
    </row>
    <row r="3450" spans="2:2">
      <c r="B3450"/>
    </row>
    <row r="3451" spans="2:2">
      <c r="B3451"/>
    </row>
    <row r="3452" spans="2:2">
      <c r="B3452"/>
    </row>
    <row r="3453" spans="2:2">
      <c r="B3453"/>
    </row>
    <row r="3454" spans="2:2">
      <c r="B3454"/>
    </row>
    <row r="3455" spans="2:2">
      <c r="B3455"/>
    </row>
    <row r="3456" spans="2:2">
      <c r="B3456"/>
    </row>
    <row r="3457" spans="2:2">
      <c r="B3457"/>
    </row>
    <row r="3458" spans="2:2">
      <c r="B3458"/>
    </row>
    <row r="3459" spans="2:2">
      <c r="B3459"/>
    </row>
    <row r="3460" spans="2:2">
      <c r="B3460"/>
    </row>
    <row r="3461" spans="2:2">
      <c r="B3461"/>
    </row>
    <row r="3462" spans="2:2">
      <c r="B3462"/>
    </row>
    <row r="3463" spans="2:2">
      <c r="B3463"/>
    </row>
    <row r="3464" spans="2:2">
      <c r="B3464"/>
    </row>
    <row r="3465" spans="2:2">
      <c r="B3465"/>
    </row>
    <row r="3466" spans="2:2">
      <c r="B3466"/>
    </row>
    <row r="3467" spans="2:2">
      <c r="B3467"/>
    </row>
    <row r="3468" spans="2:2">
      <c r="B3468"/>
    </row>
    <row r="3469" spans="2:2">
      <c r="B3469"/>
    </row>
    <row r="3470" spans="2:2">
      <c r="B3470"/>
    </row>
    <row r="3471" spans="2:2">
      <c r="B3471"/>
    </row>
    <row r="3472" spans="2:2">
      <c r="B3472"/>
    </row>
    <row r="3473" spans="2:2">
      <c r="B3473"/>
    </row>
    <row r="3474" spans="2:2">
      <c r="B3474"/>
    </row>
    <row r="3475" spans="2:2">
      <c r="B3475"/>
    </row>
    <row r="3476" spans="2:2">
      <c r="B3476"/>
    </row>
    <row r="3477" spans="2:2">
      <c r="B3477"/>
    </row>
    <row r="3478" spans="2:2">
      <c r="B3478"/>
    </row>
    <row r="3479" spans="2:2">
      <c r="B3479"/>
    </row>
    <row r="3480" spans="2:2">
      <c r="B3480"/>
    </row>
    <row r="3481" spans="2:2">
      <c r="B3481"/>
    </row>
    <row r="3482" spans="2:2">
      <c r="B3482"/>
    </row>
    <row r="3483" spans="2:2">
      <c r="B3483"/>
    </row>
    <row r="3484" spans="2:2">
      <c r="B3484"/>
    </row>
    <row r="3485" spans="2:2">
      <c r="B3485"/>
    </row>
    <row r="3486" spans="2:2">
      <c r="B3486"/>
    </row>
    <row r="3487" spans="2:2">
      <c r="B3487"/>
    </row>
    <row r="3488" spans="2:2">
      <c r="B3488"/>
    </row>
    <row r="3489" spans="2:2">
      <c r="B3489"/>
    </row>
    <row r="3490" spans="2:2">
      <c r="B3490"/>
    </row>
    <row r="3491" spans="2:2">
      <c r="B3491"/>
    </row>
    <row r="3492" spans="2:2">
      <c r="B3492"/>
    </row>
    <row r="3493" spans="2:2">
      <c r="B3493"/>
    </row>
    <row r="3494" spans="2:2">
      <c r="B3494"/>
    </row>
    <row r="3495" spans="2:2">
      <c r="B3495"/>
    </row>
    <row r="3496" spans="2:2">
      <c r="B3496"/>
    </row>
    <row r="3497" spans="2:2">
      <c r="B3497"/>
    </row>
    <row r="3498" spans="2:2">
      <c r="B3498"/>
    </row>
    <row r="3499" spans="2:2">
      <c r="B3499"/>
    </row>
    <row r="3500" spans="2:2">
      <c r="B3500"/>
    </row>
    <row r="3501" spans="2:2">
      <c r="B3501"/>
    </row>
    <row r="3502" spans="2:2">
      <c r="B3502"/>
    </row>
    <row r="3503" spans="2:2">
      <c r="B3503"/>
    </row>
    <row r="3504" spans="2:2">
      <c r="B3504"/>
    </row>
    <row r="3505" spans="2:2">
      <c r="B3505"/>
    </row>
    <row r="3506" spans="2:2">
      <c r="B3506"/>
    </row>
    <row r="3507" spans="2:2">
      <c r="B3507"/>
    </row>
    <row r="3508" spans="2:2">
      <c r="B3508"/>
    </row>
    <row r="3509" spans="2:2">
      <c r="B3509"/>
    </row>
    <row r="3510" spans="2:2">
      <c r="B3510"/>
    </row>
    <row r="3511" spans="2:2">
      <c r="B3511"/>
    </row>
    <row r="3512" spans="2:2">
      <c r="B3512"/>
    </row>
    <row r="3513" spans="2:2">
      <c r="B3513"/>
    </row>
    <row r="3514" spans="2:2">
      <c r="B3514"/>
    </row>
    <row r="3515" spans="2:2">
      <c r="B3515"/>
    </row>
    <row r="3516" spans="2:2">
      <c r="B3516"/>
    </row>
    <row r="3517" spans="2:2">
      <c r="B3517"/>
    </row>
    <row r="3518" spans="2:2">
      <c r="B3518"/>
    </row>
    <row r="3519" spans="2:2">
      <c r="B3519"/>
    </row>
    <row r="3520" spans="2:2">
      <c r="B3520"/>
    </row>
    <row r="3521" spans="2:2">
      <c r="B3521"/>
    </row>
    <row r="3522" spans="2:2">
      <c r="B3522"/>
    </row>
    <row r="3523" spans="2:2">
      <c r="B3523"/>
    </row>
    <row r="3524" spans="2:2">
      <c r="B3524"/>
    </row>
    <row r="3525" spans="2:2">
      <c r="B3525"/>
    </row>
    <row r="3526" spans="2:2">
      <c r="B3526"/>
    </row>
    <row r="3527" spans="2:2">
      <c r="B3527"/>
    </row>
    <row r="3528" spans="2:2">
      <c r="B3528"/>
    </row>
    <row r="3529" spans="2:2">
      <c r="B3529"/>
    </row>
    <row r="3530" spans="2:2">
      <c r="B3530"/>
    </row>
    <row r="3531" spans="2:2">
      <c r="B3531"/>
    </row>
    <row r="3532" spans="2:2">
      <c r="B3532"/>
    </row>
    <row r="3533" spans="2:2">
      <c r="B3533"/>
    </row>
    <row r="3534" spans="2:2">
      <c r="B3534"/>
    </row>
    <row r="3535" spans="2:2">
      <c r="B3535"/>
    </row>
    <row r="3536" spans="2:2">
      <c r="B3536"/>
    </row>
    <row r="3537" spans="2:2">
      <c r="B3537"/>
    </row>
    <row r="3538" spans="2:2">
      <c r="B3538"/>
    </row>
    <row r="3539" spans="2:2">
      <c r="B3539"/>
    </row>
    <row r="3540" spans="2:2">
      <c r="B3540"/>
    </row>
    <row r="3541" spans="2:2">
      <c r="B3541"/>
    </row>
    <row r="3542" spans="2:2">
      <c r="B3542"/>
    </row>
    <row r="3543" spans="2:2">
      <c r="B3543"/>
    </row>
    <row r="3544" spans="2:2">
      <c r="B3544"/>
    </row>
    <row r="3545" spans="2:2">
      <c r="B3545"/>
    </row>
    <row r="3546" spans="2:2">
      <c r="B3546"/>
    </row>
    <row r="3547" spans="2:2">
      <c r="B3547"/>
    </row>
    <row r="3548" spans="2:2">
      <c r="B3548"/>
    </row>
    <row r="3549" spans="2:2">
      <c r="B3549"/>
    </row>
    <row r="3550" spans="2:2">
      <c r="B3550"/>
    </row>
    <row r="3551" spans="2:2">
      <c r="B3551"/>
    </row>
    <row r="3552" spans="2:2">
      <c r="B3552"/>
    </row>
    <row r="3553" spans="2:2">
      <c r="B3553"/>
    </row>
    <row r="3554" spans="2:2">
      <c r="B3554"/>
    </row>
    <row r="3555" spans="2:2">
      <c r="B3555"/>
    </row>
    <row r="3556" spans="2:2">
      <c r="B3556"/>
    </row>
    <row r="3557" spans="2:2">
      <c r="B3557"/>
    </row>
    <row r="3558" spans="2:2">
      <c r="B3558"/>
    </row>
    <row r="3559" spans="2:2">
      <c r="B3559"/>
    </row>
    <row r="3560" spans="2:2">
      <c r="B3560"/>
    </row>
    <row r="3561" spans="2:2">
      <c r="B3561"/>
    </row>
    <row r="3562" spans="2:2">
      <c r="B3562"/>
    </row>
    <row r="3563" spans="2:2">
      <c r="B3563"/>
    </row>
    <row r="3564" spans="2:2">
      <c r="B3564"/>
    </row>
    <row r="3565" spans="2:2">
      <c r="B3565"/>
    </row>
    <row r="3566" spans="2:2">
      <c r="B3566"/>
    </row>
    <row r="3567" spans="2:2">
      <c r="B3567"/>
    </row>
    <row r="3568" spans="2:2">
      <c r="B3568"/>
    </row>
    <row r="3569" spans="2:2">
      <c r="B3569"/>
    </row>
    <row r="3570" spans="2:2">
      <c r="B3570"/>
    </row>
    <row r="3571" spans="2:2">
      <c r="B3571"/>
    </row>
    <row r="3572" spans="2:2">
      <c r="B3572"/>
    </row>
    <row r="3573" spans="2:2">
      <c r="B3573"/>
    </row>
    <row r="3574" spans="2:2">
      <c r="B3574"/>
    </row>
    <row r="3575" spans="2:2">
      <c r="B3575"/>
    </row>
    <row r="3576" spans="2:2">
      <c r="B3576"/>
    </row>
    <row r="3577" spans="2:2">
      <c r="B3577"/>
    </row>
    <row r="3578" spans="2:2">
      <c r="B3578"/>
    </row>
    <row r="3579" spans="2:2">
      <c r="B3579"/>
    </row>
    <row r="3580" spans="2:2">
      <c r="B3580"/>
    </row>
    <row r="3581" spans="2:2">
      <c r="B3581"/>
    </row>
    <row r="3582" spans="2:2">
      <c r="B3582"/>
    </row>
    <row r="3583" spans="2:2">
      <c r="B3583"/>
    </row>
    <row r="3584" spans="2:2">
      <c r="B3584"/>
    </row>
    <row r="3585" spans="2:2">
      <c r="B3585"/>
    </row>
    <row r="3586" spans="2:2">
      <c r="B3586"/>
    </row>
    <row r="3587" spans="2:2">
      <c r="B3587"/>
    </row>
    <row r="3588" spans="2:2">
      <c r="B3588"/>
    </row>
    <row r="3589" spans="2:2">
      <c r="B3589"/>
    </row>
    <row r="3590" spans="2:2">
      <c r="B3590"/>
    </row>
    <row r="3591" spans="2:2">
      <c r="B3591"/>
    </row>
    <row r="3592" spans="2:2">
      <c r="B3592"/>
    </row>
    <row r="3593" spans="2:2">
      <c r="B3593"/>
    </row>
    <row r="3594" spans="2:2">
      <c r="B3594"/>
    </row>
    <row r="3595" spans="2:2">
      <c r="B3595"/>
    </row>
    <row r="3596" spans="2:2">
      <c r="B3596"/>
    </row>
    <row r="3597" spans="2:2">
      <c r="B3597"/>
    </row>
    <row r="3598" spans="2:2">
      <c r="B3598"/>
    </row>
    <row r="3599" spans="2:2">
      <c r="B3599"/>
    </row>
    <row r="3600" spans="2:2">
      <c r="B3600"/>
    </row>
    <row r="3601" spans="2:2">
      <c r="B3601"/>
    </row>
    <row r="3602" spans="2:2">
      <c r="B3602"/>
    </row>
    <row r="3603" spans="2:2">
      <c r="B3603"/>
    </row>
    <row r="3604" spans="2:2">
      <c r="B3604"/>
    </row>
    <row r="3605" spans="2:2">
      <c r="B3605"/>
    </row>
    <row r="3606" spans="2:2">
      <c r="B3606"/>
    </row>
    <row r="3607" spans="2:2">
      <c r="B3607"/>
    </row>
    <row r="3608" spans="2:2">
      <c r="B3608"/>
    </row>
    <row r="3609" spans="2:2">
      <c r="B3609"/>
    </row>
    <row r="3610" spans="2:2">
      <c r="B3610"/>
    </row>
    <row r="3611" spans="2:2">
      <c r="B3611"/>
    </row>
    <row r="3612" spans="2:2">
      <c r="B3612"/>
    </row>
    <row r="3613" spans="2:2">
      <c r="B3613"/>
    </row>
    <row r="3614" spans="2:2">
      <c r="B3614"/>
    </row>
    <row r="3615" spans="2:2">
      <c r="B3615"/>
    </row>
    <row r="3616" spans="2:2">
      <c r="B3616"/>
    </row>
    <row r="3617" spans="2:2">
      <c r="B3617"/>
    </row>
    <row r="3618" spans="2:2">
      <c r="B3618"/>
    </row>
    <row r="3619" spans="2:2">
      <c r="B3619"/>
    </row>
    <row r="3620" spans="2:2">
      <c r="B3620"/>
    </row>
    <row r="3621" spans="2:2">
      <c r="B3621"/>
    </row>
    <row r="3622" spans="2:2">
      <c r="B3622"/>
    </row>
    <row r="3623" spans="2:2">
      <c r="B3623"/>
    </row>
    <row r="3624" spans="2:2">
      <c r="B3624"/>
    </row>
    <row r="3625" spans="2:2">
      <c r="B3625"/>
    </row>
    <row r="3626" spans="2:2">
      <c r="B3626"/>
    </row>
    <row r="3627" spans="2:2">
      <c r="B3627"/>
    </row>
    <row r="3628" spans="2:2">
      <c r="B3628"/>
    </row>
    <row r="3629" spans="2:2">
      <c r="B3629"/>
    </row>
    <row r="3630" spans="2:2">
      <c r="B3630"/>
    </row>
    <row r="3631" spans="2:2">
      <c r="B3631"/>
    </row>
    <row r="3632" spans="2:2">
      <c r="B3632"/>
    </row>
    <row r="3633" spans="2:2">
      <c r="B3633"/>
    </row>
    <row r="3634" spans="2:2">
      <c r="B3634"/>
    </row>
    <row r="3635" spans="2:2">
      <c r="B3635"/>
    </row>
    <row r="3636" spans="2:2">
      <c r="B3636"/>
    </row>
    <row r="3637" spans="2:2">
      <c r="B3637"/>
    </row>
    <row r="3638" spans="2:2">
      <c r="B3638"/>
    </row>
    <row r="3639" spans="2:2">
      <c r="B3639"/>
    </row>
    <row r="3640" spans="2:2">
      <c r="B3640"/>
    </row>
    <row r="3641" spans="2:2">
      <c r="B3641"/>
    </row>
    <row r="3642" spans="2:2">
      <c r="B3642"/>
    </row>
    <row r="3643" spans="2:2">
      <c r="B3643"/>
    </row>
    <row r="3644" spans="2:2">
      <c r="B3644"/>
    </row>
    <row r="3645" spans="2:2">
      <c r="B3645"/>
    </row>
    <row r="3646" spans="2:2">
      <c r="B3646"/>
    </row>
    <row r="3647" spans="2:2">
      <c r="B3647"/>
    </row>
    <row r="3648" spans="2:2">
      <c r="B3648"/>
    </row>
    <row r="3649" spans="2:2">
      <c r="B3649"/>
    </row>
    <row r="3650" spans="2:2">
      <c r="B3650"/>
    </row>
    <row r="3651" spans="2:2">
      <c r="B3651"/>
    </row>
    <row r="3652" spans="2:2">
      <c r="B3652"/>
    </row>
    <row r="3653" spans="2:2">
      <c r="B3653"/>
    </row>
    <row r="3654" spans="2:2">
      <c r="B3654"/>
    </row>
    <row r="3655" spans="2:2">
      <c r="B3655"/>
    </row>
    <row r="3656" spans="2:2">
      <c r="B3656"/>
    </row>
    <row r="3657" spans="2:2">
      <c r="B3657"/>
    </row>
    <row r="3658" spans="2:2">
      <c r="B3658"/>
    </row>
    <row r="3659" spans="2:2">
      <c r="B3659"/>
    </row>
    <row r="3660" spans="2:2">
      <c r="B3660"/>
    </row>
    <row r="3661" spans="2:2">
      <c r="B3661"/>
    </row>
    <row r="3662" spans="2:2">
      <c r="B3662"/>
    </row>
    <row r="3663" spans="2:2">
      <c r="B3663"/>
    </row>
    <row r="3664" spans="2:2">
      <c r="B3664"/>
    </row>
    <row r="3665" spans="2:2">
      <c r="B3665"/>
    </row>
    <row r="3666" spans="2:2">
      <c r="B3666"/>
    </row>
    <row r="3667" spans="2:2">
      <c r="B3667"/>
    </row>
    <row r="3668" spans="2:2">
      <c r="B3668"/>
    </row>
    <row r="3669" spans="2:2">
      <c r="B3669"/>
    </row>
    <row r="3670" spans="2:2">
      <c r="B3670"/>
    </row>
    <row r="3671" spans="2:2">
      <c r="B3671"/>
    </row>
    <row r="3672" spans="2:2">
      <c r="B3672"/>
    </row>
    <row r="3673" spans="2:2">
      <c r="B3673"/>
    </row>
    <row r="3674" spans="2:2">
      <c r="B3674"/>
    </row>
    <row r="3675" spans="2:2">
      <c r="B3675"/>
    </row>
    <row r="3676" spans="2:2">
      <c r="B3676"/>
    </row>
    <row r="3677" spans="2:2">
      <c r="B3677"/>
    </row>
    <row r="3678" spans="2:2">
      <c r="B3678"/>
    </row>
    <row r="3679" spans="2:2">
      <c r="B3679"/>
    </row>
    <row r="3680" spans="2:2">
      <c r="B3680"/>
    </row>
    <row r="3681" spans="2:2">
      <c r="B3681"/>
    </row>
    <row r="3682" spans="2:2">
      <c r="B3682"/>
    </row>
    <row r="3683" spans="2:2">
      <c r="B3683"/>
    </row>
    <row r="3684" spans="2:2">
      <c r="B3684"/>
    </row>
    <row r="3685" spans="2:2">
      <c r="B3685"/>
    </row>
    <row r="3686" spans="2:2">
      <c r="B3686"/>
    </row>
    <row r="3687" spans="2:2">
      <c r="B3687"/>
    </row>
    <row r="3688" spans="2:2">
      <c r="B3688"/>
    </row>
    <row r="3689" spans="2:2">
      <c r="B3689"/>
    </row>
    <row r="3690" spans="2:2">
      <c r="B3690"/>
    </row>
    <row r="3691" spans="2:2">
      <c r="B3691"/>
    </row>
    <row r="3692" spans="2:2">
      <c r="B3692"/>
    </row>
    <row r="3693" spans="2:2">
      <c r="B3693"/>
    </row>
    <row r="3694" spans="2:2">
      <c r="B3694"/>
    </row>
    <row r="3695" spans="2:2">
      <c r="B3695"/>
    </row>
    <row r="3696" spans="2:2">
      <c r="B3696"/>
    </row>
    <row r="3697" spans="2:2">
      <c r="B3697"/>
    </row>
    <row r="3698" spans="2:2">
      <c r="B3698"/>
    </row>
    <row r="3699" spans="2:2">
      <c r="B3699"/>
    </row>
    <row r="3700" spans="2:2">
      <c r="B3700"/>
    </row>
    <row r="3701" spans="2:2">
      <c r="B3701"/>
    </row>
    <row r="3702" spans="2:2">
      <c r="B3702"/>
    </row>
    <row r="3703" spans="2:2">
      <c r="B3703"/>
    </row>
    <row r="3704" spans="2:2">
      <c r="B3704"/>
    </row>
    <row r="3705" spans="2:2">
      <c r="B3705"/>
    </row>
    <row r="3706" spans="2:2">
      <c r="B3706"/>
    </row>
    <row r="3707" spans="2:2">
      <c r="B3707"/>
    </row>
    <row r="3708" spans="2:2">
      <c r="B3708"/>
    </row>
    <row r="3709" spans="2:2">
      <c r="B3709"/>
    </row>
    <row r="3710" spans="2:2">
      <c r="B3710"/>
    </row>
    <row r="3711" spans="2:2">
      <c r="B3711"/>
    </row>
    <row r="3712" spans="2:2">
      <c r="B3712"/>
    </row>
    <row r="3713" spans="2:2">
      <c r="B3713"/>
    </row>
    <row r="3714" spans="2:2">
      <c r="B3714"/>
    </row>
    <row r="3715" spans="2:2">
      <c r="B3715"/>
    </row>
    <row r="3716" spans="2:2">
      <c r="B3716"/>
    </row>
    <row r="3717" spans="2:2">
      <c r="B3717"/>
    </row>
    <row r="3718" spans="2:2">
      <c r="B3718"/>
    </row>
    <row r="3719" spans="2:2">
      <c r="B3719"/>
    </row>
    <row r="3720" spans="2:2">
      <c r="B3720"/>
    </row>
    <row r="3721" spans="2:2">
      <c r="B3721"/>
    </row>
    <row r="3722" spans="2:2">
      <c r="B3722"/>
    </row>
    <row r="3723" spans="2:2">
      <c r="B3723"/>
    </row>
    <row r="3724" spans="2:2">
      <c r="B3724"/>
    </row>
    <row r="3725" spans="2:2">
      <c r="B3725"/>
    </row>
    <row r="3726" spans="2:2">
      <c r="B3726"/>
    </row>
    <row r="3727" spans="2:2">
      <c r="B3727"/>
    </row>
    <row r="3728" spans="2:2">
      <c r="B3728"/>
    </row>
    <row r="3729" spans="2:2">
      <c r="B3729"/>
    </row>
    <row r="3730" spans="2:2">
      <c r="B3730"/>
    </row>
    <row r="3731" spans="2:2">
      <c r="B3731"/>
    </row>
    <row r="3732" spans="2:2">
      <c r="B3732"/>
    </row>
    <row r="3733" spans="2:2">
      <c r="B3733"/>
    </row>
    <row r="3734" spans="2:2">
      <c r="B3734"/>
    </row>
    <row r="3735" spans="2:2">
      <c r="B3735"/>
    </row>
    <row r="3736" spans="2:2">
      <c r="B3736"/>
    </row>
    <row r="3737" spans="2:2">
      <c r="B3737"/>
    </row>
    <row r="3738" spans="2:2">
      <c r="B3738"/>
    </row>
    <row r="3739" spans="2:2">
      <c r="B3739"/>
    </row>
    <row r="3740" spans="2:2">
      <c r="B3740"/>
    </row>
    <row r="3741" spans="2:2">
      <c r="B3741"/>
    </row>
    <row r="3742" spans="2:2">
      <c r="B3742"/>
    </row>
    <row r="3743" spans="2:2">
      <c r="B3743"/>
    </row>
    <row r="3744" spans="2:2">
      <c r="B3744"/>
    </row>
    <row r="3745" spans="2:2">
      <c r="B3745"/>
    </row>
    <row r="3746" spans="2:2">
      <c r="B3746"/>
    </row>
    <row r="3747" spans="2:2">
      <c r="B3747"/>
    </row>
    <row r="3748" spans="2:2">
      <c r="B3748"/>
    </row>
    <row r="3749" spans="2:2">
      <c r="B3749"/>
    </row>
    <row r="3750" spans="2:2">
      <c r="B3750"/>
    </row>
    <row r="3751" spans="2:2">
      <c r="B3751"/>
    </row>
    <row r="3752" spans="2:2">
      <c r="B3752"/>
    </row>
    <row r="3753" spans="2:2">
      <c r="B3753"/>
    </row>
    <row r="3754" spans="2:2">
      <c r="B3754"/>
    </row>
    <row r="3755" spans="2:2">
      <c r="B3755"/>
    </row>
    <row r="3756" spans="2:2">
      <c r="B3756"/>
    </row>
    <row r="3757" spans="2:2">
      <c r="B3757"/>
    </row>
    <row r="3758" spans="2:2">
      <c r="B3758"/>
    </row>
    <row r="3759" spans="2:2">
      <c r="B3759"/>
    </row>
    <row r="3760" spans="2:2">
      <c r="B3760"/>
    </row>
    <row r="3761" spans="2:2">
      <c r="B3761"/>
    </row>
    <row r="3762" spans="2:2">
      <c r="B3762"/>
    </row>
    <row r="3763" spans="2:2">
      <c r="B3763"/>
    </row>
    <row r="3764" spans="2:2">
      <c r="B3764"/>
    </row>
    <row r="3765" spans="2:2">
      <c r="B3765"/>
    </row>
    <row r="3766" spans="2:2">
      <c r="B3766"/>
    </row>
    <row r="3767" spans="2:2">
      <c r="B3767"/>
    </row>
    <row r="3768" spans="2:2">
      <c r="B3768"/>
    </row>
    <row r="3769" spans="2:2">
      <c r="B3769"/>
    </row>
    <row r="3770" spans="2:2">
      <c r="B3770"/>
    </row>
    <row r="3771" spans="2:2">
      <c r="B3771"/>
    </row>
    <row r="3772" spans="2:2">
      <c r="B3772"/>
    </row>
    <row r="3773" spans="2:2">
      <c r="B3773"/>
    </row>
    <row r="3774" spans="2:2">
      <c r="B3774"/>
    </row>
    <row r="3775" spans="2:2">
      <c r="B3775"/>
    </row>
    <row r="3776" spans="2:2">
      <c r="B3776"/>
    </row>
    <row r="3777" spans="2:2">
      <c r="B3777"/>
    </row>
    <row r="3778" spans="2:2">
      <c r="B3778"/>
    </row>
    <row r="3779" spans="2:2">
      <c r="B3779"/>
    </row>
    <row r="3780" spans="2:2">
      <c r="B3780"/>
    </row>
    <row r="3781" spans="2:2">
      <c r="B3781"/>
    </row>
    <row r="3782" spans="2:2">
      <c r="B3782"/>
    </row>
    <row r="3783" spans="2:2">
      <c r="B3783"/>
    </row>
    <row r="3784" spans="2:2">
      <c r="B3784"/>
    </row>
    <row r="3785" spans="2:2">
      <c r="B3785"/>
    </row>
    <row r="3786" spans="2:2">
      <c r="B3786"/>
    </row>
    <row r="3787" spans="2:2">
      <c r="B3787"/>
    </row>
    <row r="3788" spans="2:2">
      <c r="B3788"/>
    </row>
    <row r="3789" spans="2:2">
      <c r="B3789"/>
    </row>
    <row r="3790" spans="2:2">
      <c r="B3790"/>
    </row>
    <row r="3791" spans="2:2">
      <c r="B3791"/>
    </row>
    <row r="3792" spans="2:2">
      <c r="B3792"/>
    </row>
    <row r="3793" spans="2:2">
      <c r="B3793"/>
    </row>
    <row r="3794" spans="2:2">
      <c r="B3794"/>
    </row>
    <row r="3795" spans="2:2">
      <c r="B3795"/>
    </row>
    <row r="3796" spans="2:2">
      <c r="B3796"/>
    </row>
    <row r="3797" spans="2:2">
      <c r="B3797"/>
    </row>
    <row r="3798" spans="2:2">
      <c r="B3798"/>
    </row>
    <row r="3799" spans="2:2">
      <c r="B3799"/>
    </row>
    <row r="3800" spans="2:2">
      <c r="B3800"/>
    </row>
    <row r="3801" spans="2:2">
      <c r="B3801"/>
    </row>
    <row r="3802" spans="2:2">
      <c r="B3802"/>
    </row>
    <row r="3803" spans="2:2">
      <c r="B3803"/>
    </row>
    <row r="3804" spans="2:2">
      <c r="B3804"/>
    </row>
    <row r="3805" spans="2:2">
      <c r="B3805"/>
    </row>
    <row r="3806" spans="2:2">
      <c r="B3806"/>
    </row>
    <row r="3807" spans="2:2">
      <c r="B3807"/>
    </row>
    <row r="3808" spans="2:2">
      <c r="B3808"/>
    </row>
    <row r="3809" spans="2:2">
      <c r="B3809"/>
    </row>
    <row r="3810" spans="2:2">
      <c r="B3810"/>
    </row>
    <row r="3811" spans="2:2">
      <c r="B3811"/>
    </row>
    <row r="3812" spans="2:2">
      <c r="B3812"/>
    </row>
    <row r="3813" spans="2:2">
      <c r="B3813"/>
    </row>
    <row r="3814" spans="2:2">
      <c r="B3814"/>
    </row>
    <row r="3815" spans="2:2">
      <c r="B3815"/>
    </row>
    <row r="3816" spans="2:2">
      <c r="B3816"/>
    </row>
    <row r="3817" spans="2:2">
      <c r="B3817"/>
    </row>
    <row r="3818" spans="2:2">
      <c r="B3818"/>
    </row>
    <row r="3819" spans="2:2">
      <c r="B3819"/>
    </row>
    <row r="3820" spans="2:2">
      <c r="B3820"/>
    </row>
    <row r="3821" spans="2:2">
      <c r="B3821"/>
    </row>
    <row r="3822" spans="2:2">
      <c r="B3822"/>
    </row>
    <row r="3823" spans="2:2">
      <c r="B3823"/>
    </row>
    <row r="3824" spans="2:2">
      <c r="B3824"/>
    </row>
    <row r="3825" spans="2:2">
      <c r="B3825"/>
    </row>
    <row r="3826" spans="2:2">
      <c r="B3826"/>
    </row>
    <row r="3827" spans="2:2">
      <c r="B3827"/>
    </row>
    <row r="3828" spans="2:2">
      <c r="B3828"/>
    </row>
    <row r="3829" spans="2:2">
      <c r="B3829"/>
    </row>
    <row r="3830" spans="2:2">
      <c r="B3830"/>
    </row>
    <row r="3831" spans="2:2">
      <c r="B3831"/>
    </row>
    <row r="3832" spans="2:2">
      <c r="B3832"/>
    </row>
    <row r="3833" spans="2:2">
      <c r="B3833"/>
    </row>
    <row r="3834" spans="2:2">
      <c r="B3834"/>
    </row>
    <row r="3835" spans="2:2">
      <c r="B3835"/>
    </row>
    <row r="3836" spans="2:2">
      <c r="B3836"/>
    </row>
    <row r="3837" spans="2:2">
      <c r="B3837"/>
    </row>
    <row r="3838" spans="2:2">
      <c r="B3838"/>
    </row>
    <row r="3839" spans="2:2">
      <c r="B3839"/>
    </row>
    <row r="3840" spans="2:2">
      <c r="B3840"/>
    </row>
    <row r="3841" spans="2:2">
      <c r="B3841"/>
    </row>
    <row r="3842" spans="2:2">
      <c r="B3842"/>
    </row>
    <row r="3843" spans="2:2">
      <c r="B3843"/>
    </row>
    <row r="3844" spans="2:2">
      <c r="B3844"/>
    </row>
    <row r="3845" spans="2:2">
      <c r="B3845"/>
    </row>
    <row r="3846" spans="2:2">
      <c r="B3846"/>
    </row>
    <row r="3847" spans="2:2">
      <c r="B3847"/>
    </row>
    <row r="3848" spans="2:2">
      <c r="B3848"/>
    </row>
    <row r="3849" spans="2:2">
      <c r="B3849"/>
    </row>
    <row r="3850" spans="2:2">
      <c r="B3850"/>
    </row>
    <row r="3851" spans="2:2">
      <c r="B3851"/>
    </row>
    <row r="3852" spans="2:2">
      <c r="B3852"/>
    </row>
    <row r="3853" spans="2:2">
      <c r="B3853"/>
    </row>
    <row r="3854" spans="2:2">
      <c r="B3854"/>
    </row>
    <row r="3855" spans="2:2">
      <c r="B3855"/>
    </row>
    <row r="3856" spans="2:2">
      <c r="B3856"/>
    </row>
    <row r="3857" spans="2:2">
      <c r="B3857"/>
    </row>
    <row r="3858" spans="2:2">
      <c r="B3858"/>
    </row>
    <row r="3859" spans="2:2">
      <c r="B3859"/>
    </row>
    <row r="3860" spans="2:2">
      <c r="B3860"/>
    </row>
    <row r="3861" spans="2:2">
      <c r="B3861"/>
    </row>
    <row r="3862" spans="2:2">
      <c r="B3862"/>
    </row>
    <row r="3863" spans="2:2">
      <c r="B3863"/>
    </row>
    <row r="3864" spans="2:2">
      <c r="B3864"/>
    </row>
    <row r="3865" spans="2:2">
      <c r="B3865"/>
    </row>
    <row r="3866" spans="2:2">
      <c r="B3866"/>
    </row>
    <row r="3867" spans="2:2">
      <c r="B3867"/>
    </row>
    <row r="3868" spans="2:2">
      <c r="B3868"/>
    </row>
    <row r="3869" spans="2:2">
      <c r="B3869"/>
    </row>
    <row r="3870" spans="2:2">
      <c r="B3870"/>
    </row>
    <row r="3871" spans="2:2">
      <c r="B3871"/>
    </row>
    <row r="3872" spans="2:2">
      <c r="B3872"/>
    </row>
    <row r="3873" spans="2:2">
      <c r="B3873"/>
    </row>
    <row r="3874" spans="2:2">
      <c r="B3874"/>
    </row>
    <row r="3875" spans="2:2">
      <c r="B3875"/>
    </row>
    <row r="3876" spans="2:2">
      <c r="B3876"/>
    </row>
    <row r="3877" spans="2:2">
      <c r="B3877"/>
    </row>
    <row r="3878" spans="2:2">
      <c r="B3878"/>
    </row>
    <row r="3879" spans="2:2">
      <c r="B3879"/>
    </row>
    <row r="3880" spans="2:2">
      <c r="B3880"/>
    </row>
    <row r="3881" spans="2:2">
      <c r="B3881"/>
    </row>
    <row r="3882" spans="2:2">
      <c r="B3882"/>
    </row>
    <row r="3883" spans="2:2">
      <c r="B3883"/>
    </row>
    <row r="3884" spans="2:2">
      <c r="B3884"/>
    </row>
    <row r="3885" spans="2:2">
      <c r="B3885"/>
    </row>
    <row r="3886" spans="2:2">
      <c r="B3886"/>
    </row>
    <row r="3887" spans="2:2">
      <c r="B3887"/>
    </row>
    <row r="3888" spans="2:2">
      <c r="B3888"/>
    </row>
    <row r="3889" spans="2:2">
      <c r="B3889"/>
    </row>
    <row r="3890" spans="2:2">
      <c r="B3890"/>
    </row>
    <row r="3891" spans="2:2">
      <c r="B3891"/>
    </row>
    <row r="3892" spans="2:2">
      <c r="B3892"/>
    </row>
    <row r="3893" spans="2:2">
      <c r="B3893"/>
    </row>
    <row r="3894" spans="2:2">
      <c r="B3894"/>
    </row>
    <row r="3895" spans="2:2">
      <c r="B3895"/>
    </row>
    <row r="3896" spans="2:2">
      <c r="B3896"/>
    </row>
    <row r="3897" spans="2:2">
      <c r="B3897"/>
    </row>
    <row r="3898" spans="2:2">
      <c r="B3898"/>
    </row>
    <row r="3899" spans="2:2">
      <c r="B3899"/>
    </row>
    <row r="3900" spans="2:2">
      <c r="B3900"/>
    </row>
    <row r="3901" spans="2:2">
      <c r="B3901"/>
    </row>
    <row r="3902" spans="2:2">
      <c r="B3902"/>
    </row>
    <row r="3903" spans="2:2">
      <c r="B3903"/>
    </row>
    <row r="3904" spans="2:2">
      <c r="B3904"/>
    </row>
    <row r="3905" spans="2:2">
      <c r="B3905"/>
    </row>
    <row r="3906" spans="2:2">
      <c r="B3906"/>
    </row>
    <row r="3907" spans="2:2">
      <c r="B3907"/>
    </row>
    <row r="3908" spans="2:2">
      <c r="B3908"/>
    </row>
    <row r="3909" spans="2:2">
      <c r="B3909"/>
    </row>
    <row r="3910" spans="2:2">
      <c r="B3910"/>
    </row>
    <row r="3911" spans="2:2">
      <c r="B3911"/>
    </row>
    <row r="3912" spans="2:2">
      <c r="B3912"/>
    </row>
    <row r="3913" spans="2:2">
      <c r="B3913"/>
    </row>
    <row r="3914" spans="2:2">
      <c r="B3914"/>
    </row>
    <row r="3915" spans="2:2">
      <c r="B3915"/>
    </row>
    <row r="3916" spans="2:2">
      <c r="B3916"/>
    </row>
    <row r="3917" spans="2:2">
      <c r="B3917"/>
    </row>
    <row r="3918" spans="2:2">
      <c r="B3918"/>
    </row>
    <row r="3919" spans="2:2">
      <c r="B3919"/>
    </row>
    <row r="3920" spans="2:2">
      <c r="B3920"/>
    </row>
    <row r="3921" spans="2:2">
      <c r="B3921"/>
    </row>
    <row r="3922" spans="2:2">
      <c r="B3922"/>
    </row>
    <row r="3923" spans="2:2">
      <c r="B3923"/>
    </row>
    <row r="3924" spans="2:2">
      <c r="B3924"/>
    </row>
    <row r="3925" spans="2:2">
      <c r="B3925"/>
    </row>
    <row r="3926" spans="2:2">
      <c r="B3926"/>
    </row>
    <row r="3927" spans="2:2">
      <c r="B3927"/>
    </row>
    <row r="3928" spans="2:2">
      <c r="B3928"/>
    </row>
    <row r="3929" spans="2:2">
      <c r="B3929"/>
    </row>
    <row r="3930" spans="2:2">
      <c r="B3930"/>
    </row>
    <row r="3931" spans="2:2">
      <c r="B3931"/>
    </row>
    <row r="3932" spans="2:2">
      <c r="B3932"/>
    </row>
    <row r="3933" spans="2:2">
      <c r="B3933"/>
    </row>
    <row r="3934" spans="2:2">
      <c r="B3934"/>
    </row>
    <row r="3935" spans="2:2">
      <c r="B3935"/>
    </row>
    <row r="3936" spans="2:2">
      <c r="B3936"/>
    </row>
    <row r="3937" spans="2:2">
      <c r="B3937"/>
    </row>
    <row r="3938" spans="2:2">
      <c r="B3938"/>
    </row>
    <row r="3939" spans="2:2">
      <c r="B3939"/>
    </row>
    <row r="3940" spans="2:2">
      <c r="B3940"/>
    </row>
    <row r="3941" spans="2:2">
      <c r="B3941"/>
    </row>
    <row r="3942" spans="2:2">
      <c r="B3942"/>
    </row>
    <row r="3943" spans="2:2">
      <c r="B3943"/>
    </row>
    <row r="3944" spans="2:2">
      <c r="B3944"/>
    </row>
    <row r="3945" spans="2:2">
      <c r="B3945"/>
    </row>
    <row r="3946" spans="2:2">
      <c r="B3946"/>
    </row>
    <row r="3947" spans="2:2">
      <c r="B3947"/>
    </row>
    <row r="3948" spans="2:2">
      <c r="B3948"/>
    </row>
    <row r="3949" spans="2:2">
      <c r="B3949"/>
    </row>
    <row r="3950" spans="2:2">
      <c r="B3950"/>
    </row>
    <row r="3951" spans="2:2">
      <c r="B3951"/>
    </row>
    <row r="3952" spans="2:2">
      <c r="B3952"/>
    </row>
    <row r="3953" spans="2:2">
      <c r="B3953"/>
    </row>
    <row r="3954" spans="2:2">
      <c r="B3954"/>
    </row>
    <row r="3955" spans="2:2">
      <c r="B3955"/>
    </row>
    <row r="3956" spans="2:2">
      <c r="B3956"/>
    </row>
    <row r="3957" spans="2:2">
      <c r="B3957"/>
    </row>
    <row r="3958" spans="2:2">
      <c r="B3958"/>
    </row>
    <row r="3959" spans="2:2">
      <c r="B3959"/>
    </row>
    <row r="3960" spans="2:2">
      <c r="B3960"/>
    </row>
    <row r="3961" spans="2:2">
      <c r="B3961"/>
    </row>
    <row r="3962" spans="2:2">
      <c r="B3962"/>
    </row>
    <row r="3963" spans="2:2">
      <c r="B3963"/>
    </row>
    <row r="3964" spans="2:2">
      <c r="B3964"/>
    </row>
    <row r="3965" spans="2:2">
      <c r="B3965"/>
    </row>
    <row r="3966" spans="2:2">
      <c r="B3966"/>
    </row>
    <row r="3967" spans="2:2">
      <c r="B3967"/>
    </row>
    <row r="3968" spans="2:2">
      <c r="B3968"/>
    </row>
    <row r="3969" spans="2:2">
      <c r="B3969"/>
    </row>
    <row r="3970" spans="2:2">
      <c r="B3970"/>
    </row>
    <row r="3971" spans="2:2">
      <c r="B3971"/>
    </row>
    <row r="3972" spans="2:2">
      <c r="B3972"/>
    </row>
    <row r="3973" spans="2:2">
      <c r="B3973"/>
    </row>
    <row r="3974" spans="2:2">
      <c r="B3974"/>
    </row>
    <row r="3975" spans="2:2">
      <c r="B3975"/>
    </row>
    <row r="3976" spans="2:2">
      <c r="B3976"/>
    </row>
    <row r="3977" spans="2:2">
      <c r="B3977"/>
    </row>
    <row r="3978" spans="2:2">
      <c r="B3978"/>
    </row>
    <row r="3979" spans="2:2">
      <c r="B3979"/>
    </row>
    <row r="3980" spans="2:2">
      <c r="B3980"/>
    </row>
    <row r="3981" spans="2:2">
      <c r="B3981"/>
    </row>
    <row r="3982" spans="2:2">
      <c r="B3982"/>
    </row>
    <row r="3983" spans="2:2">
      <c r="B3983"/>
    </row>
    <row r="3984" spans="2:2">
      <c r="B3984"/>
    </row>
    <row r="3985" spans="2:2">
      <c r="B3985"/>
    </row>
    <row r="3986" spans="2:2">
      <c r="B3986"/>
    </row>
    <row r="3987" spans="2:2">
      <c r="B3987"/>
    </row>
    <row r="3988" spans="2:2">
      <c r="B3988"/>
    </row>
    <row r="3989" spans="2:2">
      <c r="B3989"/>
    </row>
    <row r="3990" spans="2:2">
      <c r="B3990"/>
    </row>
    <row r="3991" spans="2:2">
      <c r="B3991"/>
    </row>
    <row r="3992" spans="2:2">
      <c r="B3992"/>
    </row>
    <row r="3993" spans="2:2">
      <c r="B3993"/>
    </row>
    <row r="3994" spans="2:2">
      <c r="B3994"/>
    </row>
    <row r="3995" spans="2:2">
      <c r="B3995"/>
    </row>
    <row r="3996" spans="2:2">
      <c r="B3996"/>
    </row>
    <row r="3997" spans="2:2">
      <c r="B3997"/>
    </row>
    <row r="3998" spans="2:2">
      <c r="B3998"/>
    </row>
    <row r="3999" spans="2:2">
      <c r="B3999"/>
    </row>
    <row r="4000" spans="2:2">
      <c r="B4000"/>
    </row>
    <row r="4001" spans="2:2">
      <c r="B4001"/>
    </row>
    <row r="4002" spans="2:2">
      <c r="B4002"/>
    </row>
    <row r="4003" spans="2:2">
      <c r="B4003"/>
    </row>
    <row r="4004" spans="2:2">
      <c r="B4004"/>
    </row>
    <row r="4005" spans="2:2">
      <c r="B4005"/>
    </row>
    <row r="4006" spans="2:2">
      <c r="B4006"/>
    </row>
    <row r="4007" spans="2:2">
      <c r="B4007"/>
    </row>
    <row r="4008" spans="2:2">
      <c r="B4008"/>
    </row>
    <row r="4009" spans="2:2">
      <c r="B4009"/>
    </row>
    <row r="4010" spans="2:2">
      <c r="B4010"/>
    </row>
    <row r="4011" spans="2:2">
      <c r="B4011"/>
    </row>
    <row r="4012" spans="2:2">
      <c r="B4012"/>
    </row>
    <row r="4013" spans="2:2">
      <c r="B4013"/>
    </row>
    <row r="4014" spans="2:2">
      <c r="B4014"/>
    </row>
    <row r="4015" spans="2:2">
      <c r="B4015"/>
    </row>
    <row r="4016" spans="2:2">
      <c r="B4016"/>
    </row>
    <row r="4017" spans="2:2">
      <c r="B4017"/>
    </row>
    <row r="4018" spans="2:2">
      <c r="B4018"/>
    </row>
    <row r="4019" spans="2:2">
      <c r="B4019"/>
    </row>
    <row r="4020" spans="2:2">
      <c r="B4020"/>
    </row>
    <row r="4021" spans="2:2">
      <c r="B4021"/>
    </row>
    <row r="4022" spans="2:2">
      <c r="B4022"/>
    </row>
    <row r="4023" spans="2:2">
      <c r="B4023"/>
    </row>
    <row r="4024" spans="2:2">
      <c r="B4024"/>
    </row>
    <row r="4025" spans="2:2">
      <c r="B4025"/>
    </row>
    <row r="4026" spans="2:2">
      <c r="B4026"/>
    </row>
    <row r="4027" spans="2:2">
      <c r="B4027"/>
    </row>
    <row r="4028" spans="2:2">
      <c r="B4028"/>
    </row>
    <row r="4029" spans="2:2">
      <c r="B4029"/>
    </row>
    <row r="4030" spans="2:2">
      <c r="B4030"/>
    </row>
    <row r="4031" spans="2:2">
      <c r="B4031"/>
    </row>
    <row r="4032" spans="2:2">
      <c r="B4032"/>
    </row>
    <row r="4033" spans="2:2">
      <c r="B4033"/>
    </row>
    <row r="4034" spans="2:2">
      <c r="B4034"/>
    </row>
    <row r="4035" spans="2:2">
      <c r="B4035"/>
    </row>
    <row r="4036" spans="2:2">
      <c r="B4036"/>
    </row>
    <row r="4037" spans="2:2">
      <c r="B4037"/>
    </row>
    <row r="4038" spans="2:2">
      <c r="B4038"/>
    </row>
    <row r="4039" spans="2:2">
      <c r="B4039"/>
    </row>
    <row r="4040" spans="2:2">
      <c r="B4040"/>
    </row>
    <row r="4041" spans="2:2">
      <c r="B4041"/>
    </row>
    <row r="4042" spans="2:2">
      <c r="B4042"/>
    </row>
    <row r="4043" spans="2:2">
      <c r="B4043"/>
    </row>
    <row r="4044" spans="2:2">
      <c r="B4044"/>
    </row>
    <row r="4045" spans="2:2">
      <c r="B4045"/>
    </row>
    <row r="4046" spans="2:2">
      <c r="B4046"/>
    </row>
    <row r="4047" spans="2:2">
      <c r="B4047"/>
    </row>
    <row r="4048" spans="2:2">
      <c r="B4048"/>
    </row>
    <row r="4049" spans="2:2">
      <c r="B4049"/>
    </row>
    <row r="4050" spans="2:2">
      <c r="B4050"/>
    </row>
    <row r="4051" spans="2:2">
      <c r="B4051"/>
    </row>
    <row r="4052" spans="2:2">
      <c r="B4052"/>
    </row>
    <row r="4053" spans="2:2">
      <c r="B4053"/>
    </row>
    <row r="4054" spans="2:2">
      <c r="B4054"/>
    </row>
    <row r="4055" spans="2:2">
      <c r="B4055"/>
    </row>
    <row r="4056" spans="2:2">
      <c r="B4056"/>
    </row>
    <row r="4057" spans="2:2">
      <c r="B4057"/>
    </row>
    <row r="4058" spans="2:2">
      <c r="B4058"/>
    </row>
    <row r="4059" spans="2:2">
      <c r="B4059"/>
    </row>
    <row r="4060" spans="2:2">
      <c r="B4060"/>
    </row>
    <row r="4061" spans="2:2">
      <c r="B4061"/>
    </row>
    <row r="4062" spans="2:2">
      <c r="B4062"/>
    </row>
    <row r="4063" spans="2:2">
      <c r="B4063"/>
    </row>
    <row r="4064" spans="2:2">
      <c r="B4064"/>
    </row>
    <row r="4065" spans="2:2">
      <c r="B4065"/>
    </row>
    <row r="4066" spans="2:2">
      <c r="B4066"/>
    </row>
    <row r="4067" spans="2:2">
      <c r="B4067"/>
    </row>
    <row r="4068" spans="2:2">
      <c r="B4068"/>
    </row>
    <row r="4069" spans="2:2">
      <c r="B4069"/>
    </row>
    <row r="4070" spans="2:2">
      <c r="B4070"/>
    </row>
    <row r="4071" spans="2:2">
      <c r="B4071"/>
    </row>
    <row r="4072" spans="2:2">
      <c r="B4072"/>
    </row>
    <row r="4073" spans="2:2">
      <c r="B4073"/>
    </row>
    <row r="4074" spans="2:2">
      <c r="B4074"/>
    </row>
    <row r="4075" spans="2:2">
      <c r="B4075"/>
    </row>
    <row r="4076" spans="2:2">
      <c r="B4076"/>
    </row>
    <row r="4077" spans="2:2">
      <c r="B4077"/>
    </row>
    <row r="4078" spans="2:2">
      <c r="B4078"/>
    </row>
    <row r="4079" spans="2:2">
      <c r="B4079"/>
    </row>
    <row r="4080" spans="2:2">
      <c r="B4080"/>
    </row>
    <row r="4081" spans="2:2">
      <c r="B4081"/>
    </row>
    <row r="4082" spans="2:2">
      <c r="B4082"/>
    </row>
    <row r="4083" spans="2:2">
      <c r="B4083"/>
    </row>
    <row r="4084" spans="2:2">
      <c r="B4084"/>
    </row>
    <row r="4085" spans="2:2">
      <c r="B4085"/>
    </row>
    <row r="4086" spans="2:2">
      <c r="B4086"/>
    </row>
    <row r="4087" spans="2:2">
      <c r="B4087"/>
    </row>
    <row r="4088" spans="2:2">
      <c r="B4088"/>
    </row>
    <row r="4089" spans="2:2">
      <c r="B4089"/>
    </row>
    <row r="4090" spans="2:2">
      <c r="B4090"/>
    </row>
    <row r="4091" spans="2:2">
      <c r="B4091"/>
    </row>
    <row r="4092" spans="2:2">
      <c r="B4092"/>
    </row>
    <row r="4093" spans="2:2">
      <c r="B4093"/>
    </row>
    <row r="4094" spans="2:2">
      <c r="B4094"/>
    </row>
    <row r="4095" spans="2:2">
      <c r="B4095"/>
    </row>
    <row r="4096" spans="2:2">
      <c r="B4096"/>
    </row>
    <row r="4097" spans="2:2">
      <c r="B4097"/>
    </row>
    <row r="4098" spans="2:2">
      <c r="B4098"/>
    </row>
    <row r="4099" spans="2:2">
      <c r="B4099"/>
    </row>
    <row r="4100" spans="2:2">
      <c r="B4100"/>
    </row>
    <row r="4101" spans="2:2">
      <c r="B4101"/>
    </row>
    <row r="4102" spans="2:2">
      <c r="B4102"/>
    </row>
    <row r="4103" spans="2:2">
      <c r="B4103"/>
    </row>
    <row r="4104" spans="2:2">
      <c r="B4104"/>
    </row>
    <row r="4105" spans="2:2">
      <c r="B4105"/>
    </row>
    <row r="4106" spans="2:2">
      <c r="B4106"/>
    </row>
    <row r="4107" spans="2:2">
      <c r="B4107"/>
    </row>
    <row r="4108" spans="2:2">
      <c r="B4108"/>
    </row>
    <row r="4109" spans="2:2">
      <c r="B4109"/>
    </row>
    <row r="4110" spans="2:2">
      <c r="B4110"/>
    </row>
    <row r="4111" spans="2:2">
      <c r="B4111"/>
    </row>
    <row r="4112" spans="2:2">
      <c r="B4112"/>
    </row>
    <row r="4113" spans="2:2">
      <c r="B4113"/>
    </row>
    <row r="4114" spans="2:2">
      <c r="B4114"/>
    </row>
    <row r="4115" spans="2:2">
      <c r="B4115"/>
    </row>
    <row r="4116" spans="2:2">
      <c r="B4116"/>
    </row>
    <row r="4117" spans="2:2">
      <c r="B4117"/>
    </row>
    <row r="4118" spans="2:2">
      <c r="B4118"/>
    </row>
    <row r="4119" spans="2:2">
      <c r="B4119"/>
    </row>
    <row r="4120" spans="2:2">
      <c r="B4120"/>
    </row>
    <row r="4121" spans="2:2">
      <c r="B4121"/>
    </row>
    <row r="4122" spans="2:2">
      <c r="B4122"/>
    </row>
    <row r="4123" spans="2:2">
      <c r="B4123"/>
    </row>
    <row r="4124" spans="2:2">
      <c r="B4124"/>
    </row>
    <row r="4125" spans="2:2">
      <c r="B4125"/>
    </row>
    <row r="4126" spans="2:2">
      <c r="B4126"/>
    </row>
    <row r="4127" spans="2:2">
      <c r="B4127"/>
    </row>
    <row r="4128" spans="2:2">
      <c r="B4128"/>
    </row>
    <row r="4129" spans="2:2">
      <c r="B4129"/>
    </row>
    <row r="4130" spans="2:2">
      <c r="B4130"/>
    </row>
    <row r="4131" spans="2:2">
      <c r="B4131"/>
    </row>
    <row r="4132" spans="2:2">
      <c r="B4132"/>
    </row>
    <row r="4133" spans="2:2">
      <c r="B4133"/>
    </row>
    <row r="4134" spans="2:2">
      <c r="B4134"/>
    </row>
    <row r="4135" spans="2:2">
      <c r="B4135"/>
    </row>
    <row r="4136" spans="2:2">
      <c r="B4136"/>
    </row>
    <row r="4137" spans="2:2">
      <c r="B4137"/>
    </row>
    <row r="4138" spans="2:2">
      <c r="B4138"/>
    </row>
    <row r="4139" spans="2:2">
      <c r="B4139"/>
    </row>
    <row r="4140" spans="2:2">
      <c r="B4140"/>
    </row>
    <row r="4141" spans="2:2">
      <c r="B4141"/>
    </row>
    <row r="4142" spans="2:2">
      <c r="B4142"/>
    </row>
    <row r="4143" spans="2:2">
      <c r="B4143"/>
    </row>
    <row r="4144" spans="2:2">
      <c r="B4144"/>
    </row>
    <row r="4145" spans="2:2">
      <c r="B4145"/>
    </row>
    <row r="4146" spans="2:2">
      <c r="B4146"/>
    </row>
    <row r="4147" spans="2:2">
      <c r="B4147"/>
    </row>
    <row r="4148" spans="2:2">
      <c r="B4148"/>
    </row>
    <row r="4149" spans="2:2">
      <c r="B4149"/>
    </row>
    <row r="4150" spans="2:2">
      <c r="B4150"/>
    </row>
    <row r="4151" spans="2:2">
      <c r="B4151"/>
    </row>
    <row r="4152" spans="2:2">
      <c r="B4152"/>
    </row>
    <row r="4153" spans="2:2">
      <c r="B4153"/>
    </row>
    <row r="4154" spans="2:2">
      <c r="B4154"/>
    </row>
    <row r="4155" spans="2:2">
      <c r="B4155"/>
    </row>
    <row r="4156" spans="2:2">
      <c r="B4156"/>
    </row>
    <row r="4157" spans="2:2">
      <c r="B4157"/>
    </row>
    <row r="4158" spans="2:2">
      <c r="B4158"/>
    </row>
    <row r="4159" spans="2:2">
      <c r="B4159"/>
    </row>
    <row r="4160" spans="2:2">
      <c r="B4160"/>
    </row>
    <row r="4161" spans="2:2">
      <c r="B4161"/>
    </row>
    <row r="4162" spans="2:2">
      <c r="B4162"/>
    </row>
    <row r="4163" spans="2:2">
      <c r="B4163"/>
    </row>
    <row r="4164" spans="2:2">
      <c r="B4164"/>
    </row>
    <row r="4165" spans="2:2">
      <c r="B4165"/>
    </row>
    <row r="4166" spans="2:2">
      <c r="B4166"/>
    </row>
    <row r="4167" spans="2:2">
      <c r="B4167"/>
    </row>
    <row r="4168" spans="2:2">
      <c r="B4168"/>
    </row>
    <row r="4169" spans="2:2">
      <c r="B4169"/>
    </row>
    <row r="4170" spans="2:2">
      <c r="B4170"/>
    </row>
    <row r="4171" spans="2:2">
      <c r="B4171"/>
    </row>
    <row r="4172" spans="2:2">
      <c r="B4172"/>
    </row>
    <row r="4173" spans="2:2">
      <c r="B4173"/>
    </row>
    <row r="4174" spans="2:2">
      <c r="B4174"/>
    </row>
    <row r="4175" spans="2:2">
      <c r="B4175"/>
    </row>
    <row r="4176" spans="2:2">
      <c r="B4176"/>
    </row>
    <row r="4177" spans="2:2">
      <c r="B4177"/>
    </row>
    <row r="4178" spans="2:2">
      <c r="B4178"/>
    </row>
    <row r="4179" spans="2:2">
      <c r="B4179"/>
    </row>
    <row r="4180" spans="2:2">
      <c r="B4180"/>
    </row>
    <row r="4181" spans="2:2">
      <c r="B4181"/>
    </row>
    <row r="4182" spans="2:2">
      <c r="B4182"/>
    </row>
    <row r="4183" spans="2:2">
      <c r="B4183"/>
    </row>
    <row r="4184" spans="2:2">
      <c r="B4184"/>
    </row>
    <row r="4185" spans="2:2">
      <c r="B4185"/>
    </row>
    <row r="4186" spans="2:2">
      <c r="B4186"/>
    </row>
    <row r="4187" spans="2:2">
      <c r="B4187"/>
    </row>
    <row r="4188" spans="2:2">
      <c r="B4188"/>
    </row>
    <row r="4189" spans="2:2">
      <c r="B4189"/>
    </row>
    <row r="4190" spans="2:2">
      <c r="B4190"/>
    </row>
    <row r="4191" spans="2:2">
      <c r="B4191"/>
    </row>
    <row r="4192" spans="2:2">
      <c r="B4192"/>
    </row>
    <row r="4193" spans="2:2">
      <c r="B4193"/>
    </row>
    <row r="4194" spans="2:2">
      <c r="B4194"/>
    </row>
    <row r="4195" spans="2:2">
      <c r="B4195"/>
    </row>
    <row r="4196" spans="2:2">
      <c r="B4196"/>
    </row>
    <row r="4197" spans="2:2">
      <c r="B4197"/>
    </row>
    <row r="4198" spans="2:2">
      <c r="B4198"/>
    </row>
    <row r="4199" spans="2:2">
      <c r="B4199"/>
    </row>
    <row r="4200" spans="2:2">
      <c r="B4200"/>
    </row>
    <row r="4201" spans="2:2">
      <c r="B4201"/>
    </row>
    <row r="4202" spans="2:2">
      <c r="B4202"/>
    </row>
    <row r="4203" spans="2:2">
      <c r="B4203"/>
    </row>
    <row r="4204" spans="2:2">
      <c r="B4204"/>
    </row>
    <row r="4205" spans="2:2">
      <c r="B4205"/>
    </row>
    <row r="4206" spans="2:2">
      <c r="B4206"/>
    </row>
    <row r="4207" spans="2:2">
      <c r="B4207"/>
    </row>
    <row r="4208" spans="2:2">
      <c r="B4208"/>
    </row>
    <row r="4209" spans="2:2">
      <c r="B4209"/>
    </row>
    <row r="4210" spans="2:2">
      <c r="B4210"/>
    </row>
    <row r="4211" spans="2:2">
      <c r="B4211"/>
    </row>
    <row r="4212" spans="2:2">
      <c r="B4212"/>
    </row>
    <row r="4213" spans="2:2">
      <c r="B4213"/>
    </row>
    <row r="4214" spans="2:2">
      <c r="B4214"/>
    </row>
    <row r="4215" spans="2:2">
      <c r="B4215"/>
    </row>
    <row r="4216" spans="2:2">
      <c r="B4216"/>
    </row>
    <row r="4217" spans="2:2">
      <c r="B4217"/>
    </row>
    <row r="4218" spans="2:2">
      <c r="B4218"/>
    </row>
    <row r="4219" spans="2:2">
      <c r="B4219"/>
    </row>
    <row r="4220" spans="2:2">
      <c r="B4220"/>
    </row>
    <row r="4221" spans="2:2">
      <c r="B4221"/>
    </row>
    <row r="4222" spans="2:2">
      <c r="B4222"/>
    </row>
    <row r="4223" spans="2:2">
      <c r="B4223"/>
    </row>
    <row r="4224" spans="2:2">
      <c r="B4224"/>
    </row>
    <row r="4225" spans="2:2">
      <c r="B4225"/>
    </row>
    <row r="4226" spans="2:2">
      <c r="B4226"/>
    </row>
    <row r="4227" spans="2:2">
      <c r="B4227"/>
    </row>
    <row r="4228" spans="2:2">
      <c r="B4228"/>
    </row>
    <row r="4229" spans="2:2">
      <c r="B4229"/>
    </row>
    <row r="4230" spans="2:2">
      <c r="B4230"/>
    </row>
    <row r="4231" spans="2:2">
      <c r="B4231"/>
    </row>
    <row r="4232" spans="2:2">
      <c r="B4232"/>
    </row>
    <row r="4233" spans="2:2">
      <c r="B4233"/>
    </row>
    <row r="4234" spans="2:2">
      <c r="B4234"/>
    </row>
    <row r="4235" spans="2:2">
      <c r="B4235"/>
    </row>
    <row r="4236" spans="2:2">
      <c r="B4236"/>
    </row>
    <row r="4237" spans="2:2">
      <c r="B4237"/>
    </row>
    <row r="4238" spans="2:2">
      <c r="B4238"/>
    </row>
    <row r="4239" spans="2:2">
      <c r="B4239"/>
    </row>
    <row r="4240" spans="2:2">
      <c r="B4240"/>
    </row>
    <row r="4241" spans="2:2">
      <c r="B4241"/>
    </row>
    <row r="4242" spans="2:2">
      <c r="B4242"/>
    </row>
    <row r="4243" spans="2:2">
      <c r="B4243"/>
    </row>
    <row r="4244" spans="2:2">
      <c r="B4244"/>
    </row>
    <row r="4245" spans="2:2">
      <c r="B4245"/>
    </row>
    <row r="4246" spans="2:2">
      <c r="B4246"/>
    </row>
    <row r="4247" spans="2:2">
      <c r="B4247"/>
    </row>
    <row r="4248" spans="2:2">
      <c r="B4248"/>
    </row>
    <row r="4249" spans="2:2">
      <c r="B4249"/>
    </row>
  </sheetData>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140"/>
  <sheetViews>
    <sheetView tabSelected="1" zoomScale="70" zoomScaleNormal="70" workbookViewId="0"/>
  </sheetViews>
  <sheetFormatPr defaultColWidth="11.42578125" defaultRowHeight="12.6"/>
  <cols>
    <col min="1" max="1" width="26.28515625" style="22" bestFit="1" customWidth="1"/>
    <col min="2" max="2" width="10.140625" bestFit="1" customWidth="1"/>
    <col min="3" max="3" width="11.5703125" bestFit="1" customWidth="1"/>
    <col min="9" max="9" width="29.28515625" customWidth="1"/>
  </cols>
  <sheetData>
    <row r="1" spans="1:13" ht="34.5">
      <c r="A1" s="2" t="s">
        <v>5</v>
      </c>
      <c r="B1" s="2" t="s">
        <v>25</v>
      </c>
      <c r="C1" s="2" t="s">
        <v>26</v>
      </c>
      <c r="D1" s="2" t="s">
        <v>27</v>
      </c>
      <c r="E1" s="2" t="s">
        <v>2</v>
      </c>
      <c r="F1" s="2" t="s">
        <v>0</v>
      </c>
      <c r="G1" s="2" t="s">
        <v>3</v>
      </c>
      <c r="H1" s="2" t="s">
        <v>28</v>
      </c>
      <c r="I1" s="2" t="s">
        <v>29</v>
      </c>
      <c r="J1" s="2" t="s">
        <v>30</v>
      </c>
      <c r="K1" s="4" t="s">
        <v>31</v>
      </c>
      <c r="L1" s="2" t="s">
        <v>32</v>
      </c>
      <c r="M1" s="2" t="s">
        <v>33</v>
      </c>
    </row>
    <row r="2" spans="1:13" ht="92.1">
      <c r="A2" s="22" t="s">
        <v>21</v>
      </c>
      <c r="B2" s="3" t="s">
        <v>34</v>
      </c>
      <c r="C2" s="3" t="s">
        <v>35</v>
      </c>
      <c r="D2" s="3" t="s">
        <v>36</v>
      </c>
      <c r="E2" s="3" t="s">
        <v>37</v>
      </c>
      <c r="F2" s="3" t="s">
        <v>38</v>
      </c>
      <c r="G2" s="3" t="s">
        <v>39</v>
      </c>
      <c r="H2" s="3" t="s">
        <v>40</v>
      </c>
      <c r="I2" s="3" t="str">
        <f>HYPERLINK("http://www.jccm.es/sede/tramite/IA5","AUTORIZACION ADMINISTRATIVA DE CENTROS SOCIALES")</f>
        <v>AUTORIZACION ADMINISTRATIVA DE CENTROS SOCIALES</v>
      </c>
      <c r="J2" s="3" t="s">
        <v>41</v>
      </c>
      <c r="K2" s="3" t="s">
        <v>41</v>
      </c>
      <c r="L2" s="3" t="s">
        <v>42</v>
      </c>
      <c r="M2" s="3" t="s">
        <v>42</v>
      </c>
    </row>
    <row r="3" spans="1:13" ht="103.5">
      <c r="A3" s="22" t="s">
        <v>21</v>
      </c>
      <c r="B3" s="3" t="s">
        <v>43</v>
      </c>
      <c r="C3" s="3" t="s">
        <v>44</v>
      </c>
      <c r="D3" s="3" t="s">
        <v>45</v>
      </c>
      <c r="E3" s="3" t="s">
        <v>46</v>
      </c>
      <c r="F3" s="3" t="s">
        <v>38</v>
      </c>
      <c r="G3" s="3" t="s">
        <v>47</v>
      </c>
      <c r="H3" s="3" t="s">
        <v>48</v>
      </c>
      <c r="I3" s="3" t="str">
        <f>HYPERLINK("http://www.jccm.es/sede/tramite/D22","TARJETA DE ESTACIONAMIENTO PARA PERSONAS CON DISCAPACIDAD CON MOVILIDAD REDUCIDA")</f>
        <v>TARJETA DE ESTACIONAMIENTO PARA PERSONAS CON DISCAPACIDAD CON MOVILIDAD REDUCIDA</v>
      </c>
      <c r="J3" s="3" t="s">
        <v>42</v>
      </c>
      <c r="K3" s="3" t="s">
        <v>41</v>
      </c>
      <c r="L3" s="3" t="s">
        <v>42</v>
      </c>
      <c r="M3" s="3" t="s">
        <v>41</v>
      </c>
    </row>
    <row r="4" spans="1:13" ht="103.5">
      <c r="A4" s="22" t="s">
        <v>21</v>
      </c>
      <c r="B4" s="3" t="s">
        <v>49</v>
      </c>
      <c r="C4" s="3" t="s">
        <v>50</v>
      </c>
      <c r="D4" s="3" t="s">
        <v>51</v>
      </c>
      <c r="E4" s="3" t="s">
        <v>37</v>
      </c>
      <c r="F4" s="3" t="s">
        <v>38</v>
      </c>
      <c r="G4" s="3" t="s">
        <v>47</v>
      </c>
      <c r="H4" s="3" t="s">
        <v>52</v>
      </c>
      <c r="I4" s="3" t="str">
        <f>HYPERLINK("http://www.jccm.es/sede/tramite/LLL","RECONOCIMIENTO OFICIAL DE LA ENTIDAD DE ADIESTRAMIENTO DE PERROS DE ASISTENCIA, BAJA O MODIFICACION DE DATOS EN EL REGISTRO DE UNIDADES DE VINCULACION.")</f>
        <v>RECONOCIMIENTO OFICIAL DE LA ENTIDAD DE ADIESTRAMIENTO DE PERROS DE ASISTENCIA, BAJA O MODIFICACION DE DATOS EN EL REGISTRO DE UNIDADES DE VINCULACION.</v>
      </c>
      <c r="J4" s="3" t="s">
        <v>41</v>
      </c>
      <c r="K4" s="3" t="s">
        <v>41</v>
      </c>
      <c r="L4" s="3" t="s">
        <v>42</v>
      </c>
      <c r="M4" s="3" t="s">
        <v>41</v>
      </c>
    </row>
    <row r="5" spans="1:13" ht="126.6">
      <c r="A5" s="22" t="s">
        <v>21</v>
      </c>
      <c r="B5" s="3" t="s">
        <v>53</v>
      </c>
      <c r="C5" s="3" t="s">
        <v>54</v>
      </c>
      <c r="D5" s="3" t="s">
        <v>55</v>
      </c>
      <c r="E5" s="3" t="s">
        <v>37</v>
      </c>
      <c r="F5" s="3" t="s">
        <v>38</v>
      </c>
      <c r="G5" s="3" t="s">
        <v>39</v>
      </c>
      <c r="H5" s="3" t="s">
        <v>56</v>
      </c>
      <c r="I5" s="3" t="str">
        <f>HYPERLINK("http://www.jccm.es/sede/tramite/LSS","COMUNICACION DE CAMBIO DE ENTIDAD TITULAR O GESTORA, CESE DE ACTIVIDAD DE UN SERVICIO SOCIAL")</f>
        <v>COMUNICACION DE CAMBIO DE ENTIDAD TITULAR O GESTORA, CESE DE ACTIVIDAD DE UN SERVICIO SOCIAL</v>
      </c>
      <c r="J5" s="3" t="s">
        <v>41</v>
      </c>
      <c r="K5" s="3" t="s">
        <v>41</v>
      </c>
      <c r="L5" s="3" t="s">
        <v>42</v>
      </c>
      <c r="M5" s="3" t="s">
        <v>41</v>
      </c>
    </row>
    <row r="6" spans="1:13" ht="69">
      <c r="A6" s="22" t="s">
        <v>21</v>
      </c>
      <c r="B6" s="3" t="s">
        <v>57</v>
      </c>
      <c r="C6" s="3" t="s">
        <v>58</v>
      </c>
      <c r="D6" s="3" t="s">
        <v>36</v>
      </c>
      <c r="E6" s="3" t="s">
        <v>37</v>
      </c>
      <c r="F6" s="3" t="s">
        <v>38</v>
      </c>
      <c r="G6" s="3" t="s">
        <v>38</v>
      </c>
      <c r="H6" s="3" t="s">
        <v>59</v>
      </c>
      <c r="I6" s="3" t="str">
        <f>HYPERLINK("http://www.jccm.es/sede/tramite/LZB","AUTORIZACION ADMINISTRATIVA DE SERVICIOS SOCIALES")</f>
        <v>AUTORIZACION ADMINISTRATIVA DE SERVICIOS SOCIALES</v>
      </c>
      <c r="J6" s="3" t="s">
        <v>41</v>
      </c>
      <c r="K6" s="3" t="s">
        <v>41</v>
      </c>
      <c r="L6" s="3" t="s">
        <v>42</v>
      </c>
      <c r="M6" s="3" t="s">
        <v>41</v>
      </c>
    </row>
    <row r="7" spans="1:13" ht="103.5">
      <c r="A7" s="22" t="s">
        <v>21</v>
      </c>
      <c r="B7" s="3" t="s">
        <v>60</v>
      </c>
      <c r="C7" s="3" t="s">
        <v>61</v>
      </c>
      <c r="D7" s="3" t="s">
        <v>62</v>
      </c>
      <c r="E7" s="3" t="s">
        <v>37</v>
      </c>
      <c r="F7" s="3" t="s">
        <v>38</v>
      </c>
      <c r="G7" s="3" t="s">
        <v>63</v>
      </c>
      <c r="H7" s="3" t="s">
        <v>64</v>
      </c>
      <c r="I7" s="3" t="str">
        <f>HYPERLINK("http://www.jccm.es/sede/tramite/C13","ACREDITACION E INSCRIPCION REGISTRAL DE ENTIDADES DE VOLUNTARIADO")</f>
        <v>ACREDITACION E INSCRIPCION REGISTRAL DE ENTIDADES DE VOLUNTARIADO</v>
      </c>
      <c r="J7" s="3" t="s">
        <v>42</v>
      </c>
      <c r="K7" s="3" t="s">
        <v>41</v>
      </c>
      <c r="L7" s="3" t="s">
        <v>42</v>
      </c>
      <c r="M7" s="3" t="s">
        <v>41</v>
      </c>
    </row>
    <row r="8" spans="1:13" ht="92.1">
      <c r="A8" s="22" t="s">
        <v>21</v>
      </c>
      <c r="B8" s="3" t="s">
        <v>65</v>
      </c>
      <c r="C8" s="3" t="s">
        <v>66</v>
      </c>
      <c r="D8" s="3" t="s">
        <v>51</v>
      </c>
      <c r="E8" s="3" t="s">
        <v>37</v>
      </c>
      <c r="F8" s="3" t="s">
        <v>38</v>
      </c>
      <c r="G8" s="3" t="s">
        <v>47</v>
      </c>
      <c r="H8" s="3" t="s">
        <v>67</v>
      </c>
      <c r="I8" s="3" t="str">
        <f>HYPERLINK("http://www.jccm.es/sede/tramite/LLJ","PROCEDIMIENTO DE RECONOCIMIENTO DE LA UNIDAD DE VINCULACION CON PERRO DE ASISTENCIA/ PERRO DE ASISTENCIA JUBILADO,SOLICITUD DE DUPLICADOS CARNETS Y DISTINTIVOS Y BAJA EN EL REGISTRO DE UNIDADES")</f>
        <v>PROCEDIMIENTO DE RECONOCIMIENTO DE LA UNIDAD DE VINCULACION CON PERRO DE ASISTENCIA/ PERRO DE ASISTENCIA JUBILADO,SOLICITUD DE DUPLICADOS CARNETS Y DISTINTIVOS Y BAJA EN EL REGISTRO DE UNIDADES</v>
      </c>
      <c r="J8" s="3" t="s">
        <v>42</v>
      </c>
      <c r="K8" s="3" t="s">
        <v>41</v>
      </c>
      <c r="L8" s="3" t="s">
        <v>42</v>
      </c>
      <c r="M8" s="3" t="s">
        <v>41</v>
      </c>
    </row>
    <row r="9" spans="1:13" ht="92.1">
      <c r="A9" s="22" t="s">
        <v>21</v>
      </c>
      <c r="B9" s="3" t="s">
        <v>68</v>
      </c>
      <c r="C9" s="3" t="s">
        <v>69</v>
      </c>
      <c r="D9" s="3" t="s">
        <v>70</v>
      </c>
      <c r="E9" s="3" t="s">
        <v>46</v>
      </c>
      <c r="F9" s="3" t="s">
        <v>38</v>
      </c>
      <c r="G9" s="3" t="s">
        <v>71</v>
      </c>
      <c r="H9" s="3" t="s">
        <v>72</v>
      </c>
      <c r="I9" s="3" t="str">
        <f>HYPERLINK("http://www.jccm.es/sede/tramite/IR9","AYUDAS ECONOMICAS DE APOYO POR ACOGIMIENTO FAMILIAR DE MENORES.")</f>
        <v>AYUDAS ECONOMICAS DE APOYO POR ACOGIMIENTO FAMILIAR DE MENORES.</v>
      </c>
      <c r="J9" s="3" t="s">
        <v>42</v>
      </c>
      <c r="K9" s="3" t="s">
        <v>41</v>
      </c>
      <c r="L9" s="3" t="s">
        <v>42</v>
      </c>
      <c r="M9" s="3" t="s">
        <v>41</v>
      </c>
    </row>
    <row r="10" spans="1:13" ht="92.1">
      <c r="A10" s="22" t="s">
        <v>21</v>
      </c>
      <c r="B10" s="3" t="s">
        <v>73</v>
      </c>
      <c r="C10" s="3" t="s">
        <v>74</v>
      </c>
      <c r="D10" s="3" t="s">
        <v>45</v>
      </c>
      <c r="E10" s="3" t="s">
        <v>46</v>
      </c>
      <c r="F10" s="3" t="s">
        <v>38</v>
      </c>
      <c r="G10" s="3" t="s">
        <v>71</v>
      </c>
      <c r="H10" s="3" t="s">
        <v>75</v>
      </c>
      <c r="I10" s="3" t="str">
        <f>HYPERLINK("http://www.jccm.es/sede/tramite/H80","AYUDAS DE AUTONOMIA PERSONAL")</f>
        <v>AYUDAS DE AUTONOMIA PERSONAL</v>
      </c>
      <c r="J10" s="3" t="s">
        <v>42</v>
      </c>
      <c r="K10" s="3" t="s">
        <v>41</v>
      </c>
      <c r="L10" s="3" t="s">
        <v>42</v>
      </c>
      <c r="M10" s="3" t="s">
        <v>41</v>
      </c>
    </row>
    <row r="11" spans="1:13" ht="126.6">
      <c r="A11" s="22" t="s">
        <v>21</v>
      </c>
      <c r="B11" s="3" t="s">
        <v>76</v>
      </c>
      <c r="C11" s="3" t="s">
        <v>77</v>
      </c>
      <c r="D11" s="3" t="s">
        <v>62</v>
      </c>
      <c r="E11" s="3" t="s">
        <v>46</v>
      </c>
      <c r="F11" s="3" t="s">
        <v>38</v>
      </c>
      <c r="G11" s="3" t="s">
        <v>78</v>
      </c>
      <c r="H11" s="3" t="s">
        <v>79</v>
      </c>
      <c r="I11" s="3" t="str">
        <f>HYPERLINK("http://www.jccm.es/sede/tramite/609","AYUDAS DE EMERGENCIA SOCIAL")</f>
        <v>AYUDAS DE EMERGENCIA SOCIAL</v>
      </c>
      <c r="J11" s="3" t="s">
        <v>42</v>
      </c>
      <c r="K11" s="3" t="s">
        <v>41</v>
      </c>
      <c r="L11" s="3" t="s">
        <v>42</v>
      </c>
      <c r="M11" s="3" t="s">
        <v>41</v>
      </c>
    </row>
    <row r="12" spans="1:13" ht="126.6">
      <c r="A12" s="22" t="s">
        <v>21</v>
      </c>
      <c r="B12" s="3" t="s">
        <v>80</v>
      </c>
      <c r="C12" s="3" t="s">
        <v>81</v>
      </c>
      <c r="D12" s="3" t="s">
        <v>45</v>
      </c>
      <c r="E12" s="3" t="s">
        <v>46</v>
      </c>
      <c r="F12" s="3" t="s">
        <v>38</v>
      </c>
      <c r="G12" s="3" t="s">
        <v>78</v>
      </c>
      <c r="H12" s="3" t="s">
        <v>82</v>
      </c>
      <c r="I12" s="3" t="str">
        <f>HYPERLINK("http://www.jccm.es/sede/tramite/IIJ","AYUDAS ECONOMICAS A FAMILIAS NUMEROSAS")</f>
        <v>AYUDAS ECONOMICAS A FAMILIAS NUMEROSAS</v>
      </c>
      <c r="J12" s="3" t="s">
        <v>42</v>
      </c>
      <c r="K12" s="3" t="s">
        <v>41</v>
      </c>
      <c r="L12" s="3" t="s">
        <v>42</v>
      </c>
      <c r="M12" s="3" t="s">
        <v>41</v>
      </c>
    </row>
    <row r="13" spans="1:13" ht="126.6">
      <c r="A13" s="22" t="s">
        <v>21</v>
      </c>
      <c r="B13" s="3" t="s">
        <v>83</v>
      </c>
      <c r="C13" s="3" t="s">
        <v>84</v>
      </c>
      <c r="D13" s="3" t="s">
        <v>62</v>
      </c>
      <c r="E13" s="3" t="s">
        <v>46</v>
      </c>
      <c r="F13" s="3" t="s">
        <v>38</v>
      </c>
      <c r="G13" s="3" t="s">
        <v>78</v>
      </c>
      <c r="H13" s="3" t="s">
        <v>85</v>
      </c>
      <c r="I13" s="3" t="str">
        <f>HYPERLINK("http://www.jccm.es/sede/tramite/513","INGRESO MINIMO DE SOLIDARIDAD")</f>
        <v>INGRESO MINIMO DE SOLIDARIDAD</v>
      </c>
      <c r="J13" s="3" t="s">
        <v>42</v>
      </c>
      <c r="K13" s="3" t="s">
        <v>41</v>
      </c>
      <c r="L13" s="3" t="s">
        <v>42</v>
      </c>
      <c r="M13" s="3" t="s">
        <v>41</v>
      </c>
    </row>
    <row r="14" spans="1:13" ht="126.6">
      <c r="A14" s="22" t="s">
        <v>21</v>
      </c>
      <c r="B14" s="3" t="s">
        <v>86</v>
      </c>
      <c r="C14" s="3" t="s">
        <v>87</v>
      </c>
      <c r="D14" s="3" t="s">
        <v>45</v>
      </c>
      <c r="E14" s="3" t="s">
        <v>46</v>
      </c>
      <c r="F14" s="3" t="s">
        <v>38</v>
      </c>
      <c r="G14" s="3" t="s">
        <v>78</v>
      </c>
      <c r="H14" s="3" t="s">
        <v>88</v>
      </c>
      <c r="I14" s="3" t="str">
        <f>HYPERLINK("http://www.jccm.es/sede/tramite/IYY","SOLICITUD DE AYUDA PARA EL MANTENIMIENTO DE LAS CONDICIONES BASICAS DE VIDA")</f>
        <v>SOLICITUD DE AYUDA PARA EL MANTENIMIENTO DE LAS CONDICIONES BASICAS DE VIDA</v>
      </c>
      <c r="J14" s="3" t="s">
        <v>42</v>
      </c>
      <c r="K14" s="3" t="s">
        <v>41</v>
      </c>
      <c r="L14" s="3" t="s">
        <v>42</v>
      </c>
      <c r="M14" s="3" t="s">
        <v>41</v>
      </c>
    </row>
    <row r="15" spans="1:13" ht="230.1">
      <c r="A15" s="22" t="s">
        <v>21</v>
      </c>
      <c r="B15" s="3" t="s">
        <v>89</v>
      </c>
      <c r="C15" s="3" t="s">
        <v>90</v>
      </c>
      <c r="D15" s="3" t="s">
        <v>70</v>
      </c>
      <c r="E15" s="3" t="s">
        <v>46</v>
      </c>
      <c r="F15" s="3" t="s">
        <v>38</v>
      </c>
      <c r="G15" s="3" t="s">
        <v>91</v>
      </c>
      <c r="H15" s="3" t="s">
        <v>92</v>
      </c>
      <c r="I15" s="3" t="str">
        <f>HYPERLINK("http://www.jccm.es/sede/tramite/IMZ","SOLICITUD DE SUBVENCIONES A EATIM, MUNICIPIOS, MANCOMUNIDADES Y AGRUPACIONES MUNICIPALES PARA EL DESARROLLO DE PROGRAMAS Y PROYECTOS DE ATENCION A PERSONAS MAYORES.")</f>
        <v>SOLICITUD DE SUBVENCIONES A EATIM, MUNICIPIOS, MANCOMUNIDADES Y AGRUPACIONES MUNICIPALES PARA EL DESARROLLO DE PROGRAMAS Y PROYECTOS DE ATENCION A PERSONAS MAYORES.</v>
      </c>
      <c r="J15" s="3" t="s">
        <v>41</v>
      </c>
      <c r="K15" s="3" t="s">
        <v>41</v>
      </c>
      <c r="L15" s="3" t="s">
        <v>42</v>
      </c>
      <c r="M15" s="3" t="s">
        <v>41</v>
      </c>
    </row>
    <row r="16" spans="1:13" ht="126.6">
      <c r="A16" s="22" t="s">
        <v>12</v>
      </c>
      <c r="B16" s="3" t="s">
        <v>93</v>
      </c>
      <c r="C16" s="3" t="s">
        <v>94</v>
      </c>
      <c r="D16" s="3" t="s">
        <v>95</v>
      </c>
      <c r="E16" s="3" t="s">
        <v>95</v>
      </c>
      <c r="F16" s="3" t="s">
        <v>96</v>
      </c>
      <c r="G16" s="3" t="s">
        <v>97</v>
      </c>
      <c r="H16" s="3" t="s">
        <v>98</v>
      </c>
      <c r="I16" s="3" t="str">
        <f>HYPERLINK("http://www.jccm.es/sede/tramite/194","COMUNICACION DE CELEBRACION DE ACTIVIDADES FERIALES EN CASTILLA-LA MANCHA. REGISTRO.")</f>
        <v>COMUNICACION DE CELEBRACION DE ACTIVIDADES FERIALES EN CASTILLA-LA MANCHA. REGISTRO.</v>
      </c>
      <c r="J16" s="3" t="s">
        <v>42</v>
      </c>
      <c r="K16" s="3" t="s">
        <v>41</v>
      </c>
      <c r="L16" s="3" t="s">
        <v>42</v>
      </c>
      <c r="M16" s="3" t="s">
        <v>42</v>
      </c>
    </row>
    <row r="17" spans="1:13" ht="126.6">
      <c r="A17" s="22" t="s">
        <v>12</v>
      </c>
      <c r="B17" s="3" t="s">
        <v>99</v>
      </c>
      <c r="C17" s="3" t="s">
        <v>100</v>
      </c>
      <c r="D17" s="3" t="s">
        <v>95</v>
      </c>
      <c r="E17" s="3" t="s">
        <v>95</v>
      </c>
      <c r="F17" s="3" t="s">
        <v>96</v>
      </c>
      <c r="G17" s="3" t="s">
        <v>97</v>
      </c>
      <c r="H17" s="3" t="s">
        <v>101</v>
      </c>
      <c r="I17" s="3" t="str">
        <f>HYPERLINK("http://www.jccm.es/sede/tramite/JPU","COMUNICACION VENTAS EN LIQUIDACION")</f>
        <v>COMUNICACION VENTAS EN LIQUIDACION</v>
      </c>
      <c r="J17" s="3" t="s">
        <v>42</v>
      </c>
      <c r="K17" s="3" t="s">
        <v>41</v>
      </c>
      <c r="L17" s="3" t="s">
        <v>42</v>
      </c>
      <c r="M17" s="3" t="s">
        <v>41</v>
      </c>
    </row>
    <row r="18" spans="1:13" ht="126.6">
      <c r="A18" s="22" t="s">
        <v>12</v>
      </c>
      <c r="B18" s="3" t="s">
        <v>102</v>
      </c>
      <c r="C18" s="3" t="s">
        <v>103</v>
      </c>
      <c r="D18" s="3" t="s">
        <v>95</v>
      </c>
      <c r="E18" s="3" t="s">
        <v>95</v>
      </c>
      <c r="F18" s="3" t="s">
        <v>96</v>
      </c>
      <c r="G18" s="3" t="s">
        <v>97</v>
      </c>
      <c r="H18" s="3" t="s">
        <v>104</v>
      </c>
      <c r="I18" s="3" t="str">
        <f>HYPERLINK("http://www.jccm.es/sede/tramite/JPV","COMUNICACION VENTAS AUTOMATICAS")</f>
        <v>COMUNICACION VENTAS AUTOMATICAS</v>
      </c>
      <c r="J18" s="3" t="s">
        <v>42</v>
      </c>
      <c r="K18" s="3" t="s">
        <v>41</v>
      </c>
      <c r="L18" s="3" t="s">
        <v>42</v>
      </c>
      <c r="M18" s="3" t="s">
        <v>41</v>
      </c>
    </row>
    <row r="19" spans="1:13" ht="126.6">
      <c r="A19" s="22" t="s">
        <v>12</v>
      </c>
      <c r="B19" s="3" t="s">
        <v>105</v>
      </c>
      <c r="C19" s="3" t="s">
        <v>106</v>
      </c>
      <c r="D19" s="3" t="s">
        <v>95</v>
      </c>
      <c r="E19" s="3" t="s">
        <v>95</v>
      </c>
      <c r="F19" s="3" t="s">
        <v>96</v>
      </c>
      <c r="G19" s="3" t="s">
        <v>97</v>
      </c>
      <c r="H19" s="3" t="s">
        <v>107</v>
      </c>
      <c r="I19" s="3" t="str">
        <f>HYPERLINK("http://www.jccm.es/sede/tramite/JPW","COMUNICACION VENTA SUBASTA PUBLICA")</f>
        <v>COMUNICACION VENTA SUBASTA PUBLICA</v>
      </c>
      <c r="J19" s="3" t="s">
        <v>42</v>
      </c>
      <c r="K19" s="3" t="s">
        <v>41</v>
      </c>
      <c r="L19" s="3" t="s">
        <v>42</v>
      </c>
      <c r="M19" s="3" t="s">
        <v>41</v>
      </c>
    </row>
    <row r="20" spans="1:13" ht="345">
      <c r="A20" s="22" t="s">
        <v>12</v>
      </c>
      <c r="B20" s="3" t="s">
        <v>108</v>
      </c>
      <c r="C20" s="3" t="s">
        <v>109</v>
      </c>
      <c r="D20" s="3" t="s">
        <v>95</v>
      </c>
      <c r="E20" s="3" t="s">
        <v>95</v>
      </c>
      <c r="F20" s="3" t="s">
        <v>96</v>
      </c>
      <c r="G20" s="3" t="s">
        <v>97</v>
      </c>
      <c r="H20" s="3" t="s">
        <v>110</v>
      </c>
      <c r="I20" s="3" t="str">
        <f>HYPERLINK("http://www.jccm.es/sede/tramite/IH4","DECLARACION RESPONSABLE PARA EL INICIO/MODIFICACIONES DE CAMPAMENTO DE TURISMO EN CASTILLA-LA MANCHA E INSCRIPCION EN  EL REGISTRO GENERAL DE EMPRESAS, ESTABLECIMIENTOS Y ASOCIACIONES DE EMPRESAS TURI")</f>
        <v>DECLARACION RESPONSABLE PARA EL INICIO/MODIFICACIONES DE CAMPAMENTO DE TURISMO EN CASTILLA-LA MANCHA E INSCRIPCION EN  EL REGISTRO GENERAL DE EMPRESAS, ESTABLECIMIENTOS Y ASOCIACIONES DE EMPRESAS TURI</v>
      </c>
      <c r="J20" s="3" t="s">
        <v>42</v>
      </c>
      <c r="K20" s="3" t="s">
        <v>41</v>
      </c>
      <c r="L20" s="3" t="s">
        <v>42</v>
      </c>
      <c r="M20" s="3" t="s">
        <v>42</v>
      </c>
    </row>
    <row r="21" spans="1:13" ht="183.95">
      <c r="A21" s="22" t="s">
        <v>12</v>
      </c>
      <c r="B21" s="3" t="s">
        <v>111</v>
      </c>
      <c r="C21" s="3" t="s">
        <v>112</v>
      </c>
      <c r="D21" s="3" t="s">
        <v>45</v>
      </c>
      <c r="E21" s="3" t="s">
        <v>46</v>
      </c>
      <c r="F21" s="3" t="s">
        <v>96</v>
      </c>
      <c r="G21" s="3" t="s">
        <v>113</v>
      </c>
      <c r="H21" s="3" t="s">
        <v>114</v>
      </c>
      <c r="I21" s="3" t="str">
        <f>HYPERLINK("http://www.jccm.es/sede/tramite/IJI","AUTORIZACION DE PERSONAS O ENTIDADES ESPECIALIZADAS QUE PRETENDAN DESARROLLAR LA ACTIVIDAD DE AUDITORIA DEL SISTEMA DE PREVENCION.")</f>
        <v>AUTORIZACION DE PERSONAS O ENTIDADES ESPECIALIZADAS QUE PRETENDAN DESARROLLAR LA ACTIVIDAD DE AUDITORIA DEL SISTEMA DE PREVENCION.</v>
      </c>
      <c r="J21" s="3" t="s">
        <v>42</v>
      </c>
      <c r="K21" s="3" t="s">
        <v>41</v>
      </c>
      <c r="L21" s="3" t="s">
        <v>42</v>
      </c>
      <c r="M21" s="3" t="s">
        <v>41</v>
      </c>
    </row>
    <row r="22" spans="1:13" ht="138">
      <c r="A22" s="22" t="s">
        <v>12</v>
      </c>
      <c r="B22" s="3" t="s">
        <v>115</v>
      </c>
      <c r="C22" s="3" t="s">
        <v>116</v>
      </c>
      <c r="D22" s="3" t="s">
        <v>95</v>
      </c>
      <c r="E22" s="3" t="s">
        <v>95</v>
      </c>
      <c r="F22" s="3" t="s">
        <v>96</v>
      </c>
      <c r="G22" s="3" t="s">
        <v>113</v>
      </c>
      <c r="H22" s="3" t="s">
        <v>117</v>
      </c>
      <c r="I22" s="3" t="str">
        <f>HYPERLINK("http://www.jccm.es/sede/tramite/IJF","COMUNICACION DE APERTURA DE CENTROS DE TRABAJO.")</f>
        <v>COMUNICACION DE APERTURA DE CENTROS DE TRABAJO.</v>
      </c>
      <c r="J22" s="3" t="s">
        <v>41</v>
      </c>
      <c r="K22" s="3" t="s">
        <v>41</v>
      </c>
      <c r="L22" s="3" t="s">
        <v>42</v>
      </c>
      <c r="M22" s="3" t="s">
        <v>42</v>
      </c>
    </row>
    <row r="23" spans="1:13" ht="138">
      <c r="A23" s="22" t="s">
        <v>12</v>
      </c>
      <c r="B23" s="3" t="s">
        <v>118</v>
      </c>
      <c r="C23" s="3" t="s">
        <v>119</v>
      </c>
      <c r="D23" s="3" t="s">
        <v>62</v>
      </c>
      <c r="E23" s="3" t="s">
        <v>37</v>
      </c>
      <c r="F23" s="3" t="s">
        <v>96</v>
      </c>
      <c r="G23" s="3" t="s">
        <v>120</v>
      </c>
      <c r="H23" s="3" t="s">
        <v>121</v>
      </c>
      <c r="I23" s="3" t="str">
        <f>HYPERLINK("http://www.jccm.es/sede/tramite/IJ8","AUTORIZACION DE EMPRESAS DE TRABAJO TEMPORAL")</f>
        <v>AUTORIZACION DE EMPRESAS DE TRABAJO TEMPORAL</v>
      </c>
      <c r="J23" s="3" t="s">
        <v>41</v>
      </c>
      <c r="K23" s="3" t="s">
        <v>41</v>
      </c>
      <c r="L23" s="3" t="s">
        <v>42</v>
      </c>
      <c r="M23" s="3" t="s">
        <v>42</v>
      </c>
    </row>
    <row r="24" spans="1:13" ht="138">
      <c r="A24" s="22" t="s">
        <v>12</v>
      </c>
      <c r="B24" s="3" t="s">
        <v>122</v>
      </c>
      <c r="C24" s="3" t="s">
        <v>123</v>
      </c>
      <c r="D24" s="3" t="s">
        <v>70</v>
      </c>
      <c r="E24" s="3" t="s">
        <v>37</v>
      </c>
      <c r="F24" s="3" t="s">
        <v>96</v>
      </c>
      <c r="G24" s="3" t="s">
        <v>120</v>
      </c>
      <c r="H24" s="3" t="s">
        <v>124</v>
      </c>
      <c r="I24" s="3" t="str">
        <f>HYPERLINK("http://www.jccm.es/sede/tramite/I95","SOLICITUD DE AUTORIZACION PARA LA PARTICIPACION DE MENORES DE 16 AÑOS EN ESPECTACULOS PUBLICOS.")</f>
        <v>SOLICITUD DE AUTORIZACION PARA LA PARTICIPACION DE MENORES DE 16 AÑOS EN ESPECTACULOS PUBLICOS.</v>
      </c>
      <c r="J24" s="3" t="s">
        <v>42</v>
      </c>
      <c r="K24" s="3" t="s">
        <v>41</v>
      </c>
      <c r="L24" s="3" t="s">
        <v>42</v>
      </c>
      <c r="M24" s="3" t="s">
        <v>41</v>
      </c>
    </row>
    <row r="25" spans="1:13" ht="138">
      <c r="A25" s="22" t="s">
        <v>12</v>
      </c>
      <c r="B25" s="3" t="s">
        <v>125</v>
      </c>
      <c r="C25" s="3" t="s">
        <v>126</v>
      </c>
      <c r="D25" s="3" t="s">
        <v>95</v>
      </c>
      <c r="E25" s="3" t="s">
        <v>95</v>
      </c>
      <c r="F25" s="3" t="s">
        <v>96</v>
      </c>
      <c r="G25" s="3" t="s">
        <v>113</v>
      </c>
      <c r="H25" s="3" t="s">
        <v>127</v>
      </c>
      <c r="I25" s="3" t="str">
        <f>HYPERLINK("http://www.jccm.es/sede/tramite/G41","COMUNICACION INICIO DE ACTIVIDAD COMO AGENCIA DE COLOCACION Y ACTUALIZACION DE CENTROS DE TRABAJO")</f>
        <v>COMUNICACION INICIO DE ACTIVIDAD COMO AGENCIA DE COLOCACION Y ACTUALIZACION DE CENTROS DE TRABAJO</v>
      </c>
      <c r="J25" s="3" t="s">
        <v>42</v>
      </c>
      <c r="K25" s="3" t="s">
        <v>41</v>
      </c>
      <c r="L25" s="3" t="s">
        <v>42</v>
      </c>
      <c r="M25" s="3" t="s">
        <v>42</v>
      </c>
    </row>
    <row r="26" spans="1:13" ht="138">
      <c r="A26" s="22" t="s">
        <v>12</v>
      </c>
      <c r="B26" s="3" t="s">
        <v>128</v>
      </c>
      <c r="C26" s="3" t="s">
        <v>129</v>
      </c>
      <c r="D26" s="3" t="s">
        <v>45</v>
      </c>
      <c r="E26" s="3" t="s">
        <v>37</v>
      </c>
      <c r="F26" s="3" t="s">
        <v>96</v>
      </c>
      <c r="G26" s="3" t="s">
        <v>130</v>
      </c>
      <c r="H26" s="3" t="s">
        <v>131</v>
      </c>
      <c r="I26" s="3" t="str">
        <f>HYPERLINK("http://www.jccm.es/sede/tramite/E86","REGISTRO DE CENTROS Y ENTIDADES QUE IMPARTEN FORMACION PROFESIONAL PARA EL EMPLEO EN CASTILLA-LA MANCHA")</f>
        <v>REGISTRO DE CENTROS Y ENTIDADES QUE IMPARTEN FORMACION PROFESIONAL PARA EL EMPLEO EN CASTILLA-LA MANCHA</v>
      </c>
      <c r="J26" s="3" t="s">
        <v>42</v>
      </c>
      <c r="K26" s="3" t="s">
        <v>41</v>
      </c>
      <c r="L26" s="3" t="s">
        <v>42</v>
      </c>
      <c r="M26" s="3" t="s">
        <v>41</v>
      </c>
    </row>
    <row r="27" spans="1:13" ht="126.6">
      <c r="A27" s="22" t="s">
        <v>12</v>
      </c>
      <c r="B27" s="3" t="s">
        <v>132</v>
      </c>
      <c r="C27" s="3" t="s">
        <v>133</v>
      </c>
      <c r="D27" s="3" t="s">
        <v>95</v>
      </c>
      <c r="E27" s="3" t="s">
        <v>95</v>
      </c>
      <c r="F27" s="3" t="s">
        <v>96</v>
      </c>
      <c r="G27" s="3" t="s">
        <v>97</v>
      </c>
      <c r="H27" s="3" t="s">
        <v>134</v>
      </c>
      <c r="I27" s="3" t="str">
        <f>HYPERLINK("http://www.jccm.es/sede/tramite/K0S","COMUNICACION DE VENTA DOMICILIARIA")</f>
        <v>COMUNICACION DE VENTA DOMICILIARIA</v>
      </c>
      <c r="J27" s="3" t="s">
        <v>42</v>
      </c>
      <c r="K27" s="3" t="s">
        <v>41</v>
      </c>
      <c r="L27" s="3" t="s">
        <v>42</v>
      </c>
      <c r="M27" s="3" t="s">
        <v>41</v>
      </c>
    </row>
    <row r="28" spans="1:13" ht="138">
      <c r="A28" s="22" t="s">
        <v>12</v>
      </c>
      <c r="B28" s="3" t="s">
        <v>135</v>
      </c>
      <c r="C28" s="3" t="s">
        <v>136</v>
      </c>
      <c r="D28" s="3" t="s">
        <v>95</v>
      </c>
      <c r="E28" s="3" t="s">
        <v>95</v>
      </c>
      <c r="F28" s="3" t="s">
        <v>96</v>
      </c>
      <c r="G28" s="3" t="s">
        <v>120</v>
      </c>
      <c r="H28" s="3" t="s">
        <v>137</v>
      </c>
      <c r="I28" s="3" t="str">
        <f>HYPERLINK("http://www.jccm.es/sede/tramite/KRW","COMUNICACION DE DESPLAZAMIENTO EN EL MARCO DE UNA PRESTACION DE SERVICIOS TRANSNACIONAL")</f>
        <v>COMUNICACION DE DESPLAZAMIENTO EN EL MARCO DE UNA PRESTACION DE SERVICIOS TRANSNACIONAL</v>
      </c>
      <c r="J28" s="3" t="s">
        <v>41</v>
      </c>
      <c r="K28" s="3" t="s">
        <v>41</v>
      </c>
      <c r="L28" s="3" t="s">
        <v>42</v>
      </c>
      <c r="M28" s="3" t="s">
        <v>41</v>
      </c>
    </row>
    <row r="29" spans="1:13" ht="161.1">
      <c r="A29" s="22" t="s">
        <v>12</v>
      </c>
      <c r="B29" s="3" t="s">
        <v>138</v>
      </c>
      <c r="C29" s="3" t="s">
        <v>139</v>
      </c>
      <c r="D29" s="3" t="s">
        <v>45</v>
      </c>
      <c r="E29" s="3" t="s">
        <v>46</v>
      </c>
      <c r="F29" s="3" t="s">
        <v>96</v>
      </c>
      <c r="G29" s="3" t="s">
        <v>130</v>
      </c>
      <c r="H29" s="3" t="s">
        <v>140</v>
      </c>
      <c r="I29" s="3" t="str">
        <f>HYPERLINK("http://www.jccm.es/sede/tramite/KS7","AUTORIZACION PARA LA REALIZACION DE ACCION FORMATIVA CONDUCENTE A LA OBTENCION  DE CERTIFICADO DE PROFESIONALIDAD REALIZADA POR EMPRESAS Y CENTROS DE INCIATIVA PRIVADA")</f>
        <v>AUTORIZACION PARA LA REALIZACION DE ACCION FORMATIVA CONDUCENTE A LA OBTENCION  DE CERTIFICADO DE PROFESIONALIDAD REALIZADA POR EMPRESAS Y CENTROS DE INCIATIVA PRIVADA</v>
      </c>
      <c r="J29" s="3" t="s">
        <v>41</v>
      </c>
      <c r="K29" s="3" t="s">
        <v>41</v>
      </c>
      <c r="L29" s="3" t="s">
        <v>42</v>
      </c>
      <c r="M29" s="3" t="s">
        <v>41</v>
      </c>
    </row>
    <row r="30" spans="1:13" ht="138">
      <c r="A30" s="22" t="s">
        <v>12</v>
      </c>
      <c r="B30" s="3" t="s">
        <v>141</v>
      </c>
      <c r="C30" s="3" t="s">
        <v>142</v>
      </c>
      <c r="D30" s="3" t="s">
        <v>95</v>
      </c>
      <c r="E30" s="3" t="s">
        <v>95</v>
      </c>
      <c r="F30" s="3" t="s">
        <v>96</v>
      </c>
      <c r="G30" s="3" t="s">
        <v>120</v>
      </c>
      <c r="H30" s="3" t="s">
        <v>143</v>
      </c>
      <c r="I30" s="3" t="str">
        <f>HYPERLINK("http://www.jccm.es/sede/tramite/L08","HUELGA: COMUNICACION A LA AUTORIDAD LABORAL")</f>
        <v>HUELGA: COMUNICACION A LA AUTORIDAD LABORAL</v>
      </c>
      <c r="J30" s="3" t="s">
        <v>42</v>
      </c>
      <c r="K30" s="3" t="s">
        <v>41</v>
      </c>
      <c r="L30" s="3" t="s">
        <v>42</v>
      </c>
      <c r="M30" s="3" t="s">
        <v>41</v>
      </c>
    </row>
    <row r="31" spans="1:13" ht="138">
      <c r="A31" s="22" t="s">
        <v>12</v>
      </c>
      <c r="B31" s="3" t="s">
        <v>144</v>
      </c>
      <c r="C31" s="3" t="s">
        <v>145</v>
      </c>
      <c r="D31" s="3" t="s">
        <v>95</v>
      </c>
      <c r="E31" s="3" t="s">
        <v>95</v>
      </c>
      <c r="F31" s="3" t="s">
        <v>96</v>
      </c>
      <c r="G31" s="3" t="s">
        <v>113</v>
      </c>
      <c r="H31" s="3" t="s">
        <v>146</v>
      </c>
      <c r="I31" s="3" t="str">
        <f>HYPERLINK("http://www.jccm.es/sede/tramite/L0K","HABILITACION DEL LIBRO DE SUBCONTRATACION EN EL SECTOR DE LA CONSTRUCCION.")</f>
        <v>HABILITACION DEL LIBRO DE SUBCONTRATACION EN EL SECTOR DE LA CONSTRUCCION.</v>
      </c>
      <c r="J31" s="3" t="s">
        <v>41</v>
      </c>
      <c r="K31" s="3" t="s">
        <v>41</v>
      </c>
      <c r="L31" s="3" t="s">
        <v>42</v>
      </c>
      <c r="M31" s="3" t="s">
        <v>41</v>
      </c>
    </row>
    <row r="32" spans="1:13" ht="138">
      <c r="A32" s="22" t="s">
        <v>12</v>
      </c>
      <c r="B32" s="3" t="s">
        <v>147</v>
      </c>
      <c r="C32" s="3" t="s">
        <v>148</v>
      </c>
      <c r="D32" s="3" t="s">
        <v>45</v>
      </c>
      <c r="E32" s="3" t="s">
        <v>37</v>
      </c>
      <c r="F32" s="3" t="s">
        <v>96</v>
      </c>
      <c r="G32" s="3" t="s">
        <v>113</v>
      </c>
      <c r="H32" s="3" t="s">
        <v>149</v>
      </c>
      <c r="I32" s="3" t="str">
        <f>HYPERLINK("http://www.jccm.es/sede/tramite/L95","AUTORIZACION PARA LA ADQUISICION DE LA CONDICION DE NUEVO MIEMBRO Y SOCIO DE LA RED EURES EN ESPAÑA.")</f>
        <v>AUTORIZACION PARA LA ADQUISICION DE LA CONDICION DE NUEVO MIEMBRO Y SOCIO DE LA RED EURES EN ESPAÑA.</v>
      </c>
      <c r="J32" s="3" t="s">
        <v>41</v>
      </c>
      <c r="K32" s="3" t="s">
        <v>41</v>
      </c>
      <c r="L32" s="3" t="s">
        <v>42</v>
      </c>
      <c r="M32" s="3" t="s">
        <v>41</v>
      </c>
    </row>
    <row r="33" spans="1:13" ht="161.1">
      <c r="A33" s="22" t="s">
        <v>12</v>
      </c>
      <c r="B33" s="3" t="s">
        <v>150</v>
      </c>
      <c r="C33" s="3" t="s">
        <v>151</v>
      </c>
      <c r="D33" s="3" t="s">
        <v>95</v>
      </c>
      <c r="E33" s="3" t="s">
        <v>95</v>
      </c>
      <c r="F33" s="3" t="s">
        <v>96</v>
      </c>
      <c r="G33" s="3" t="s">
        <v>113</v>
      </c>
      <c r="H33" s="3" t="s">
        <v>152</v>
      </c>
      <c r="I33" s="3" t="str">
        <f>HYPERLINK("http://www.jccm.es/sede/tramite/LD3","MEDIDAS EN MATERIA DE SUBVENCIONES PARA EL FOMENTO DEL EMPLEO, PARA PALIAR LOS EFECTOS DE LA CRISIS PROVOCADA POR EL COVID-19.")</f>
        <v>MEDIDAS EN MATERIA DE SUBVENCIONES PARA EL FOMENTO DEL EMPLEO, PARA PALIAR LOS EFECTOS DE LA CRISIS PROVOCADA POR EL COVID-19.</v>
      </c>
      <c r="J33" s="3" t="s">
        <v>41</v>
      </c>
      <c r="K33" s="3" t="s">
        <v>41</v>
      </c>
      <c r="L33" s="3" t="s">
        <v>42</v>
      </c>
      <c r="M33" s="3" t="s">
        <v>41</v>
      </c>
    </row>
    <row r="34" spans="1:13" ht="195.6">
      <c r="A34" s="22" t="s">
        <v>12</v>
      </c>
      <c r="B34" s="3" t="s">
        <v>153</v>
      </c>
      <c r="C34" s="3" t="s">
        <v>154</v>
      </c>
      <c r="D34" s="3" t="s">
        <v>95</v>
      </c>
      <c r="E34" s="3" t="s">
        <v>95</v>
      </c>
      <c r="F34" s="3" t="s">
        <v>96</v>
      </c>
      <c r="G34" s="3" t="s">
        <v>130</v>
      </c>
      <c r="H34" s="3" t="s">
        <v>155</v>
      </c>
      <c r="I34" s="3" t="str">
        <f>HYPERLINK("http://www.jccm.es/sede/tramite/LDT","DECLARACION RESPONSABLE SOBRE LA IMPARTICION EXCEPCIONAL DE LAS ACCIONES FORMATIVAS DE LA MODALIDAD PRESENCIAL DE FPPE")</f>
        <v>DECLARACION RESPONSABLE SOBRE LA IMPARTICION EXCEPCIONAL DE LAS ACCIONES FORMATIVAS DE LA MODALIDAD PRESENCIAL DE FPPE</v>
      </c>
      <c r="J34" s="3" t="s">
        <v>41</v>
      </c>
      <c r="K34" s="3" t="s">
        <v>41</v>
      </c>
      <c r="L34" s="3" t="s">
        <v>42</v>
      </c>
      <c r="M34" s="3" t="s">
        <v>41</v>
      </c>
    </row>
    <row r="35" spans="1:13" ht="207">
      <c r="A35" s="22" t="s">
        <v>12</v>
      </c>
      <c r="B35" s="3" t="s">
        <v>156</v>
      </c>
      <c r="C35" s="3" t="s">
        <v>157</v>
      </c>
      <c r="D35" s="3" t="s">
        <v>158</v>
      </c>
      <c r="E35" s="3" t="s">
        <v>37</v>
      </c>
      <c r="F35" s="3" t="s">
        <v>96</v>
      </c>
      <c r="G35" s="3" t="s">
        <v>120</v>
      </c>
      <c r="H35" s="3" t="s">
        <v>159</v>
      </c>
      <c r="I35" s="3" t="str">
        <f>HYPERLINK("http://www.jccm.es/sede/tramite/LGD","EXPEDIENTES DE SOLICITUD DE DECLARACION DE EMPRESA DEPENDIENTE O INTEGRANTE DE LA CADENA DE VALOR EN EXPEDIENTES DE REGULACION TEMPORAL DE EMPLEO")</f>
        <v>EXPEDIENTES DE SOLICITUD DE DECLARACION DE EMPRESA DEPENDIENTE O INTEGRANTE DE LA CADENA DE VALOR EN EXPEDIENTES DE REGULACION TEMPORAL DE EMPLEO</v>
      </c>
      <c r="J35" s="3" t="s">
        <v>41</v>
      </c>
      <c r="K35" s="3" t="s">
        <v>41</v>
      </c>
      <c r="L35" s="3" t="s">
        <v>42</v>
      </c>
      <c r="M35" s="3" t="s">
        <v>41</v>
      </c>
    </row>
    <row r="36" spans="1:13" ht="126.6">
      <c r="A36" s="22" t="s">
        <v>12</v>
      </c>
      <c r="B36" s="3" t="s">
        <v>160</v>
      </c>
      <c r="C36" s="3" t="s">
        <v>161</v>
      </c>
      <c r="D36" s="3" t="s">
        <v>95</v>
      </c>
      <c r="E36" s="3" t="s">
        <v>95</v>
      </c>
      <c r="F36" s="3" t="s">
        <v>96</v>
      </c>
      <c r="G36" s="3" t="s">
        <v>97</v>
      </c>
      <c r="H36" s="3" t="s">
        <v>162</v>
      </c>
      <c r="I36" s="3" t="str">
        <f>HYPERLINK("http://www.jccm.es/sede/tramite/IWH","COMUNICACION DE DATOS AL REGISTRO DE EMPRESAS DE VENTAS A DISTANCIA")</f>
        <v>COMUNICACION DE DATOS AL REGISTRO DE EMPRESAS DE VENTAS A DISTANCIA</v>
      </c>
      <c r="J36" s="3" t="s">
        <v>42</v>
      </c>
      <c r="K36" s="3" t="s">
        <v>41</v>
      </c>
      <c r="L36" s="3" t="s">
        <v>42</v>
      </c>
      <c r="M36" s="3" t="s">
        <v>42</v>
      </c>
    </row>
    <row r="37" spans="1:13" ht="230.1">
      <c r="A37" s="22" t="s">
        <v>12</v>
      </c>
      <c r="B37" s="3" t="s">
        <v>163</v>
      </c>
      <c r="C37" s="3" t="s">
        <v>164</v>
      </c>
      <c r="D37" s="3" t="s">
        <v>95</v>
      </c>
      <c r="E37" s="3" t="s">
        <v>95</v>
      </c>
      <c r="F37" s="3" t="s">
        <v>96</v>
      </c>
      <c r="G37" s="3" t="s">
        <v>97</v>
      </c>
      <c r="H37" s="3" t="s">
        <v>165</v>
      </c>
      <c r="I37" s="3" t="str">
        <f>HYPERLINK("http://www.jccm.es/sede/tramite/KOA","DECLARACION RESPONSABLE DE CESE DE ACTIVIDAD COMO ESTABLECIMIENTO HOTELERO DE CASTILLA-LA MANCHA Y BAJA EN EL REGISTRO GENERAL REGULADO EN EL DECRETO 5/2007, DE 22 DE ENERO")</f>
        <v>DECLARACION RESPONSABLE DE CESE DE ACTIVIDAD COMO ESTABLECIMIENTO HOTELERO DE CASTILLA-LA MANCHA Y BAJA EN EL REGISTRO GENERAL REGULADO EN EL DECRETO 5/2007, DE 22 DE ENERO</v>
      </c>
      <c r="J37" s="3" t="s">
        <v>42</v>
      </c>
      <c r="K37" s="3" t="s">
        <v>41</v>
      </c>
      <c r="L37" s="3" t="s">
        <v>42</v>
      </c>
      <c r="M37" s="3" t="s">
        <v>41</v>
      </c>
    </row>
    <row r="38" spans="1:13" ht="252.95">
      <c r="A38" s="22" t="s">
        <v>12</v>
      </c>
      <c r="B38" s="3" t="s">
        <v>166</v>
      </c>
      <c r="C38" s="3" t="s">
        <v>167</v>
      </c>
      <c r="D38" s="3" t="s">
        <v>95</v>
      </c>
      <c r="E38" s="3" t="s">
        <v>95</v>
      </c>
      <c r="F38" s="3" t="s">
        <v>96</v>
      </c>
      <c r="G38" s="3" t="s">
        <v>97</v>
      </c>
      <c r="H38" s="3" t="s">
        <v>168</v>
      </c>
      <c r="I38" s="3" t="str">
        <f>HYPERLINK("http://www.jccm.es/sede/tramite/139","DECLARACION RESPONSABLE DE INICIO DE ACTIVIDAD COMO ESTABLECIMIENTO HOTELERO DE CASTILLA-LA MANCHA E INSCRIPCION EN EL REGISTRO GENERAL REGULADO EN EL DECRETO 5/2007, DE 22 DE ENERO")</f>
        <v>DECLARACION RESPONSABLE DE INICIO DE ACTIVIDAD COMO ESTABLECIMIENTO HOTELERO DE CASTILLA-LA MANCHA E INSCRIPCION EN EL REGISTRO GENERAL REGULADO EN EL DECRETO 5/2007, DE 22 DE ENERO</v>
      </c>
      <c r="J38" s="3" t="s">
        <v>42</v>
      </c>
      <c r="K38" s="3" t="s">
        <v>41</v>
      </c>
      <c r="L38" s="3" t="s">
        <v>42</v>
      </c>
      <c r="M38" s="3" t="s">
        <v>42</v>
      </c>
    </row>
    <row r="39" spans="1:13" ht="276">
      <c r="A39" s="22" t="s">
        <v>12</v>
      </c>
      <c r="B39" s="3" t="s">
        <v>169</v>
      </c>
      <c r="C39" s="3" t="s">
        <v>170</v>
      </c>
      <c r="D39" s="3" t="s">
        <v>95</v>
      </c>
      <c r="E39" s="3" t="s">
        <v>95</v>
      </c>
      <c r="F39" s="3" t="s">
        <v>96</v>
      </c>
      <c r="G39" s="3" t="s">
        <v>97</v>
      </c>
      <c r="H39" s="3" t="s">
        <v>171</v>
      </c>
      <c r="I39" s="3" t="str">
        <f>HYPERLINK("http://www.jccm.es/sede/tramite/KO9","DECLARACION RESPONSABLE DE CAMBIO DE TITULARIDAD, CATEGORIA O DENOMINACION/MODIFICACION DE CAPACIDAD, COMO ESTABLECIMIENTO HOTELERO DE CASTILLA-LA MANCHA E INSCRIPCION  EN EL REGISTRO GENERAL REG")</f>
        <v>DECLARACION RESPONSABLE DE CAMBIO DE TITULARIDAD, CATEGORIA O DENOMINACION/MODIFICACION DE CAPACIDAD, COMO ESTABLECIMIENTO HOTELERO DE CASTILLA-LA MANCHA E INSCRIPCION  EN EL REGISTRO GENERAL REG</v>
      </c>
      <c r="J39" s="3" t="s">
        <v>42</v>
      </c>
      <c r="K39" s="3" t="s">
        <v>41</v>
      </c>
      <c r="L39" s="3" t="s">
        <v>42</v>
      </c>
      <c r="M39" s="3" t="s">
        <v>41</v>
      </c>
    </row>
    <row r="40" spans="1:13" ht="126.6">
      <c r="A40" s="22" t="s">
        <v>12</v>
      </c>
      <c r="B40" s="3" t="s">
        <v>172</v>
      </c>
      <c r="C40" s="3" t="s">
        <v>173</v>
      </c>
      <c r="D40" s="3" t="s">
        <v>45</v>
      </c>
      <c r="E40" s="3" t="s">
        <v>37</v>
      </c>
      <c r="F40" s="3" t="s">
        <v>96</v>
      </c>
      <c r="G40" s="3" t="s">
        <v>97</v>
      </c>
      <c r="H40" s="3" t="s">
        <v>174</v>
      </c>
      <c r="I40" s="3" t="str">
        <f>HYPERLINK("http://www.jccm.es/sede/tramite/KOW","MODIFICACION DE ACTIVIDAD/ES COMO EMPRESA DE TURISMO ACTIVO/ECOTURISMO")</f>
        <v>MODIFICACION DE ACTIVIDAD/ES COMO EMPRESA DE TURISMO ACTIVO/ECOTURISMO</v>
      </c>
      <c r="J40" s="3" t="s">
        <v>41</v>
      </c>
      <c r="K40" s="3" t="s">
        <v>41</v>
      </c>
      <c r="L40" s="3" t="s">
        <v>42</v>
      </c>
      <c r="M40" s="3" t="s">
        <v>41</v>
      </c>
    </row>
    <row r="41" spans="1:13" ht="172.5">
      <c r="A41" s="22" t="s">
        <v>12</v>
      </c>
      <c r="B41" s="3" t="s">
        <v>175</v>
      </c>
      <c r="C41" s="3" t="s">
        <v>176</v>
      </c>
      <c r="D41" s="3" t="s">
        <v>45</v>
      </c>
      <c r="E41" s="3" t="s">
        <v>37</v>
      </c>
      <c r="F41" s="3" t="s">
        <v>96</v>
      </c>
      <c r="G41" s="3" t="s">
        <v>97</v>
      </c>
      <c r="H41" s="3" t="s">
        <v>177</v>
      </c>
      <c r="I41" s="3" t="str">
        <f>HYPERLINK("http://www.jccm.es/sede/tramite/KOX","CAMBIO DE TITULARIDAD,  CAMBIO DE DENOMINACION, CESE TOTAL DE ACTIVIDAD/ES, O CESE PARCIAL DE ACTIVIDAD/ES, COMO EMPRESA DE TURISMO ACTIVO/ECOTURISMO")</f>
        <v>CAMBIO DE TITULARIDAD,  CAMBIO DE DENOMINACION, CESE TOTAL DE ACTIVIDAD/ES, O CESE PARCIAL DE ACTIVIDAD/ES, COMO EMPRESA DE TURISMO ACTIVO/ECOTURISMO</v>
      </c>
      <c r="J41" s="3" t="s">
        <v>41</v>
      </c>
      <c r="K41" s="3" t="s">
        <v>41</v>
      </c>
      <c r="L41" s="3" t="s">
        <v>42</v>
      </c>
      <c r="M41" s="3" t="s">
        <v>41</v>
      </c>
    </row>
    <row r="42" spans="1:13" ht="126.6">
      <c r="A42" s="22" t="s">
        <v>12</v>
      </c>
      <c r="B42" s="3" t="s">
        <v>178</v>
      </c>
      <c r="C42" s="3" t="s">
        <v>179</v>
      </c>
      <c r="D42" s="3" t="s">
        <v>45</v>
      </c>
      <c r="E42" s="3" t="s">
        <v>37</v>
      </c>
      <c r="F42" s="3" t="s">
        <v>96</v>
      </c>
      <c r="G42" s="3" t="s">
        <v>97</v>
      </c>
      <c r="H42" s="3" t="s">
        <v>180</v>
      </c>
      <c r="I42" s="3" t="str">
        <f>HYPERLINK("http://www.jccm.es/sede/tramite/ITB","DECLARACION RESPONSABLE DE INICIO DE ACTIVIDAD COMO EMPRESA DE TURISMO ACTIVO/ECOTURISMO")</f>
        <v>DECLARACION RESPONSABLE DE INICIO DE ACTIVIDAD COMO EMPRESA DE TURISMO ACTIVO/ECOTURISMO</v>
      </c>
      <c r="J42" s="3" t="s">
        <v>41</v>
      </c>
      <c r="K42" s="3" t="s">
        <v>41</v>
      </c>
      <c r="L42" s="3" t="s">
        <v>42</v>
      </c>
      <c r="M42" s="3" t="s">
        <v>42</v>
      </c>
    </row>
    <row r="43" spans="1:13" ht="126.6">
      <c r="A43" s="22" t="s">
        <v>12</v>
      </c>
      <c r="B43" s="3" t="s">
        <v>181</v>
      </c>
      <c r="C43" s="3" t="s">
        <v>182</v>
      </c>
      <c r="D43" s="3" t="s">
        <v>95</v>
      </c>
      <c r="E43" s="3" t="s">
        <v>95</v>
      </c>
      <c r="F43" s="3" t="s">
        <v>96</v>
      </c>
      <c r="G43" s="3" t="s">
        <v>97</v>
      </c>
      <c r="H43" s="3" t="s">
        <v>183</v>
      </c>
      <c r="I43" s="3" t="str">
        <f>HYPERLINK("http://www.jccm.es/sede/tramite/KOK","MODIFICACION DE CAPACIDAD COMO ALOJAMIENTO DE TURISMO RURAL EN EL REGISTRO GENERAL.")</f>
        <v>MODIFICACION DE CAPACIDAD COMO ALOJAMIENTO DE TURISMO RURAL EN EL REGISTRO GENERAL.</v>
      </c>
      <c r="J43" s="3" t="s">
        <v>41</v>
      </c>
      <c r="K43" s="3" t="s">
        <v>41</v>
      </c>
      <c r="L43" s="3" t="s">
        <v>42</v>
      </c>
      <c r="M43" s="3" t="s">
        <v>41</v>
      </c>
    </row>
    <row r="44" spans="1:13" ht="149.44999999999999">
      <c r="A44" s="22" t="s">
        <v>12</v>
      </c>
      <c r="B44" s="3" t="s">
        <v>184</v>
      </c>
      <c r="C44" s="3" t="s">
        <v>185</v>
      </c>
      <c r="D44" s="3" t="s">
        <v>95</v>
      </c>
      <c r="E44" s="3" t="s">
        <v>95</v>
      </c>
      <c r="F44" s="3" t="s">
        <v>96</v>
      </c>
      <c r="G44" s="3" t="s">
        <v>97</v>
      </c>
      <c r="H44" s="3" t="s">
        <v>186</v>
      </c>
      <c r="I44" s="3" t="str">
        <f>HYPERLINK("http://www.jccm.es/sede/tramite/IWI","INICIO DE ACTIVIDAD COMO ALOJAMIENTOS DE TURISMO RURAL DE CASTILLA-LA MANCHA E INSCRIPCION EN EL REGISTRO GENERAL.")</f>
        <v>INICIO DE ACTIVIDAD COMO ALOJAMIENTOS DE TURISMO RURAL DE CASTILLA-LA MANCHA E INSCRIPCION EN EL REGISTRO GENERAL.</v>
      </c>
      <c r="J44" s="3" t="s">
        <v>41</v>
      </c>
      <c r="K44" s="3" t="s">
        <v>41</v>
      </c>
      <c r="L44" s="3" t="s">
        <v>42</v>
      </c>
      <c r="M44" s="3" t="s">
        <v>42</v>
      </c>
    </row>
    <row r="45" spans="1:13" ht="195.6">
      <c r="A45" s="22" t="s">
        <v>12</v>
      </c>
      <c r="B45" s="3" t="s">
        <v>187</v>
      </c>
      <c r="C45" s="3" t="s">
        <v>188</v>
      </c>
      <c r="D45" s="3" t="s">
        <v>95</v>
      </c>
      <c r="E45" s="3" t="s">
        <v>95</v>
      </c>
      <c r="F45" s="3" t="s">
        <v>96</v>
      </c>
      <c r="G45" s="3" t="s">
        <v>97</v>
      </c>
      <c r="H45" s="3" t="s">
        <v>189</v>
      </c>
      <c r="I45" s="3" t="str">
        <f>HYPERLINK("http://www.jccm.es/sede/tramite/KOL","CESE DE ACTIVIDAD, CAMBIO DE TITULARIDAD Y CAMBIO  DE DENOMINACION COMO ALOJAMIENTO DE TURISMO RURAL DE CASTILLA-LA MANCHA Y BAJA EN EL REGISTRO GENERAL")</f>
        <v>CESE DE ACTIVIDAD, CAMBIO DE TITULARIDAD Y CAMBIO  DE DENOMINACION COMO ALOJAMIENTO DE TURISMO RURAL DE CASTILLA-LA MANCHA Y BAJA EN EL REGISTRO GENERAL</v>
      </c>
      <c r="J45" s="3" t="s">
        <v>41</v>
      </c>
      <c r="K45" s="3" t="s">
        <v>41</v>
      </c>
      <c r="L45" s="3" t="s">
        <v>42</v>
      </c>
      <c r="M45" s="3" t="s">
        <v>41</v>
      </c>
    </row>
    <row r="46" spans="1:13" ht="195.6">
      <c r="A46" s="22" t="s">
        <v>12</v>
      </c>
      <c r="B46" s="3" t="s">
        <v>190</v>
      </c>
      <c r="C46" s="3" t="s">
        <v>191</v>
      </c>
      <c r="D46" s="3" t="s">
        <v>192</v>
      </c>
      <c r="E46" s="3" t="s">
        <v>37</v>
      </c>
      <c r="F46" s="3" t="s">
        <v>96</v>
      </c>
      <c r="G46" s="3" t="s">
        <v>113</v>
      </c>
      <c r="H46" s="3" t="s">
        <v>193</v>
      </c>
      <c r="I46" s="3" t="str">
        <f>HYPERLINK("http://www.jccm.es/sede/tramite/J4D","DECLARACION DE EXCEPCIONALIDAD PARA EL CUMPLIMIENTO ALTERNATIVO DE LA CUOTA DE RESERVA DE PLANTILLA A FAVOR DE TRABAJADORES CON DISCAPACIDAD")</f>
        <v>DECLARACION DE EXCEPCIONALIDAD PARA EL CUMPLIMIENTO ALTERNATIVO DE LA CUOTA DE RESERVA DE PLANTILLA A FAVOR DE TRABAJADORES CON DISCAPACIDAD</v>
      </c>
      <c r="J46" s="3" t="s">
        <v>41</v>
      </c>
      <c r="K46" s="3" t="s">
        <v>41</v>
      </c>
      <c r="L46" s="3" t="s">
        <v>42</v>
      </c>
      <c r="M46" s="3" t="s">
        <v>41</v>
      </c>
    </row>
    <row r="47" spans="1:13" ht="183.95">
      <c r="A47" s="22" t="s">
        <v>12</v>
      </c>
      <c r="B47" s="3" t="s">
        <v>194</v>
      </c>
      <c r="C47" s="3" t="s">
        <v>195</v>
      </c>
      <c r="D47" s="3" t="s">
        <v>192</v>
      </c>
      <c r="E47" s="3" t="s">
        <v>37</v>
      </c>
      <c r="F47" s="3" t="s">
        <v>96</v>
      </c>
      <c r="G47" s="3" t="s">
        <v>113</v>
      </c>
      <c r="H47" s="3" t="s">
        <v>196</v>
      </c>
      <c r="I47" s="3" t="str">
        <f>HYPERLINK("http://www.jccm.es/sede/tramite/KIX","COMUNICACION DE MEDIDAS ALTERNATIVAS AL CUMPLIMIENTO DE LA OBLIGACION DE RESERVA DEL 2% DE PLANTILLA A FAVOR DE TRABAJADORES CON DISCAPACIDAD.")</f>
        <v>COMUNICACION DE MEDIDAS ALTERNATIVAS AL CUMPLIMIENTO DE LA OBLIGACION DE RESERVA DEL 2% DE PLANTILLA A FAVOR DE TRABAJADORES CON DISCAPACIDAD.</v>
      </c>
      <c r="J47" s="3" t="s">
        <v>41</v>
      </c>
      <c r="K47" s="3" t="s">
        <v>41</v>
      </c>
      <c r="L47" s="3" t="s">
        <v>42</v>
      </c>
      <c r="M47" s="3" t="s">
        <v>41</v>
      </c>
    </row>
    <row r="48" spans="1:13" ht="138">
      <c r="A48" s="22" t="s">
        <v>12</v>
      </c>
      <c r="B48" s="3" t="s">
        <v>197</v>
      </c>
      <c r="C48" s="3" t="s">
        <v>198</v>
      </c>
      <c r="D48" s="3" t="s">
        <v>95</v>
      </c>
      <c r="E48" s="3" t="s">
        <v>95</v>
      </c>
      <c r="F48" s="3" t="s">
        <v>96</v>
      </c>
      <c r="G48" s="3" t="s">
        <v>113</v>
      </c>
      <c r="H48" s="3" t="s">
        <v>199</v>
      </c>
      <c r="I48" s="3" t="str">
        <f>HYPERLINK("http://www.jccm.es/sede/tramite/JW1","AUTORIZACION PARA LA COMUNICACION DE LA CONTRATACION A TRAVES DE LA APLICACION CONTRAT@")</f>
        <v>AUTORIZACION PARA LA COMUNICACION DE LA CONTRATACION A TRAVES DE LA APLICACION CONTRAT@</v>
      </c>
      <c r="J48" s="3" t="s">
        <v>42</v>
      </c>
      <c r="K48" s="3" t="s">
        <v>41</v>
      </c>
      <c r="L48" s="3" t="s">
        <v>42</v>
      </c>
      <c r="M48" s="3" t="s">
        <v>41</v>
      </c>
    </row>
    <row r="49" spans="1:13" ht="264.60000000000002">
      <c r="A49" s="22" t="s">
        <v>12</v>
      </c>
      <c r="B49" s="3" t="s">
        <v>200</v>
      </c>
      <c r="C49" s="3" t="s">
        <v>201</v>
      </c>
      <c r="D49" s="3" t="s">
        <v>95</v>
      </c>
      <c r="E49" s="3" t="s">
        <v>95</v>
      </c>
      <c r="F49" s="3" t="s">
        <v>96</v>
      </c>
      <c r="G49" s="3" t="s">
        <v>113</v>
      </c>
      <c r="H49" s="3" t="s">
        <v>202</v>
      </c>
      <c r="I49" s="3" t="str">
        <f>HYPERLINK("http://www.jccm.es/sede/tramite/JW0","COMUNICACION PRESENCIAL EXCEPCIONAL DE CONTRATOS DE TRABAJO,COPIAS BASICAS, PRORROGAS,TRANSFORMACIONES, MODIFICACIONES,CORRECCIONES/ANULACIONES Y LLAMAMIENTOS A LA CONSEJERIA DE EMPLEO Y ECONOMIA")</f>
        <v>COMUNICACION PRESENCIAL EXCEPCIONAL DE CONTRATOS DE TRABAJO,COPIAS BASICAS, PRORROGAS,TRANSFORMACIONES, MODIFICACIONES,CORRECCIONES/ANULACIONES Y LLAMAMIENTOS A LA CONSEJERIA DE EMPLEO Y ECONOMIA</v>
      </c>
      <c r="J49" s="3" t="s">
        <v>42</v>
      </c>
      <c r="K49" s="3" t="s">
        <v>41</v>
      </c>
      <c r="L49" s="3" t="s">
        <v>42</v>
      </c>
      <c r="M49" s="3" t="s">
        <v>41</v>
      </c>
    </row>
    <row r="50" spans="1:13" ht="230.1">
      <c r="A50" s="22" t="s">
        <v>12</v>
      </c>
      <c r="B50" s="3" t="s">
        <v>203</v>
      </c>
      <c r="C50" s="3" t="s">
        <v>204</v>
      </c>
      <c r="D50" s="3" t="s">
        <v>95</v>
      </c>
      <c r="E50" s="3" t="s">
        <v>95</v>
      </c>
      <c r="F50" s="3" t="s">
        <v>96</v>
      </c>
      <c r="G50" s="3" t="s">
        <v>97</v>
      </c>
      <c r="H50" s="3" t="s">
        <v>205</v>
      </c>
      <c r="I50" s="3" t="str">
        <f>HYPERLINK("http://www.jccm.es/sede/tramite/KQA","COMUNICACION DE CAMBIO DE TITULARIDAD, CAMBIO DE DENOMINACION O CESE DE ACTIVIDAD COMO APARTAMENTO TURISTICO EN EL REGISTRO GENERAL REGULADO EN EL DECRETO 5/2007.")</f>
        <v>COMUNICACION DE CAMBIO DE TITULARIDAD, CAMBIO DE DENOMINACION O CESE DE ACTIVIDAD COMO APARTAMENTO TURISTICO EN EL REGISTRO GENERAL REGULADO EN EL DECRETO 5/2007.</v>
      </c>
      <c r="J50" s="3" t="s">
        <v>41</v>
      </c>
      <c r="K50" s="3" t="s">
        <v>41</v>
      </c>
      <c r="L50" s="3" t="s">
        <v>42</v>
      </c>
      <c r="M50" s="3" t="s">
        <v>41</v>
      </c>
    </row>
    <row r="51" spans="1:13" ht="276">
      <c r="A51" s="22" t="s">
        <v>12</v>
      </c>
      <c r="B51" s="3" t="s">
        <v>206</v>
      </c>
      <c r="C51" s="3" t="s">
        <v>207</v>
      </c>
      <c r="D51" s="3" t="s">
        <v>95</v>
      </c>
      <c r="E51" s="3" t="s">
        <v>95</v>
      </c>
      <c r="F51" s="3" t="s">
        <v>96</v>
      </c>
      <c r="G51" s="3" t="s">
        <v>97</v>
      </c>
      <c r="H51" s="3" t="s">
        <v>208</v>
      </c>
      <c r="I51" s="3" t="str">
        <f>HYPERLINK("http://www.jccm.es/sede/tramite/KQ9","DECLARACION RESPONSABLE DE MODIFICACION DE CAPACIDAD O CAMBIO DE CATEGORIA, COMO APARTAMENTO TURISTICO DE CASTILLA-LA MANCHA E INSCRIPCION  EN EL REGISTRO GENERAL REGULADO EN EL DECRETO 5/2007")</f>
        <v>DECLARACION RESPONSABLE DE MODIFICACION DE CAPACIDAD O CAMBIO DE CATEGORIA, COMO APARTAMENTO TURISTICO DE CASTILLA-LA MANCHA E INSCRIPCION  EN EL REGISTRO GENERAL REGULADO EN EL DECRETO 5/2007</v>
      </c>
      <c r="J51" s="3" t="s">
        <v>41</v>
      </c>
      <c r="K51" s="3" t="s">
        <v>41</v>
      </c>
      <c r="L51" s="3" t="s">
        <v>42</v>
      </c>
      <c r="M51" s="3" t="s">
        <v>41</v>
      </c>
    </row>
    <row r="52" spans="1:13" ht="252.95">
      <c r="A52" s="22" t="s">
        <v>12</v>
      </c>
      <c r="B52" s="3" t="s">
        <v>209</v>
      </c>
      <c r="C52" s="3" t="s">
        <v>210</v>
      </c>
      <c r="D52" s="3" t="s">
        <v>95</v>
      </c>
      <c r="E52" s="3" t="s">
        <v>95</v>
      </c>
      <c r="F52" s="3" t="s">
        <v>96</v>
      </c>
      <c r="G52" s="3" t="s">
        <v>97</v>
      </c>
      <c r="H52" s="3" t="s">
        <v>211</v>
      </c>
      <c r="I52" s="3" t="str">
        <f>HYPERLINK("http://www.jccm.es/sede/tramite/KIE","DECLARACION RESPONSABLE DE INICIO DE ACTIVIDAD COMO APARTAMENTO TURISTICO DE CASTILLA-LA MANCHA E INSCRIPCION EN EL REGISTRO GENERAL REGULADO EN EL DECRETO 5/2007, DE 22 DE ENERO")</f>
        <v>DECLARACION RESPONSABLE DE INICIO DE ACTIVIDAD COMO APARTAMENTO TURISTICO DE CASTILLA-LA MANCHA E INSCRIPCION EN EL REGISTRO GENERAL REGULADO EN EL DECRETO 5/2007, DE 22 DE ENERO</v>
      </c>
      <c r="J52" s="3" t="s">
        <v>41</v>
      </c>
      <c r="K52" s="3" t="s">
        <v>41</v>
      </c>
      <c r="L52" s="3" t="s">
        <v>42</v>
      </c>
      <c r="M52" s="3" t="s">
        <v>41</v>
      </c>
    </row>
    <row r="53" spans="1:13" ht="252.95">
      <c r="A53" s="22" t="s">
        <v>12</v>
      </c>
      <c r="B53" s="3" t="s">
        <v>212</v>
      </c>
      <c r="C53" s="3" t="s">
        <v>213</v>
      </c>
      <c r="D53" s="3" t="s">
        <v>95</v>
      </c>
      <c r="E53" s="3" t="s">
        <v>95</v>
      </c>
      <c r="F53" s="3" t="s">
        <v>96</v>
      </c>
      <c r="G53" s="3" t="s">
        <v>97</v>
      </c>
      <c r="H53" s="3" t="s">
        <v>214</v>
      </c>
      <c r="I53" s="3" t="str">
        <f>HYPERLINK("http://www.jccm.es/sede/tramite/KT4","DECLARACION RESPONSABLE DE INICIO DE ACTIVIDAD COMO VIVIENDA DE USO  TURISTICO DE CASTILLA-LA MANCHA E INSCRIPCION EN EL REGISTRO GENERAL REGULADO EN EL DECRETO 5/2007, DE 22 DE ENERO")</f>
        <v>DECLARACION RESPONSABLE DE INICIO DE ACTIVIDAD COMO VIVIENDA DE USO  TURISTICO DE CASTILLA-LA MANCHA E INSCRIPCION EN EL REGISTRO GENERAL REGULADO EN EL DECRETO 5/2007, DE 22 DE ENERO</v>
      </c>
      <c r="J53" s="3" t="s">
        <v>41</v>
      </c>
      <c r="K53" s="3" t="s">
        <v>41</v>
      </c>
      <c r="L53" s="3" t="s">
        <v>42</v>
      </c>
      <c r="M53" s="3" t="s">
        <v>41</v>
      </c>
    </row>
    <row r="54" spans="1:13" ht="230.1">
      <c r="A54" s="22" t="s">
        <v>12</v>
      </c>
      <c r="B54" s="3" t="s">
        <v>215</v>
      </c>
      <c r="C54" s="3" t="s">
        <v>216</v>
      </c>
      <c r="D54" s="3" t="s">
        <v>95</v>
      </c>
      <c r="E54" s="3" t="s">
        <v>95</v>
      </c>
      <c r="F54" s="3" t="s">
        <v>96</v>
      </c>
      <c r="G54" s="3" t="s">
        <v>97</v>
      </c>
      <c r="H54" s="3" t="s">
        <v>217</v>
      </c>
      <c r="I54" s="3" t="str">
        <f>HYPERLINK("http://www.jccm.es/sede/tramite/KT6","COMUNICACION DE CAMBIO DE TITULARIDAD, CAMBIO DE DENOMINACION O CESE DE ACTIVIDAD COMO VIVIENDA DE USO TURISTICO EN EL REGISTRO GENERAL REGULADO EN EL DECRETO 5/2007.")</f>
        <v>COMUNICACION DE CAMBIO DE TITULARIDAD, CAMBIO DE DENOMINACION O CESE DE ACTIVIDAD COMO VIVIENDA DE USO TURISTICO EN EL REGISTRO GENERAL REGULADO EN EL DECRETO 5/2007.</v>
      </c>
      <c r="J54" s="3" t="s">
        <v>41</v>
      </c>
      <c r="K54" s="3" t="s">
        <v>41</v>
      </c>
      <c r="L54" s="3" t="s">
        <v>42</v>
      </c>
      <c r="M54" s="3" t="s">
        <v>41</v>
      </c>
    </row>
    <row r="55" spans="1:13" ht="230.1">
      <c r="A55" s="22" t="s">
        <v>12</v>
      </c>
      <c r="B55" s="3" t="s">
        <v>218</v>
      </c>
      <c r="C55" s="3" t="s">
        <v>219</v>
      </c>
      <c r="D55" s="3" t="s">
        <v>95</v>
      </c>
      <c r="E55" s="3" t="s">
        <v>95</v>
      </c>
      <c r="F55" s="3" t="s">
        <v>96</v>
      </c>
      <c r="G55" s="3" t="s">
        <v>97</v>
      </c>
      <c r="H55" s="3" t="s">
        <v>220</v>
      </c>
      <c r="I55" s="3" t="str">
        <f>HYPERLINK("http://www.jccm.es/sede/tramite/KT5","DECLARACION RESPONSABLE DE  MODIFICACION DE CAPACIDAD COMO VIVIENDA DE USO TURISTICO  E INSCRIPCION EN EL REGISTRO GENERAL REGULADO EN EL DECRETO 5/2007")</f>
        <v>DECLARACION RESPONSABLE DE  MODIFICACION DE CAPACIDAD COMO VIVIENDA DE USO TURISTICO  E INSCRIPCION EN EL REGISTRO GENERAL REGULADO EN EL DECRETO 5/2007</v>
      </c>
      <c r="J55" s="3" t="s">
        <v>41</v>
      </c>
      <c r="K55" s="3" t="s">
        <v>41</v>
      </c>
      <c r="L55" s="3" t="s">
        <v>42</v>
      </c>
      <c r="M55" s="3" t="s">
        <v>41</v>
      </c>
    </row>
    <row r="56" spans="1:13" ht="195.6">
      <c r="A56" s="22" t="s">
        <v>12</v>
      </c>
      <c r="B56" s="3" t="s">
        <v>221</v>
      </c>
      <c r="C56" s="3" t="s">
        <v>222</v>
      </c>
      <c r="D56" s="3" t="s">
        <v>95</v>
      </c>
      <c r="E56" s="3" t="s">
        <v>95</v>
      </c>
      <c r="F56" s="3" t="s">
        <v>96</v>
      </c>
      <c r="G56" s="3" t="s">
        <v>97</v>
      </c>
      <c r="H56" s="3" t="s">
        <v>223</v>
      </c>
      <c r="I56" s="3" t="str">
        <f>HYPERLINK("http://www.jccm.es/sede/tramite/KXX","COMUNICACION RELATIVA AL CESE DE ACTIVIDAD, CAMBIO DE TITULARIDAD Y CAMBIO  DE DENOMINACION COMO ALBERGUE TURISTICO DE CASTILLA-LA MANCHA Y BAJA EN EL REGISTRO GENERAL")</f>
        <v>COMUNICACION RELATIVA AL CESE DE ACTIVIDAD, CAMBIO DE TITULARIDAD Y CAMBIO  DE DENOMINACION COMO ALBERGUE TURISTICO DE CASTILLA-LA MANCHA Y BAJA EN EL REGISTRO GENERAL</v>
      </c>
      <c r="J56" s="3" t="s">
        <v>41</v>
      </c>
      <c r="K56" s="3" t="s">
        <v>41</v>
      </c>
      <c r="L56" s="3" t="s">
        <v>42</v>
      </c>
      <c r="M56" s="3" t="s">
        <v>41</v>
      </c>
    </row>
    <row r="57" spans="1:13" ht="161.1">
      <c r="A57" s="22" t="s">
        <v>12</v>
      </c>
      <c r="B57" s="3" t="s">
        <v>224</v>
      </c>
      <c r="C57" s="3" t="s">
        <v>225</v>
      </c>
      <c r="D57" s="3" t="s">
        <v>95</v>
      </c>
      <c r="E57" s="3" t="s">
        <v>95</v>
      </c>
      <c r="F57" s="3" t="s">
        <v>96</v>
      </c>
      <c r="G57" s="3" t="s">
        <v>97</v>
      </c>
      <c r="H57" s="3" t="s">
        <v>226</v>
      </c>
      <c r="I57" s="3" t="str">
        <f>HYPERLINK("http://www.jccm.es/sede/tramite/KXW","DECLARACION RESPONSABLE RELATIVA A LA MODIFICACION DE CAPACIDAD COMO ALBERGUE TURISTICO EN EL REGISTRO GENERAL.")</f>
        <v>DECLARACION RESPONSABLE RELATIVA A LA MODIFICACION DE CAPACIDAD COMO ALBERGUE TURISTICO EN EL REGISTRO GENERAL.</v>
      </c>
      <c r="J57" s="3" t="s">
        <v>41</v>
      </c>
      <c r="K57" s="3" t="s">
        <v>41</v>
      </c>
      <c r="L57" s="3" t="s">
        <v>42</v>
      </c>
      <c r="M57" s="3" t="s">
        <v>41</v>
      </c>
    </row>
    <row r="58" spans="1:13" ht="183.95">
      <c r="A58" s="22" t="s">
        <v>12</v>
      </c>
      <c r="B58" s="3" t="s">
        <v>227</v>
      </c>
      <c r="C58" s="3" t="s">
        <v>228</v>
      </c>
      <c r="D58" s="3" t="s">
        <v>95</v>
      </c>
      <c r="E58" s="3" t="s">
        <v>95</v>
      </c>
      <c r="F58" s="3" t="s">
        <v>96</v>
      </c>
      <c r="G58" s="3" t="s">
        <v>97</v>
      </c>
      <c r="H58" s="3" t="s">
        <v>229</v>
      </c>
      <c r="I58" s="3" t="str">
        <f>HYPERLINK("http://www.jccm.es/sede/tramite/KXV","DECLARACION RESPONSABLE RELATIVA AL INICIO DE ACTIVIDAD COMO ALBERGUE TURISTICO DE CASTILLA-LA MANCHA E INSCRIPCION EN EL REGISTRO GENERAL.")</f>
        <v>DECLARACION RESPONSABLE RELATIVA AL INICIO DE ACTIVIDAD COMO ALBERGUE TURISTICO DE CASTILLA-LA MANCHA E INSCRIPCION EN EL REGISTRO GENERAL.</v>
      </c>
      <c r="J58" s="3" t="s">
        <v>41</v>
      </c>
      <c r="K58" s="3" t="s">
        <v>41</v>
      </c>
      <c r="L58" s="3" t="s">
        <v>42</v>
      </c>
      <c r="M58" s="3" t="s">
        <v>41</v>
      </c>
    </row>
    <row r="59" spans="1:13" ht="126.6">
      <c r="A59" s="22" t="s">
        <v>12</v>
      </c>
      <c r="B59" s="3" t="s">
        <v>230</v>
      </c>
      <c r="C59" s="3" t="s">
        <v>231</v>
      </c>
      <c r="D59" s="3" t="s">
        <v>232</v>
      </c>
      <c r="E59" s="3" t="s">
        <v>46</v>
      </c>
      <c r="F59" s="3" t="s">
        <v>96</v>
      </c>
      <c r="G59" s="3" t="s">
        <v>97</v>
      </c>
      <c r="H59" s="3" t="s">
        <v>233</v>
      </c>
      <c r="I59" s="3" t="str">
        <f>HYPERLINK("http://www.jccm.es/sede/tramite/KXY","ADHESION RED DE HOSPEDERIAS DE CASTILLA- LA MANCHA.")</f>
        <v>ADHESION RED DE HOSPEDERIAS DE CASTILLA- LA MANCHA.</v>
      </c>
      <c r="J59" s="3" t="s">
        <v>41</v>
      </c>
      <c r="K59" s="3" t="s">
        <v>41</v>
      </c>
      <c r="L59" s="3" t="s">
        <v>42</v>
      </c>
      <c r="M59" s="3" t="s">
        <v>41</v>
      </c>
    </row>
    <row r="60" spans="1:13" ht="241.5">
      <c r="A60" s="22" t="s">
        <v>12</v>
      </c>
      <c r="B60" s="3" t="s">
        <v>234</v>
      </c>
      <c r="C60" s="3" t="s">
        <v>235</v>
      </c>
      <c r="D60" s="3" t="s">
        <v>232</v>
      </c>
      <c r="E60" s="3" t="s">
        <v>46</v>
      </c>
      <c r="F60" s="3" t="s">
        <v>96</v>
      </c>
      <c r="G60" s="3" t="s">
        <v>97</v>
      </c>
      <c r="H60" s="3" t="s">
        <v>236</v>
      </c>
      <c r="I60" s="3" t="str">
        <f>HYPERLINK("http://www.jccm.es/sede/tramite/KXZ","COMUNICACION DE BAJA VOLUNTARIA, CAMBIO DE TITULARIDAD Y CAMBIO DE DENOMINACION DE HOTEL ADHERIDO A LA RED DE HOSPEDERIAS DE CASTILLA-LA MANCHACOMUNICACION DE BAJA VOLUNTARIA, CAMBIO DE TITULARIDAD Y")</f>
        <v>COMUNICACION DE BAJA VOLUNTARIA, CAMBIO DE TITULARIDAD Y CAMBIO DE DENOMINACION DE HOTEL ADHERIDO A LA RED DE HOSPEDERIAS DE CASTILLA-LA MANCHACOMUNICACION DE BAJA VOLUNTARIA, CAMBIO DE TITULARIDAD Y</v>
      </c>
      <c r="J60" s="3" t="s">
        <v>41</v>
      </c>
      <c r="K60" s="3" t="s">
        <v>41</v>
      </c>
      <c r="L60" s="3" t="s">
        <v>42</v>
      </c>
      <c r="M60" s="3" t="s">
        <v>41</v>
      </c>
    </row>
    <row r="61" spans="1:13" ht="207">
      <c r="A61" s="22" t="s">
        <v>12</v>
      </c>
      <c r="B61" s="3" t="s">
        <v>237</v>
      </c>
      <c r="C61" s="3" t="s">
        <v>238</v>
      </c>
      <c r="D61" s="3" t="s">
        <v>232</v>
      </c>
      <c r="E61" s="3" t="s">
        <v>46</v>
      </c>
      <c r="F61" s="3" t="s">
        <v>96</v>
      </c>
      <c r="G61" s="3" t="s">
        <v>97</v>
      </c>
      <c r="H61" s="3" t="s">
        <v>239</v>
      </c>
      <c r="I61" s="3" t="str">
        <f>HYPERLINK("http://www.jccm.es/sede/tramite/KY0","DECLARACION RESPONSABLE RELATIVA A LA MODIFICACION DE LA CAPACIDAD Y MODIFICACION DE LA CATEGORIA DEL HOTEL ADHERIDO A LA RED DE HOSPEDERIAS DE CASTILLA-LA MANCHA")</f>
        <v>DECLARACION RESPONSABLE RELATIVA A LA MODIFICACION DE LA CAPACIDAD Y MODIFICACION DE LA CATEGORIA DEL HOTEL ADHERIDO A LA RED DE HOSPEDERIAS DE CASTILLA-LA MANCHA</v>
      </c>
      <c r="J61" s="3" t="s">
        <v>41</v>
      </c>
      <c r="K61" s="3" t="s">
        <v>41</v>
      </c>
      <c r="L61" s="3" t="s">
        <v>42</v>
      </c>
      <c r="M61" s="3" t="s">
        <v>41</v>
      </c>
    </row>
    <row r="62" spans="1:13" ht="207">
      <c r="A62" s="22" t="s">
        <v>12</v>
      </c>
      <c r="B62" s="3" t="s">
        <v>240</v>
      </c>
      <c r="C62" s="3" t="s">
        <v>241</v>
      </c>
      <c r="D62" s="3" t="s">
        <v>95</v>
      </c>
      <c r="E62" s="3" t="s">
        <v>95</v>
      </c>
      <c r="F62" s="3" t="s">
        <v>96</v>
      </c>
      <c r="G62" s="3" t="s">
        <v>97</v>
      </c>
      <c r="H62" s="3" t="s">
        <v>242</v>
      </c>
      <c r="I62" s="3" t="str">
        <f>HYPERLINK("http://www.jccm.es/sede/tramite/KY2","COMUNICACION RELATIVA AL CESE DE ACTIVIDAD, CAMBIO DE TITULARIDAD Y CAMBIO  DE DENOMINACION COMO AREAS DE PERNOCTA PARA AUTOCARAVANAS Y BAJA EN EL REGISTRO GENERAL")</f>
        <v>COMUNICACION RELATIVA AL CESE DE ACTIVIDAD, CAMBIO DE TITULARIDAD Y CAMBIO  DE DENOMINACION COMO AREAS DE PERNOCTA PARA AUTOCARAVANAS Y BAJA EN EL REGISTRO GENERAL</v>
      </c>
      <c r="J62" s="3" t="s">
        <v>41</v>
      </c>
      <c r="K62" s="3" t="s">
        <v>41</v>
      </c>
      <c r="L62" s="3" t="s">
        <v>42</v>
      </c>
      <c r="M62" s="3" t="s">
        <v>41</v>
      </c>
    </row>
    <row r="63" spans="1:13" ht="207">
      <c r="A63" s="22" t="s">
        <v>12</v>
      </c>
      <c r="B63" s="3" t="s">
        <v>243</v>
      </c>
      <c r="C63" s="3" t="s">
        <v>244</v>
      </c>
      <c r="D63" s="3" t="s">
        <v>95</v>
      </c>
      <c r="E63" s="3" t="s">
        <v>95</v>
      </c>
      <c r="F63" s="3" t="s">
        <v>96</v>
      </c>
      <c r="G63" s="3" t="s">
        <v>97</v>
      </c>
      <c r="H63" s="3" t="s">
        <v>245</v>
      </c>
      <c r="I63" s="3" t="str">
        <f>HYPERLINK("http://www.jccm.es/sede/tramite/KY6","DECLARACION RESPONSABLE RELATIVA AL INICIO DE ACTIVIDAD COMO AREAS DE PERNOCTA PARA AUTOCARAVANAS DE CASTILLA-LA MANCHA  E INSCRIPCION EN EL REGISTRO GENERAL.")</f>
        <v>DECLARACION RESPONSABLE RELATIVA AL INICIO DE ACTIVIDAD COMO AREAS DE PERNOCTA PARA AUTOCARAVANAS DE CASTILLA-LA MANCHA  E INSCRIPCION EN EL REGISTRO GENERAL.</v>
      </c>
      <c r="J63" s="3" t="s">
        <v>41</v>
      </c>
      <c r="K63" s="3" t="s">
        <v>41</v>
      </c>
      <c r="L63" s="3" t="s">
        <v>42</v>
      </c>
      <c r="M63" s="3" t="s">
        <v>41</v>
      </c>
    </row>
    <row r="64" spans="1:13" ht="183.95">
      <c r="A64" s="22" t="s">
        <v>12</v>
      </c>
      <c r="B64" s="3" t="s">
        <v>246</v>
      </c>
      <c r="C64" s="3" t="s">
        <v>247</v>
      </c>
      <c r="D64" s="3" t="s">
        <v>95</v>
      </c>
      <c r="E64" s="3" t="s">
        <v>95</v>
      </c>
      <c r="F64" s="3" t="s">
        <v>96</v>
      </c>
      <c r="G64" s="3" t="s">
        <v>97</v>
      </c>
      <c r="H64" s="3" t="s">
        <v>248</v>
      </c>
      <c r="I64" s="3" t="str">
        <f>HYPERLINK("http://www.jccm.es/sede/tramite/KY1","DECLARACION RESPONSABLE RELATIVA A LA MODIFICACION DE CAPACIDAD COMO AREA DE PERNOCTA PARA AUTOCARAVANAS EN EL REGISTRO GENERAL.")</f>
        <v>DECLARACION RESPONSABLE RELATIVA A LA MODIFICACION DE CAPACIDAD COMO AREA DE PERNOCTA PARA AUTOCARAVANAS EN EL REGISTRO GENERAL.</v>
      </c>
      <c r="J64" s="3" t="s">
        <v>41</v>
      </c>
      <c r="K64" s="3" t="s">
        <v>41</v>
      </c>
      <c r="L64" s="3" t="s">
        <v>42</v>
      </c>
      <c r="M64" s="3" t="s">
        <v>41</v>
      </c>
    </row>
    <row r="65" spans="1:13" ht="161.1">
      <c r="A65" s="22" t="s">
        <v>12</v>
      </c>
      <c r="B65" s="3" t="s">
        <v>249</v>
      </c>
      <c r="C65" s="3" t="s">
        <v>250</v>
      </c>
      <c r="D65" s="3" t="s">
        <v>95</v>
      </c>
      <c r="E65" s="3" t="s">
        <v>95</v>
      </c>
      <c r="F65" s="3" t="s">
        <v>96</v>
      </c>
      <c r="G65" s="3" t="s">
        <v>97</v>
      </c>
      <c r="H65" s="3" t="s">
        <v>251</v>
      </c>
      <c r="I65" s="3" t="str">
        <f>HYPERLINK("http://www.jccm.es/sede/tramite/KY3","COMUNICACION RELATIVA AL CESE DE ACTIVIDAD, CAMBIO DE TITULARIDAD Y CAMBIO  DE DENOMINACION COMO CAMPING Y BAJA EN EL REGISTRO GENERAL")</f>
        <v>COMUNICACION RELATIVA AL CESE DE ACTIVIDAD, CAMBIO DE TITULARIDAD Y CAMBIO  DE DENOMINACION COMO CAMPING Y BAJA EN EL REGISTRO GENERAL</v>
      </c>
      <c r="J65" s="3" t="s">
        <v>41</v>
      </c>
      <c r="K65" s="3" t="s">
        <v>41</v>
      </c>
      <c r="L65" s="3" t="s">
        <v>42</v>
      </c>
      <c r="M65" s="3" t="s">
        <v>41</v>
      </c>
    </row>
    <row r="66" spans="1:13" ht="161.1">
      <c r="A66" s="22" t="s">
        <v>12</v>
      </c>
      <c r="B66" s="3" t="s">
        <v>252</v>
      </c>
      <c r="C66" s="3" t="s">
        <v>253</v>
      </c>
      <c r="D66" s="3" t="s">
        <v>95</v>
      </c>
      <c r="E66" s="3" t="s">
        <v>95</v>
      </c>
      <c r="F66" s="3" t="s">
        <v>96</v>
      </c>
      <c r="G66" s="3" t="s">
        <v>97</v>
      </c>
      <c r="H66" s="3" t="s">
        <v>254</v>
      </c>
      <c r="I66" s="3" t="str">
        <f>HYPERLINK("http://www.jccm.es/sede/tramite/KY4","DECLARACION RESPONSABLE RELATIVA AL INICIO DE ACTIVIDAD COMO CAMPING DE CASTILLA-LA MANCHA E INSCRIPCION EN EL REGISTRO GENERAL.")</f>
        <v>DECLARACION RESPONSABLE RELATIVA AL INICIO DE ACTIVIDAD COMO CAMPING DE CASTILLA-LA MANCHA E INSCRIPCION EN EL REGISTRO GENERAL.</v>
      </c>
      <c r="J66" s="3" t="s">
        <v>41</v>
      </c>
      <c r="K66" s="3" t="s">
        <v>41</v>
      </c>
      <c r="L66" s="3" t="s">
        <v>42</v>
      </c>
      <c r="M66" s="3" t="s">
        <v>41</v>
      </c>
    </row>
    <row r="67" spans="1:13" ht="149.44999999999999">
      <c r="A67" s="22" t="s">
        <v>12</v>
      </c>
      <c r="B67" s="3" t="s">
        <v>255</v>
      </c>
      <c r="C67" s="3" t="s">
        <v>256</v>
      </c>
      <c r="D67" s="3" t="s">
        <v>95</v>
      </c>
      <c r="E67" s="3" t="s">
        <v>95</v>
      </c>
      <c r="F67" s="3" t="s">
        <v>96</v>
      </c>
      <c r="G67" s="3" t="s">
        <v>97</v>
      </c>
      <c r="H67" s="3" t="s">
        <v>257</v>
      </c>
      <c r="I67" s="3" t="str">
        <f>HYPERLINK("http://www.jccm.es/sede/tramite/KY5","DECLARACION RESPONSABLE RELATIVA A LA MODIFICACION DE CAPACIDAD COMO CAMPING EN EL REGISTRO GENERAL.")</f>
        <v>DECLARACION RESPONSABLE RELATIVA A LA MODIFICACION DE CAPACIDAD COMO CAMPING EN EL REGISTRO GENERAL.</v>
      </c>
      <c r="J67" s="3" t="s">
        <v>41</v>
      </c>
      <c r="K67" s="3" t="s">
        <v>41</v>
      </c>
      <c r="L67" s="3" t="s">
        <v>42</v>
      </c>
      <c r="M67" s="3" t="s">
        <v>41</v>
      </c>
    </row>
    <row r="68" spans="1:13" ht="149.44999999999999">
      <c r="A68" s="22" t="s">
        <v>12</v>
      </c>
      <c r="B68" s="3" t="s">
        <v>258</v>
      </c>
      <c r="C68" s="3" t="s">
        <v>259</v>
      </c>
      <c r="D68" s="3" t="s">
        <v>95</v>
      </c>
      <c r="E68" s="3" t="s">
        <v>95</v>
      </c>
      <c r="F68" s="3" t="s">
        <v>96</v>
      </c>
      <c r="G68" s="3" t="s">
        <v>97</v>
      </c>
      <c r="H68" s="3" t="s">
        <v>260</v>
      </c>
      <c r="I68" s="3" t="str">
        <f>HYPERLINK("http://www.jccm.es/sede/tramite/L3V","RENOVACION, DUPLICADO O MODIFICACION DE DATOS DEL CARNE DE INFORMADOR TURISTICO DE AMBITO LOCAL DE CASTILLA-LA MANCHA")</f>
        <v>RENOVACION, DUPLICADO O MODIFICACION DE DATOS DEL CARNE DE INFORMADOR TURISTICO DE AMBITO LOCAL DE CASTILLA-LA MANCHA</v>
      </c>
      <c r="J68" s="3" t="s">
        <v>42</v>
      </c>
      <c r="K68" s="3" t="s">
        <v>41</v>
      </c>
      <c r="L68" s="3" t="s">
        <v>42</v>
      </c>
      <c r="M68" s="3" t="s">
        <v>41</v>
      </c>
    </row>
    <row r="69" spans="1:13" ht="126.6">
      <c r="A69" s="22" t="s">
        <v>12</v>
      </c>
      <c r="B69" s="3" t="s">
        <v>261</v>
      </c>
      <c r="C69" s="3" t="s">
        <v>262</v>
      </c>
      <c r="D69" s="3" t="s">
        <v>95</v>
      </c>
      <c r="E69" s="3" t="s">
        <v>95</v>
      </c>
      <c r="F69" s="3" t="s">
        <v>96</v>
      </c>
      <c r="G69" s="3" t="s">
        <v>97</v>
      </c>
      <c r="H69" s="3" t="s">
        <v>263</v>
      </c>
      <c r="I69" s="3" t="str">
        <f>HYPERLINK("http://www.jccm.es/sede/tramite/L0M","EXPEDICION,RENOVACION, DUPLICADO O MODIFICACION DE DATOS DEL CARNE DE GUIA DE TURISMO DE CASTILLA-LA MANCHA")</f>
        <v>EXPEDICION,RENOVACION, DUPLICADO O MODIFICACION DE DATOS DEL CARNE DE GUIA DE TURISMO DE CASTILLA-LA MANCHA</v>
      </c>
      <c r="J69" s="3" t="s">
        <v>42</v>
      </c>
      <c r="K69" s="3" t="s">
        <v>41</v>
      </c>
      <c r="L69" s="3" t="s">
        <v>42</v>
      </c>
      <c r="M69" s="3" t="s">
        <v>41</v>
      </c>
    </row>
    <row r="70" spans="1:13" ht="183.95">
      <c r="A70" s="22" t="s">
        <v>12</v>
      </c>
      <c r="B70" s="3" t="s">
        <v>264</v>
      </c>
      <c r="C70" s="3" t="s">
        <v>265</v>
      </c>
      <c r="D70" s="3" t="s">
        <v>95</v>
      </c>
      <c r="E70" s="3" t="s">
        <v>95</v>
      </c>
      <c r="F70" s="3" t="s">
        <v>96</v>
      </c>
      <c r="G70" s="3" t="s">
        <v>97</v>
      </c>
      <c r="H70" s="3" t="s">
        <v>266</v>
      </c>
      <c r="I70" s="3" t="str">
        <f>HYPERLINK("http://www.jccm.es/sede/tramite/L0I","RECONOCIMIENTO CUALIFICACION PROFESIONAL COMO GUIA DE TURISMO DE CASTILLA-LA MANCHA POR PROFESIONALES DE LA UNION EUROPEA. ESTABLECIMIENTO")</f>
        <v>RECONOCIMIENTO CUALIFICACION PROFESIONAL COMO GUIA DE TURISMO DE CASTILLA-LA MANCHA POR PROFESIONALES DE LA UNION EUROPEA. ESTABLECIMIENTO</v>
      </c>
      <c r="J70" s="3" t="s">
        <v>42</v>
      </c>
      <c r="K70" s="3" t="s">
        <v>41</v>
      </c>
      <c r="L70" s="3" t="s">
        <v>42</v>
      </c>
      <c r="M70" s="3" t="s">
        <v>41</v>
      </c>
    </row>
    <row r="71" spans="1:13" ht="149.44999999999999">
      <c r="A71" s="22" t="s">
        <v>12</v>
      </c>
      <c r="B71" s="3" t="s">
        <v>267</v>
      </c>
      <c r="C71" s="3" t="s">
        <v>268</v>
      </c>
      <c r="D71" s="3" t="s">
        <v>95</v>
      </c>
      <c r="E71" s="3" t="s">
        <v>95</v>
      </c>
      <c r="F71" s="3" t="s">
        <v>96</v>
      </c>
      <c r="G71" s="3" t="s">
        <v>97</v>
      </c>
      <c r="H71" s="3" t="s">
        <v>269</v>
      </c>
      <c r="I71" s="3" t="str">
        <f>HYPERLINK("http://www.jccm.es/sede/tramite/L0L","DECLARACION EJERCICIO DE LA ACTIVIDAD DE GUIA DE TURISMO EN CASTILLA-LA MANCHA POR PROFESIONALES DE LA UNION EUROPEA")</f>
        <v>DECLARACION EJERCICIO DE LA ACTIVIDAD DE GUIA DE TURISMO EN CASTILLA-LA MANCHA POR PROFESIONALES DE LA UNION EUROPEA</v>
      </c>
      <c r="J71" s="3" t="s">
        <v>42</v>
      </c>
      <c r="K71" s="3" t="s">
        <v>41</v>
      </c>
      <c r="L71" s="3" t="s">
        <v>42</v>
      </c>
      <c r="M71" s="3" t="s">
        <v>41</v>
      </c>
    </row>
    <row r="72" spans="1:13" ht="126.6">
      <c r="A72" s="22" t="s">
        <v>12</v>
      </c>
      <c r="B72" s="3" t="s">
        <v>270</v>
      </c>
      <c r="C72" s="3" t="s">
        <v>271</v>
      </c>
      <c r="D72" s="3" t="s">
        <v>95</v>
      </c>
      <c r="E72" s="3" t="s">
        <v>95</v>
      </c>
      <c r="F72" s="3" t="s">
        <v>96</v>
      </c>
      <c r="G72" s="3" t="s">
        <v>97</v>
      </c>
      <c r="H72" s="3" t="s">
        <v>272</v>
      </c>
      <c r="I72" s="3" t="str">
        <f>HYPERLINK("http://www.jccm.es/sede/tramite/L3U","SOLICITUD DE HABILITACION DE INFORMADOR TURISTICO DE AMBITO LOCAL DE CASTILLA-LA MANCHA")</f>
        <v>SOLICITUD DE HABILITACION DE INFORMADOR TURISTICO DE AMBITO LOCAL DE CASTILLA-LA MANCHA</v>
      </c>
      <c r="J72" s="3" t="s">
        <v>42</v>
      </c>
      <c r="K72" s="3" t="s">
        <v>41</v>
      </c>
      <c r="L72" s="3" t="s">
        <v>42</v>
      </c>
      <c r="M72" s="3" t="s">
        <v>41</v>
      </c>
    </row>
    <row r="73" spans="1:13" ht="195.6">
      <c r="A73" s="22" t="s">
        <v>12</v>
      </c>
      <c r="B73" s="3" t="s">
        <v>273</v>
      </c>
      <c r="C73" s="3" t="s">
        <v>274</v>
      </c>
      <c r="D73" s="3" t="s">
        <v>95</v>
      </c>
      <c r="E73" s="3" t="s">
        <v>95</v>
      </c>
      <c r="F73" s="3" t="s">
        <v>96</v>
      </c>
      <c r="G73" s="3" t="s">
        <v>97</v>
      </c>
      <c r="H73" s="3" t="s">
        <v>275</v>
      </c>
      <c r="I73" s="3" t="str">
        <f>HYPERLINK("http://www.jccm.es/sede/tramite/L0G","DECLARACION RESPONSABLE RELATIVA AL INICIO DE ACTIVIDAD COMO EMPRESA DE INFORMACION TURISTICA DE CASTILLA-LA MANCHA E INSCRIPCION EN EL REGISTRO GENERAL")</f>
        <v>DECLARACION RESPONSABLE RELATIVA AL INICIO DE ACTIVIDAD COMO EMPRESA DE INFORMACION TURISTICA DE CASTILLA-LA MANCHA E INSCRIPCION EN EL REGISTRO GENERAL</v>
      </c>
      <c r="J73" s="3" t="s">
        <v>41</v>
      </c>
      <c r="K73" s="3" t="s">
        <v>41</v>
      </c>
      <c r="L73" s="3" t="s">
        <v>42</v>
      </c>
      <c r="M73" s="3" t="s">
        <v>41</v>
      </c>
    </row>
    <row r="74" spans="1:13" ht="149.44999999999999">
      <c r="A74" s="22" t="s">
        <v>12</v>
      </c>
      <c r="B74" s="3" t="s">
        <v>276</v>
      </c>
      <c r="C74" s="3" t="s">
        <v>277</v>
      </c>
      <c r="D74" s="3" t="s">
        <v>95</v>
      </c>
      <c r="E74" s="3" t="s">
        <v>95</v>
      </c>
      <c r="F74" s="3" t="s">
        <v>96</v>
      </c>
      <c r="G74" s="3" t="s">
        <v>97</v>
      </c>
      <c r="H74" s="3" t="s">
        <v>278</v>
      </c>
      <c r="I74" s="3" t="str">
        <f>HYPERLINK("http://www.jccm.es/sede/tramite/L0H","COMUNICACION DE CESE DE ACTIVIDAD, CAMBIO DE TITULARIDAD Y CAMBIO DE DENOMINACION DE EMPRESA DE INFORMACION TURISTICA .")</f>
        <v>COMUNICACION DE CESE DE ACTIVIDAD, CAMBIO DE TITULARIDAD Y CAMBIO DE DENOMINACION DE EMPRESA DE INFORMACION TURISTICA .</v>
      </c>
      <c r="J74" s="3" t="s">
        <v>41</v>
      </c>
      <c r="K74" s="3" t="s">
        <v>41</v>
      </c>
      <c r="L74" s="3" t="s">
        <v>42</v>
      </c>
      <c r="M74" s="3" t="s">
        <v>41</v>
      </c>
    </row>
    <row r="75" spans="1:13" ht="218.45">
      <c r="A75" s="22" t="s">
        <v>12</v>
      </c>
      <c r="B75" s="3" t="s">
        <v>279</v>
      </c>
      <c r="C75" s="3" t="s">
        <v>280</v>
      </c>
      <c r="D75" s="3" t="s">
        <v>281</v>
      </c>
      <c r="E75" s="3" t="s">
        <v>37</v>
      </c>
      <c r="F75" s="3" t="s">
        <v>96</v>
      </c>
      <c r="G75" s="3" t="s">
        <v>113</v>
      </c>
      <c r="H75" s="3" t="s">
        <v>282</v>
      </c>
      <c r="I75" s="3" t="str">
        <f>HYPERLINK("http://www.jccm.es/sede/tramite/LCR","COMUNICACION PREVIA DEL INICIO DE TRABAJOS.")</f>
        <v>COMUNICACION PREVIA DEL INICIO DE TRABAJOS.</v>
      </c>
      <c r="J75" s="3" t="s">
        <v>41</v>
      </c>
      <c r="K75" s="3" t="s">
        <v>41</v>
      </c>
      <c r="L75" s="3" t="s">
        <v>42</v>
      </c>
      <c r="M75" s="3" t="s">
        <v>41</v>
      </c>
    </row>
    <row r="76" spans="1:13" ht="218.45">
      <c r="A76" s="22" t="s">
        <v>12</v>
      </c>
      <c r="B76" s="3" t="s">
        <v>283</v>
      </c>
      <c r="C76" s="3" t="s">
        <v>284</v>
      </c>
      <c r="D76" s="3" t="s">
        <v>281</v>
      </c>
      <c r="E76" s="3" t="s">
        <v>37</v>
      </c>
      <c r="F76" s="3" t="s">
        <v>96</v>
      </c>
      <c r="G76" s="3" t="s">
        <v>113</v>
      </c>
      <c r="H76" s="3" t="s">
        <v>285</v>
      </c>
      <c r="I76" s="3" t="str">
        <f>HYPERLINK("http://www.jccm.es/sede/tramite/LCS","REGISTRO DE DATOS DE EVALUACION DE LA EXPOSICION EN LOS TRABAJOS CON AMIANTO.")</f>
        <v>REGISTRO DE DATOS DE EVALUACION DE LA EXPOSICION EN LOS TRABAJOS CON AMIANTO.</v>
      </c>
      <c r="J76" s="3" t="s">
        <v>41</v>
      </c>
      <c r="K76" s="3" t="s">
        <v>41</v>
      </c>
      <c r="L76" s="3" t="s">
        <v>42</v>
      </c>
      <c r="M76" s="3" t="s">
        <v>41</v>
      </c>
    </row>
    <row r="77" spans="1:13" ht="218.45">
      <c r="A77" s="22" t="s">
        <v>12</v>
      </c>
      <c r="B77" s="3" t="s">
        <v>286</v>
      </c>
      <c r="C77" s="3" t="s">
        <v>287</v>
      </c>
      <c r="D77" s="3" t="s">
        <v>281</v>
      </c>
      <c r="E77" s="3" t="s">
        <v>37</v>
      </c>
      <c r="F77" s="3" t="s">
        <v>96</v>
      </c>
      <c r="G77" s="3" t="s">
        <v>113</v>
      </c>
      <c r="H77" s="3" t="s">
        <v>288</v>
      </c>
      <c r="I77" s="3" t="str">
        <f>HYPERLINK("http://www.jccm.es/sede/tramite/LCQ","APROBACION DE PLAN DE TRABAJO CON RIESGO DE AMIANTO.")</f>
        <v>APROBACION DE PLAN DE TRABAJO CON RIESGO DE AMIANTO.</v>
      </c>
      <c r="J77" s="3" t="s">
        <v>41</v>
      </c>
      <c r="K77" s="3" t="s">
        <v>41</v>
      </c>
      <c r="L77" s="3" t="s">
        <v>42</v>
      </c>
      <c r="M77" s="3" t="s">
        <v>41</v>
      </c>
    </row>
    <row r="78" spans="1:13" ht="80.45">
      <c r="A78" s="22" t="s">
        <v>12</v>
      </c>
      <c r="B78" s="3" t="s">
        <v>289</v>
      </c>
      <c r="C78" s="3" t="s">
        <v>290</v>
      </c>
      <c r="D78" s="3" t="s">
        <v>95</v>
      </c>
      <c r="E78" s="3" t="s">
        <v>95</v>
      </c>
      <c r="F78" s="3" t="s">
        <v>96</v>
      </c>
      <c r="G78" s="3" t="s">
        <v>96</v>
      </c>
      <c r="H78" s="3" t="s">
        <v>291</v>
      </c>
      <c r="I78" s="3" t="str">
        <f>HYPERLINK("http://www.jccm.es/sede/tramite/LPH","EXPEDIENTES DE REGULACION TEMPORAL DE EMPLEO. PRORROGA DE ERTE.")</f>
        <v>EXPEDIENTES DE REGULACION TEMPORAL DE EMPLEO. PRORROGA DE ERTE.</v>
      </c>
      <c r="J78" s="3" t="s">
        <v>41</v>
      </c>
      <c r="K78" s="3" t="s">
        <v>41</v>
      </c>
      <c r="L78" s="3" t="s">
        <v>42</v>
      </c>
      <c r="M78" s="3" t="s">
        <v>41</v>
      </c>
    </row>
    <row r="79" spans="1:13" ht="138">
      <c r="A79" s="22" t="s">
        <v>12</v>
      </c>
      <c r="B79" s="3" t="s">
        <v>292</v>
      </c>
      <c r="C79" s="3" t="s">
        <v>293</v>
      </c>
      <c r="D79" s="3" t="s">
        <v>95</v>
      </c>
      <c r="E79" s="3" t="s">
        <v>95</v>
      </c>
      <c r="F79" s="3" t="s">
        <v>96</v>
      </c>
      <c r="G79" s="3" t="s">
        <v>120</v>
      </c>
      <c r="H79" s="3" t="s">
        <v>294</v>
      </c>
      <c r="I79" s="3" t="str">
        <f>HYPERLINK("http://www.jccm.es/sede/tramite/LT0","ERTE POR MECANISMO RED")</f>
        <v>ERTE POR MECANISMO RED</v>
      </c>
      <c r="J79" s="3" t="s">
        <v>41</v>
      </c>
      <c r="K79" s="3" t="s">
        <v>41</v>
      </c>
      <c r="L79" s="3" t="s">
        <v>42</v>
      </c>
      <c r="M79" s="3" t="s">
        <v>41</v>
      </c>
    </row>
    <row r="80" spans="1:13" ht="138">
      <c r="A80" s="22" t="s">
        <v>12</v>
      </c>
      <c r="B80" s="3" t="s">
        <v>295</v>
      </c>
      <c r="C80" s="3" t="s">
        <v>296</v>
      </c>
      <c r="D80" s="3" t="s">
        <v>95</v>
      </c>
      <c r="E80" s="3" t="s">
        <v>95</v>
      </c>
      <c r="F80" s="3" t="s">
        <v>96</v>
      </c>
      <c r="G80" s="3" t="s">
        <v>120</v>
      </c>
      <c r="H80" s="3" t="s">
        <v>297</v>
      </c>
      <c r="I80" s="3" t="str">
        <f>HYPERLINK("http://www.jccm.es/sede/tramite/LCV","ERTE POR FUERZA MAYOR TEMPORAL, IMPEDIMENTO Y LIMITACION.")</f>
        <v>ERTE POR FUERZA MAYOR TEMPORAL, IMPEDIMENTO Y LIMITACION.</v>
      </c>
      <c r="J80" s="3" t="s">
        <v>41</v>
      </c>
      <c r="K80" s="3" t="s">
        <v>41</v>
      </c>
      <c r="L80" s="3" t="s">
        <v>42</v>
      </c>
      <c r="M80" s="3" t="s">
        <v>41</v>
      </c>
    </row>
    <row r="81" spans="1:13" ht="138">
      <c r="A81" s="22" t="s">
        <v>12</v>
      </c>
      <c r="B81" s="3" t="s">
        <v>298</v>
      </c>
      <c r="C81" s="3" t="s">
        <v>299</v>
      </c>
      <c r="D81" s="3" t="s">
        <v>95</v>
      </c>
      <c r="E81" s="3" t="s">
        <v>95</v>
      </c>
      <c r="F81" s="3" t="s">
        <v>96</v>
      </c>
      <c r="G81" s="3" t="s">
        <v>120</v>
      </c>
      <c r="H81" s="3" t="s">
        <v>300</v>
      </c>
      <c r="I81" s="3" t="str">
        <f>HYPERLINK("http://www.jccm.es/sede/tramite/LDB","ERTE POR CAUSAS ECONOMICAS, TECNICAS, ORGANIZATIVAS O DE PRODUCCION.")</f>
        <v>ERTE POR CAUSAS ECONOMICAS, TECNICAS, ORGANIZATIVAS O DE PRODUCCION.</v>
      </c>
      <c r="J81" s="3" t="s">
        <v>41</v>
      </c>
      <c r="K81" s="3" t="s">
        <v>41</v>
      </c>
      <c r="L81" s="3" t="s">
        <v>42</v>
      </c>
      <c r="M81" s="3" t="s">
        <v>41</v>
      </c>
    </row>
    <row r="82" spans="1:13" ht="126.6">
      <c r="A82" s="22" t="s">
        <v>12</v>
      </c>
      <c r="B82" s="3" t="s">
        <v>301</v>
      </c>
      <c r="C82" s="3" t="s">
        <v>302</v>
      </c>
      <c r="D82" s="3" t="s">
        <v>95</v>
      </c>
      <c r="E82" s="3" t="s">
        <v>95</v>
      </c>
      <c r="F82" s="3" t="s">
        <v>96</v>
      </c>
      <c r="G82" s="3" t="s">
        <v>97</v>
      </c>
      <c r="H82" s="3" t="s">
        <v>303</v>
      </c>
      <c r="I82" s="3" t="str">
        <f>HYPERLINK("http://www.jccm.es/sede/tramite/LJE","EMPRESA DE INTERMEDIACION TURISTICA DE CASTILLA-LA MANCHA INICIO DE ACTIVIDAD SEDE PRINCIPAL")</f>
        <v>EMPRESA DE INTERMEDIACION TURISTICA DE CASTILLA-LA MANCHA INICIO DE ACTIVIDAD SEDE PRINCIPAL</v>
      </c>
      <c r="J82" s="3" t="s">
        <v>41</v>
      </c>
      <c r="K82" s="3" t="s">
        <v>41</v>
      </c>
      <c r="L82" s="3" t="s">
        <v>42</v>
      </c>
      <c r="M82" s="3" t="s">
        <v>41</v>
      </c>
    </row>
    <row r="83" spans="1:13" ht="195.6">
      <c r="A83" s="22" t="s">
        <v>12</v>
      </c>
      <c r="B83" s="3" t="s">
        <v>304</v>
      </c>
      <c r="C83" s="3" t="s">
        <v>305</v>
      </c>
      <c r="D83" s="3" t="s">
        <v>95</v>
      </c>
      <c r="E83" s="3" t="s">
        <v>95</v>
      </c>
      <c r="F83" s="3" t="s">
        <v>96</v>
      </c>
      <c r="G83" s="3" t="s">
        <v>97</v>
      </c>
      <c r="H83" s="3" t="s">
        <v>306</v>
      </c>
      <c r="I83" s="3" t="str">
        <f>HYPERLINK("http://www.jccm.es/sede/tramite/LJG","EMPRESA DE INTERMEDIACION TURISTICA DE C-LM.  COMUNICACION DE CAMBIO DE DENOMINACION, DE CLASIFICACION DE AGENCIAS DE VIAJE, ASI COMO DE CESE DE ACTIVIDAD")</f>
        <v>EMPRESA DE INTERMEDIACION TURISTICA DE C-LM.  COMUNICACION DE CAMBIO DE DENOMINACION, DE CLASIFICACION DE AGENCIAS DE VIAJE, ASI COMO DE CESE DE ACTIVIDAD</v>
      </c>
      <c r="J83" s="3" t="s">
        <v>41</v>
      </c>
      <c r="K83" s="3" t="s">
        <v>41</v>
      </c>
      <c r="L83" s="3" t="s">
        <v>42</v>
      </c>
      <c r="M83" s="3" t="s">
        <v>41</v>
      </c>
    </row>
    <row r="84" spans="1:13" ht="230.1">
      <c r="A84" s="22" t="s">
        <v>12</v>
      </c>
      <c r="B84" s="3" t="s">
        <v>307</v>
      </c>
      <c r="C84" s="3" t="s">
        <v>308</v>
      </c>
      <c r="D84" s="3" t="s">
        <v>95</v>
      </c>
      <c r="E84" s="3" t="s">
        <v>95</v>
      </c>
      <c r="F84" s="3" t="s">
        <v>96</v>
      </c>
      <c r="G84" s="3" t="s">
        <v>97</v>
      </c>
      <c r="H84" s="3" t="s">
        <v>309</v>
      </c>
      <c r="I84" s="3" t="str">
        <f>HYPERLINK("http://www.jccm.es/sede/tramite/LJF","EMPRESAS INTERMEDIACION TURISTICA DE C-LM. DECLARACION RESPONSABLE APERTURA DE NUEVAS SUCURSALES, ASI COMO EL CIERRE DE LAS YA EXISTENTES (SOLO PARA ESTABLECIMIENTOS FISICOS)")</f>
        <v>EMPRESAS INTERMEDIACION TURISTICA DE C-LM. DECLARACION RESPONSABLE APERTURA DE NUEVAS SUCURSALES, ASI COMO EL CIERRE DE LAS YA EXISTENTES (SOLO PARA ESTABLECIMIENTOS FISICOS)</v>
      </c>
      <c r="J84" s="3" t="s">
        <v>41</v>
      </c>
      <c r="K84" s="3" t="s">
        <v>41</v>
      </c>
      <c r="L84" s="3" t="s">
        <v>42</v>
      </c>
      <c r="M84" s="3" t="s">
        <v>41</v>
      </c>
    </row>
    <row r="85" spans="1:13" ht="218.45">
      <c r="A85" s="22" t="s">
        <v>12</v>
      </c>
      <c r="B85" s="3" t="s">
        <v>310</v>
      </c>
      <c r="C85" s="3" t="s">
        <v>311</v>
      </c>
      <c r="D85" s="3" t="s">
        <v>312</v>
      </c>
      <c r="E85" s="3" t="s">
        <v>37</v>
      </c>
      <c r="F85" s="3" t="s">
        <v>96</v>
      </c>
      <c r="G85" s="3" t="s">
        <v>120</v>
      </c>
      <c r="H85" s="3" t="s">
        <v>313</v>
      </c>
      <c r="I85" s="3" t="str">
        <f>HYPERLINK("http://www.jccm.es/sede/tramite/IJH","OBTENCION DE CERTIFICACION DE DENOMINACION NO COINCIDENTE Y DE SUS PRORROGAS PARA UNA SOCIEDAD COOPERATIVA EN EL REGISTRO DE COOPERATIVAS DE CASTILLA-LA MANCHA.")</f>
        <v>OBTENCION DE CERTIFICACION DE DENOMINACION NO COINCIDENTE Y DE SUS PRORROGAS PARA UNA SOCIEDAD COOPERATIVA EN EL REGISTRO DE COOPERATIVAS DE CASTILLA-LA MANCHA.</v>
      </c>
      <c r="J85" s="3" t="s">
        <v>41</v>
      </c>
      <c r="K85" s="3" t="s">
        <v>41</v>
      </c>
      <c r="L85" s="3" t="s">
        <v>42</v>
      </c>
      <c r="M85" s="3" t="s">
        <v>42</v>
      </c>
    </row>
    <row r="86" spans="1:13" ht="138">
      <c r="A86" s="22" t="s">
        <v>12</v>
      </c>
      <c r="B86" s="3" t="s">
        <v>314</v>
      </c>
      <c r="C86" s="3" t="s">
        <v>315</v>
      </c>
      <c r="D86" s="3" t="s">
        <v>316</v>
      </c>
      <c r="E86" s="3" t="s">
        <v>37</v>
      </c>
      <c r="F86" s="3" t="s">
        <v>96</v>
      </c>
      <c r="G86" s="3" t="s">
        <v>120</v>
      </c>
      <c r="H86" s="3" t="s">
        <v>317</v>
      </c>
      <c r="I86" s="3" t="str">
        <f>HYPERLINK("http://www.jccm.es/sede/tramite/I90","REGISTRO, DEPOSITO Y PUBLICACION DE CONVENIOS COLECTIVOS,  ACUERDOS COLECTIVOS DE TRABAJO Y PLANES DE IGUALDAD")</f>
        <v>REGISTRO, DEPOSITO Y PUBLICACION DE CONVENIOS COLECTIVOS,  ACUERDOS COLECTIVOS DE TRABAJO Y PLANES DE IGUALDAD</v>
      </c>
      <c r="J86" s="3" t="s">
        <v>41</v>
      </c>
      <c r="K86" s="3" t="s">
        <v>41</v>
      </c>
      <c r="L86" s="3" t="s">
        <v>42</v>
      </c>
      <c r="M86" s="3" t="s">
        <v>41</v>
      </c>
    </row>
    <row r="87" spans="1:13" ht="195.6">
      <c r="A87" s="22" t="s">
        <v>12</v>
      </c>
      <c r="B87" s="3" t="s">
        <v>318</v>
      </c>
      <c r="C87" s="3" t="s">
        <v>319</v>
      </c>
      <c r="D87" s="3" t="s">
        <v>320</v>
      </c>
      <c r="E87" s="3" t="s">
        <v>37</v>
      </c>
      <c r="F87" s="3" t="s">
        <v>96</v>
      </c>
      <c r="G87" s="3" t="s">
        <v>120</v>
      </c>
      <c r="H87" s="3" t="s">
        <v>321</v>
      </c>
      <c r="I87" s="3" t="str">
        <f>HYPERLINK("http://www.jccm.es/sede/tramite/I91","REGISTRO Y DEPOSITO DE ESTATUTOS DE ASOCIACIONES EMPRESARIALES Y SINDICALES, ASI COMO LAS FEDERACIONES, CONFEDERACIONES Y FUSIONES DE LAS MISMAS")</f>
        <v>REGISTRO Y DEPOSITO DE ESTATUTOS DE ASOCIACIONES EMPRESARIALES Y SINDICALES, ASI COMO LAS FEDERACIONES, CONFEDERACIONES Y FUSIONES DE LAS MISMAS</v>
      </c>
      <c r="J87" s="3" t="s">
        <v>41</v>
      </c>
      <c r="K87" s="3" t="s">
        <v>41</v>
      </c>
      <c r="L87" s="3" t="s">
        <v>42</v>
      </c>
      <c r="M87" s="3" t="s">
        <v>41</v>
      </c>
    </row>
    <row r="88" spans="1:13" ht="138">
      <c r="A88" s="22" t="s">
        <v>12</v>
      </c>
      <c r="B88" s="3" t="s">
        <v>322</v>
      </c>
      <c r="C88" s="3" t="s">
        <v>323</v>
      </c>
      <c r="D88" s="3" t="s">
        <v>45</v>
      </c>
      <c r="E88" s="3" t="s">
        <v>37</v>
      </c>
      <c r="F88" s="3" t="s">
        <v>96</v>
      </c>
      <c r="G88" s="3" t="s">
        <v>113</v>
      </c>
      <c r="H88" s="3" t="s">
        <v>324</v>
      </c>
      <c r="I88" s="3" t="str">
        <f>HYPERLINK("http://www.jccm.es/sede/tramite/I00","REGISTRO REGIONAL DE EMPRESAS EXENTAS DE AUDITORIAS DE SU SISTEMA DE PREVENCION.")</f>
        <v>REGISTRO REGIONAL DE EMPRESAS EXENTAS DE AUDITORIAS DE SU SISTEMA DE PREVENCION.</v>
      </c>
      <c r="J88" s="3" t="s">
        <v>42</v>
      </c>
      <c r="K88" s="3" t="s">
        <v>41</v>
      </c>
      <c r="L88" s="3" t="s">
        <v>42</v>
      </c>
      <c r="M88" s="3" t="s">
        <v>41</v>
      </c>
    </row>
    <row r="89" spans="1:13" ht="114.95">
      <c r="A89" s="22" t="s">
        <v>12</v>
      </c>
      <c r="B89" s="3" t="s">
        <v>325</v>
      </c>
      <c r="C89" s="3" t="s">
        <v>326</v>
      </c>
      <c r="D89" s="3" t="s">
        <v>327</v>
      </c>
      <c r="E89" s="3" t="s">
        <v>37</v>
      </c>
      <c r="F89" s="3" t="s">
        <v>96</v>
      </c>
      <c r="G89" s="3" t="s">
        <v>328</v>
      </c>
      <c r="H89" s="3" t="s">
        <v>329</v>
      </c>
      <c r="I89" s="3" t="str">
        <f>HYPERLINK("http://www.jccm.es/sede/tramite/JI7","REGISTRO ADMINISTRATIVO DE EMPRESAS DE INSERCION.")</f>
        <v>REGISTRO ADMINISTRATIVO DE EMPRESAS DE INSERCION.</v>
      </c>
      <c r="J89" s="3" t="s">
        <v>42</v>
      </c>
      <c r="K89" s="3" t="s">
        <v>41</v>
      </c>
      <c r="L89" s="3" t="s">
        <v>42</v>
      </c>
      <c r="M89" s="3" t="s">
        <v>41</v>
      </c>
    </row>
    <row r="90" spans="1:13" ht="183.95">
      <c r="A90" s="22" t="s">
        <v>12</v>
      </c>
      <c r="B90" s="3" t="s">
        <v>330</v>
      </c>
      <c r="C90" s="3" t="s">
        <v>331</v>
      </c>
      <c r="D90" s="3" t="s">
        <v>332</v>
      </c>
      <c r="E90" s="3" t="s">
        <v>37</v>
      </c>
      <c r="F90" s="3" t="s">
        <v>96</v>
      </c>
      <c r="G90" s="3" t="s">
        <v>120</v>
      </c>
      <c r="H90" s="3" t="s">
        <v>333</v>
      </c>
      <c r="I90" s="3" t="str">
        <f>HYPERLINK("http://www.jccm.es/sede/tramite/JMF","HABILITACION/LEGALIZACION DE LIBROS SOCIALES Y CONTABLES DE LAS SOCIEDADES COOPERATIVAS POR EL REGISTRO DE COOPERATIVAS DE CASTILLA-LA MANCHA.")</f>
        <v>HABILITACION/LEGALIZACION DE LIBROS SOCIALES Y CONTABLES DE LAS SOCIEDADES COOPERATIVAS POR EL REGISTRO DE COOPERATIVAS DE CASTILLA-LA MANCHA.</v>
      </c>
      <c r="J90" s="3" t="s">
        <v>42</v>
      </c>
      <c r="K90" s="3" t="s">
        <v>41</v>
      </c>
      <c r="L90" s="3" t="s">
        <v>42</v>
      </c>
      <c r="M90" s="3" t="s">
        <v>41</v>
      </c>
    </row>
    <row r="91" spans="1:13" ht="218.45">
      <c r="A91" s="22" t="s">
        <v>12</v>
      </c>
      <c r="B91" s="3" t="s">
        <v>334</v>
      </c>
      <c r="C91" s="3" t="s">
        <v>335</v>
      </c>
      <c r="D91" s="3" t="s">
        <v>45</v>
      </c>
      <c r="E91" s="3" t="s">
        <v>37</v>
      </c>
      <c r="F91" s="3" t="s">
        <v>96</v>
      </c>
      <c r="G91" s="3" t="s">
        <v>113</v>
      </c>
      <c r="H91" s="3" t="s">
        <v>336</v>
      </c>
      <c r="I91" s="3" t="str">
        <f>HYPERLINK("http://www.jccm.es/sede/tramite/JOS","INSCRIPCION EN EL REGISTRO DE EMPRESAS CON RIESGO DE AMIANTO (RERA) DE LAS EMPRESAS QUE VAYAN A REALIZAR ACTIVIDADES U OPERACIONES CON RIESGO DE EXPOSICION A AMIANTO")</f>
        <v>INSCRIPCION EN EL REGISTRO DE EMPRESAS CON RIESGO DE AMIANTO (RERA) DE LAS EMPRESAS QUE VAYAN A REALIZAR ACTIVIDADES U OPERACIONES CON RIESGO DE EXPOSICION A AMIANTO</v>
      </c>
      <c r="J91" s="3" t="s">
        <v>41</v>
      </c>
      <c r="K91" s="3" t="s">
        <v>41</v>
      </c>
      <c r="L91" s="3" t="s">
        <v>42</v>
      </c>
      <c r="M91" s="3" t="s">
        <v>42</v>
      </c>
    </row>
    <row r="92" spans="1:13" ht="172.5">
      <c r="A92" s="22" t="s">
        <v>12</v>
      </c>
      <c r="B92" s="3" t="s">
        <v>337</v>
      </c>
      <c r="C92" s="3" t="s">
        <v>338</v>
      </c>
      <c r="D92" s="3" t="s">
        <v>45</v>
      </c>
      <c r="E92" s="3" t="s">
        <v>37</v>
      </c>
      <c r="F92" s="3" t="s">
        <v>96</v>
      </c>
      <c r="G92" s="3" t="s">
        <v>113</v>
      </c>
      <c r="H92" s="3" t="s">
        <v>339</v>
      </c>
      <c r="I92" s="3" t="str">
        <f>HYPERLINK("http://www.jccm.es/sede/tramite/JOT","REGISTRO DE TECNICOS EN PREVENCION DE RIESGOS LABORALES.")</f>
        <v>REGISTRO DE TECNICOS EN PREVENCION DE RIESGOS LABORALES.</v>
      </c>
      <c r="J92" s="3" t="s">
        <v>42</v>
      </c>
      <c r="K92" s="3" t="s">
        <v>41</v>
      </c>
      <c r="L92" s="3" t="s">
        <v>42</v>
      </c>
      <c r="M92" s="3" t="s">
        <v>41</v>
      </c>
    </row>
    <row r="93" spans="1:13" ht="161.1">
      <c r="A93" s="22" t="s">
        <v>12</v>
      </c>
      <c r="B93" s="3" t="s">
        <v>340</v>
      </c>
      <c r="C93" s="3" t="s">
        <v>341</v>
      </c>
      <c r="D93" s="3" t="s">
        <v>45</v>
      </c>
      <c r="E93" s="3" t="s">
        <v>37</v>
      </c>
      <c r="F93" s="3" t="s">
        <v>96</v>
      </c>
      <c r="G93" s="3" t="s">
        <v>130</v>
      </c>
      <c r="H93" s="3" t="s">
        <v>342</v>
      </c>
      <c r="I93" s="3" t="str">
        <f>HYPERLINK("http://www.jccm.es/sede/tramite/JWK","REGISTRO DE FORMADORES PARA LA IMPARTICION DE ACCIONES FORMATIVAS CONDUCENTES A LA OBTENCION DE CERTIFICADOS DE PROFESIONALIDAD")</f>
        <v>REGISTRO DE FORMADORES PARA LA IMPARTICION DE ACCIONES FORMATIVAS CONDUCENTES A LA OBTENCION DE CERTIFICADOS DE PROFESIONALIDAD</v>
      </c>
      <c r="J93" s="3" t="s">
        <v>41</v>
      </c>
      <c r="K93" s="3" t="s">
        <v>41</v>
      </c>
      <c r="L93" s="3" t="s">
        <v>42</v>
      </c>
      <c r="M93" s="3" t="s">
        <v>41</v>
      </c>
    </row>
    <row r="94" spans="1:13" ht="218.45">
      <c r="A94" s="22" t="s">
        <v>12</v>
      </c>
      <c r="B94" s="3" t="s">
        <v>343</v>
      </c>
      <c r="C94" s="3" t="s">
        <v>344</v>
      </c>
      <c r="D94" s="3" t="s">
        <v>345</v>
      </c>
      <c r="E94" s="3" t="s">
        <v>37</v>
      </c>
      <c r="F94" s="3" t="s">
        <v>96</v>
      </c>
      <c r="G94" s="3" t="s">
        <v>120</v>
      </c>
      <c r="H94" s="3" t="s">
        <v>346</v>
      </c>
      <c r="I94" s="3" t="str">
        <f>HYPERLINK("http://www.jccm.es/sede/tramite/KFL","DEPOSITO DE LAS CUENTAS ANUALES DE LAS SOCIEDADES COOPERATIVAS EN EL REGISTRO DE COOPERATIVAS DE C-LM (TRAMITE ORDINARIO Y TRAMITE PROVISIONAL).")</f>
        <v>DEPOSITO DE LAS CUENTAS ANUALES DE LAS SOCIEDADES COOPERATIVAS EN EL REGISTRO DE COOPERATIVAS DE C-LM (TRAMITE ORDINARIO Y TRAMITE PROVISIONAL).</v>
      </c>
      <c r="J94" s="3" t="s">
        <v>41</v>
      </c>
      <c r="K94" s="3" t="s">
        <v>41</v>
      </c>
      <c r="L94" s="3" t="s">
        <v>42</v>
      </c>
      <c r="M94" s="3" t="s">
        <v>41</v>
      </c>
    </row>
    <row r="95" spans="1:13" ht="138">
      <c r="A95" s="22" t="s">
        <v>12</v>
      </c>
      <c r="B95" s="3" t="s">
        <v>347</v>
      </c>
      <c r="C95" s="3" t="s">
        <v>348</v>
      </c>
      <c r="D95" s="3" t="s">
        <v>45</v>
      </c>
      <c r="E95" s="3" t="s">
        <v>37</v>
      </c>
      <c r="F95" s="3" t="s">
        <v>96</v>
      </c>
      <c r="G95" s="3" t="s">
        <v>120</v>
      </c>
      <c r="H95" s="3" t="s">
        <v>349</v>
      </c>
      <c r="I95" s="3" t="str">
        <f>HYPERLINK("http://www.jccm.es/sede/tramite/KQ8","REGISTRO ESPECIAL DE ASOCIACIONES DE TRABAJADORAS Y TRABAJADORES AUTONOMOS DE CASTILLA-LA MANCHA")</f>
        <v>REGISTRO ESPECIAL DE ASOCIACIONES DE TRABAJADORAS Y TRABAJADORES AUTONOMOS DE CASTILLA-LA MANCHA</v>
      </c>
      <c r="J95" s="3" t="s">
        <v>41</v>
      </c>
      <c r="K95" s="3" t="s">
        <v>41</v>
      </c>
      <c r="L95" s="3" t="s">
        <v>42</v>
      </c>
      <c r="M95" s="3" t="s">
        <v>41</v>
      </c>
    </row>
    <row r="96" spans="1:13" ht="138">
      <c r="A96" s="22" t="s">
        <v>12</v>
      </c>
      <c r="B96" s="3" t="s">
        <v>350</v>
      </c>
      <c r="C96" s="3" t="s">
        <v>351</v>
      </c>
      <c r="D96" s="3" t="s">
        <v>95</v>
      </c>
      <c r="E96" s="3" t="s">
        <v>95</v>
      </c>
      <c r="F96" s="3" t="s">
        <v>96</v>
      </c>
      <c r="G96" s="3" t="s">
        <v>120</v>
      </c>
      <c r="H96" s="3" t="s">
        <v>352</v>
      </c>
      <c r="I96" s="3" t="str">
        <f>HYPERLINK("http://www.jccm.es/sede/tramite/L06","OFICINA DE ELECCIONES SINDICALES")</f>
        <v>OFICINA DE ELECCIONES SINDICALES</v>
      </c>
      <c r="J96" s="3" t="s">
        <v>42</v>
      </c>
      <c r="K96" s="3" t="s">
        <v>41</v>
      </c>
      <c r="L96" s="3" t="s">
        <v>42</v>
      </c>
      <c r="M96" s="3" t="s">
        <v>41</v>
      </c>
    </row>
    <row r="97" spans="1:13" ht="114.95">
      <c r="A97" s="22" t="s">
        <v>12</v>
      </c>
      <c r="B97" s="3" t="s">
        <v>353</v>
      </c>
      <c r="C97" s="3" t="s">
        <v>354</v>
      </c>
      <c r="D97" s="3" t="s">
        <v>95</v>
      </c>
      <c r="E97" s="3" t="s">
        <v>95</v>
      </c>
      <c r="F97" s="3" t="s">
        <v>96</v>
      </c>
      <c r="G97" s="3" t="s">
        <v>328</v>
      </c>
      <c r="H97" s="3" t="s">
        <v>355</v>
      </c>
      <c r="I97" s="3" t="str">
        <f>HYPERLINK("http://www.jccm.es/sede/tramite/L2M","MEMORIA ANUAL DE LOS CENTROS ESPECIALES DE EMPLEO")</f>
        <v>MEMORIA ANUAL DE LOS CENTROS ESPECIALES DE EMPLEO</v>
      </c>
      <c r="J97" s="3" t="s">
        <v>41</v>
      </c>
      <c r="K97" s="3" t="s">
        <v>41</v>
      </c>
      <c r="L97" s="3" t="s">
        <v>42</v>
      </c>
      <c r="M97" s="3" t="s">
        <v>41</v>
      </c>
    </row>
    <row r="98" spans="1:13" ht="149.44999999999999">
      <c r="A98" s="22" t="s">
        <v>12</v>
      </c>
      <c r="B98" s="3" t="s">
        <v>356</v>
      </c>
      <c r="C98" s="3" t="s">
        <v>357</v>
      </c>
      <c r="D98" s="3" t="s">
        <v>327</v>
      </c>
      <c r="E98" s="3" t="s">
        <v>37</v>
      </c>
      <c r="F98" s="3" t="s">
        <v>96</v>
      </c>
      <c r="G98" s="3" t="s">
        <v>328</v>
      </c>
      <c r="H98" s="3" t="s">
        <v>358</v>
      </c>
      <c r="I98" s="3" t="str">
        <f>HYPERLINK("http://www.jccm.es/sede/tramite/L45","CALIFICACION E INSCRIPCION  EN EL REGISTRO DE CENTROS ESPECIALES DE EMPLEO, COMO CENTRO ESPECIAL DE EMPLEO.")</f>
        <v>CALIFICACION E INSCRIPCION  EN EL REGISTRO DE CENTROS ESPECIALES DE EMPLEO, COMO CENTRO ESPECIAL DE EMPLEO.</v>
      </c>
      <c r="J98" s="3" t="s">
        <v>41</v>
      </c>
      <c r="K98" s="3" t="s">
        <v>41</v>
      </c>
      <c r="L98" s="3" t="s">
        <v>42</v>
      </c>
      <c r="M98" s="3" t="s">
        <v>41</v>
      </c>
    </row>
    <row r="99" spans="1:13" ht="172.5">
      <c r="A99" s="22" t="s">
        <v>12</v>
      </c>
      <c r="B99" s="3" t="s">
        <v>359</v>
      </c>
      <c r="C99" s="3" t="s">
        <v>360</v>
      </c>
      <c r="D99" s="3" t="s">
        <v>95</v>
      </c>
      <c r="E99" s="3" t="s">
        <v>95</v>
      </c>
      <c r="F99" s="3" t="s">
        <v>96</v>
      </c>
      <c r="G99" s="3" t="s">
        <v>328</v>
      </c>
      <c r="H99" s="3" t="s">
        <v>361</v>
      </c>
      <c r="I99" s="3" t="str">
        <f>HYPERLINK("http://www.jccm.es/sede/tramite/L46","COMUNICACION DE CAMBIOS REGISTRALES Y BAJA  EN EL REGISTRO DE CENTROS ESPECIALES DE EMPLEO, COMO CENTRO ESPECIAL DE EMPLEO.")</f>
        <v>COMUNICACION DE CAMBIOS REGISTRALES Y BAJA  EN EL REGISTRO DE CENTROS ESPECIALES DE EMPLEO, COMO CENTRO ESPECIAL DE EMPLEO.</v>
      </c>
      <c r="J99" s="3" t="s">
        <v>41</v>
      </c>
      <c r="K99" s="3" t="s">
        <v>41</v>
      </c>
      <c r="L99" s="3" t="s">
        <v>42</v>
      </c>
      <c r="M99" s="3" t="s">
        <v>41</v>
      </c>
    </row>
    <row r="100" spans="1:13" ht="126.6">
      <c r="A100" s="22" t="s">
        <v>12</v>
      </c>
      <c r="B100" s="3" t="s">
        <v>362</v>
      </c>
      <c r="C100" s="3" t="s">
        <v>363</v>
      </c>
      <c r="D100" s="3" t="s">
        <v>232</v>
      </c>
      <c r="E100" s="3" t="s">
        <v>46</v>
      </c>
      <c r="F100" s="3" t="s">
        <v>96</v>
      </c>
      <c r="G100" s="3" t="s">
        <v>328</v>
      </c>
      <c r="H100" s="3" t="s">
        <v>364</v>
      </c>
      <c r="I100" s="3" t="str">
        <f>HYPERLINK("http://www.jccm.es/sede/tramite/LP6","SOLICITUD DE CAMBIO DE TITULARIDAD EN EL REGISTRO DE CENTROS ESPECIALES DE CASTILLA-LA MANCHA.")</f>
        <v>SOLICITUD DE CAMBIO DE TITULARIDAD EN EL REGISTRO DE CENTROS ESPECIALES DE CASTILLA-LA MANCHA.</v>
      </c>
      <c r="J100" s="3" t="s">
        <v>41</v>
      </c>
      <c r="K100" s="3" t="s">
        <v>41</v>
      </c>
      <c r="L100" s="3" t="s">
        <v>42</v>
      </c>
      <c r="M100" s="3" t="s">
        <v>41</v>
      </c>
    </row>
    <row r="101" spans="1:13" ht="241.5">
      <c r="A101" s="22" t="s">
        <v>12</v>
      </c>
      <c r="B101" s="3" t="s">
        <v>365</v>
      </c>
      <c r="C101" s="3" t="s">
        <v>366</v>
      </c>
      <c r="D101" s="3" t="s">
        <v>367</v>
      </c>
      <c r="E101" s="3" t="s">
        <v>37</v>
      </c>
      <c r="F101" s="3" t="s">
        <v>96</v>
      </c>
      <c r="G101" s="3" t="s">
        <v>120</v>
      </c>
      <c r="H101" s="3" t="s">
        <v>368</v>
      </c>
      <c r="I101" s="3" t="str">
        <f>HYPERLINK("http://www.jccm.es/sede/tramite/KYQ","CALIFICACION PREVIA DEL PROYECTO DE ESTATUTOS E INSCRIPCION DE LA CONSTITUCION DE UNA NUEVA SOCIEDAD COOPERATIVA EN EL REGISTRO DE COOPERATIVAS DE CASTILLA-LA MANCHA.")</f>
        <v>CALIFICACION PREVIA DEL PROYECTO DE ESTATUTOS E INSCRIPCION DE LA CONSTITUCION DE UNA NUEVA SOCIEDAD COOPERATIVA EN EL REGISTRO DE COOPERATIVAS DE CASTILLA-LA MANCHA.</v>
      </c>
      <c r="J101" s="3" t="s">
        <v>41</v>
      </c>
      <c r="K101" s="3" t="s">
        <v>41</v>
      </c>
      <c r="L101" s="3" t="s">
        <v>42</v>
      </c>
      <c r="M101" s="3" t="s">
        <v>41</v>
      </c>
    </row>
    <row r="102" spans="1:13" ht="195.6">
      <c r="A102" s="22" t="s">
        <v>12</v>
      </c>
      <c r="B102" s="3" t="s">
        <v>369</v>
      </c>
      <c r="C102" s="3" t="s">
        <v>370</v>
      </c>
      <c r="D102" s="3" t="s">
        <v>367</v>
      </c>
      <c r="E102" s="3" t="s">
        <v>37</v>
      </c>
      <c r="F102" s="3" t="s">
        <v>96</v>
      </c>
      <c r="G102" s="3" t="s">
        <v>120</v>
      </c>
      <c r="H102" s="3" t="s">
        <v>371</v>
      </c>
      <c r="I102" s="3" t="str">
        <f>HYPERLINK("http://www.jccm.es/sede/tramite/I8Z","INSCRIPCION DE ACTOS RELATIVOS A LAS COOPERATIVAS Y ASOCIACIONES DE COOPERATIVAS EN EL REGISTRO DE COOPERATIVAS DE CASTILLA-LA MANCHA.")</f>
        <v>INSCRIPCION DE ACTOS RELATIVOS A LAS COOPERATIVAS Y ASOCIACIONES DE COOPERATIVAS EN EL REGISTRO DE COOPERATIVAS DE CASTILLA-LA MANCHA.</v>
      </c>
      <c r="J102" s="3" t="s">
        <v>42</v>
      </c>
      <c r="K102" s="3" t="s">
        <v>41</v>
      </c>
      <c r="L102" s="3" t="s">
        <v>42</v>
      </c>
      <c r="M102" s="3" t="s">
        <v>42</v>
      </c>
    </row>
    <row r="103" spans="1:13" ht="149.44999999999999">
      <c r="A103" s="22" t="s">
        <v>12</v>
      </c>
      <c r="B103" s="3" t="s">
        <v>372</v>
      </c>
      <c r="C103" s="3" t="s">
        <v>373</v>
      </c>
      <c r="D103" s="3" t="s">
        <v>374</v>
      </c>
      <c r="E103" s="3" t="s">
        <v>37</v>
      </c>
      <c r="F103" s="3" t="s">
        <v>96</v>
      </c>
      <c r="G103" s="3" t="s">
        <v>113</v>
      </c>
      <c r="H103" s="3" t="s">
        <v>375</v>
      </c>
      <c r="I103" s="3" t="str">
        <f>HYPERLINK("http://www.jccm.es/sede/tramite/J39","INSCRIPCION Y RENOVACION EN EL REGISTRO DE EMPRESAS ACREDITADAS EN EL SECTOR DE LA CONSTRUCCION (REA).")</f>
        <v>INSCRIPCION Y RENOVACION EN EL REGISTRO DE EMPRESAS ACREDITADAS EN EL SECTOR DE LA CONSTRUCCION (REA).</v>
      </c>
      <c r="J103" s="3" t="s">
        <v>41</v>
      </c>
      <c r="K103" s="3" t="s">
        <v>41</v>
      </c>
      <c r="L103" s="3" t="s">
        <v>42</v>
      </c>
      <c r="M103" s="3" t="s">
        <v>41</v>
      </c>
    </row>
    <row r="104" spans="1:13" ht="161.1">
      <c r="A104" s="22" t="s">
        <v>12</v>
      </c>
      <c r="B104" s="3" t="s">
        <v>376</v>
      </c>
      <c r="C104" s="3" t="s">
        <v>377</v>
      </c>
      <c r="D104" s="3" t="s">
        <v>374</v>
      </c>
      <c r="E104" s="3" t="s">
        <v>37</v>
      </c>
      <c r="F104" s="3" t="s">
        <v>96</v>
      </c>
      <c r="G104" s="3" t="s">
        <v>113</v>
      </c>
      <c r="H104" s="3" t="s">
        <v>378</v>
      </c>
      <c r="I104" s="3" t="str">
        <f>HYPERLINK("http://www.jccm.es/sede/tramite/KJP","COMUNICACION DE VARIACION DE DATOS EN EL REGISTRO DE EMPRESAS ACREDITADAS EN EL SECTOR DE LA CONSTRUCCION (REA).")</f>
        <v>COMUNICACION DE VARIACION DE DATOS EN EL REGISTRO DE EMPRESAS ACREDITADAS EN EL SECTOR DE LA CONSTRUCCION (REA).</v>
      </c>
      <c r="J104" s="3" t="s">
        <v>41</v>
      </c>
      <c r="K104" s="3" t="s">
        <v>41</v>
      </c>
      <c r="L104" s="3" t="s">
        <v>42</v>
      </c>
      <c r="M104" s="3" t="s">
        <v>41</v>
      </c>
    </row>
    <row r="105" spans="1:13" ht="149.44999999999999">
      <c r="A105" s="22" t="s">
        <v>12</v>
      </c>
      <c r="B105" s="3" t="s">
        <v>379</v>
      </c>
      <c r="C105" s="3" t="s">
        <v>380</v>
      </c>
      <c r="D105" s="3" t="s">
        <v>374</v>
      </c>
      <c r="E105" s="3" t="s">
        <v>37</v>
      </c>
      <c r="F105" s="3" t="s">
        <v>96</v>
      </c>
      <c r="G105" s="3" t="s">
        <v>113</v>
      </c>
      <c r="H105" s="3" t="s">
        <v>381</v>
      </c>
      <c r="I105" s="3" t="str">
        <f>HYPERLINK("http://www.jccm.es/sede/tramite/KJQ","CANCELACION DE INSCRIPCION EN EL REGISTRO DE EMPRESAS ACREDITADAS EN EL SECTOR DE LA CONSTRUCCION (REA).")</f>
        <v>CANCELACION DE INSCRIPCION EN EL REGISTRO DE EMPRESAS ACREDITADAS EN EL SECTOR DE LA CONSTRUCCION (REA).</v>
      </c>
      <c r="J105" s="3" t="s">
        <v>41</v>
      </c>
      <c r="K105" s="3" t="s">
        <v>41</v>
      </c>
      <c r="L105" s="3" t="s">
        <v>42</v>
      </c>
      <c r="M105" s="3" t="s">
        <v>41</v>
      </c>
    </row>
    <row r="106" spans="1:13" ht="126.6">
      <c r="A106" s="22" t="s">
        <v>12</v>
      </c>
      <c r="B106" s="3" t="s">
        <v>382</v>
      </c>
      <c r="C106" s="3" t="s">
        <v>383</v>
      </c>
      <c r="D106" s="3" t="s">
        <v>95</v>
      </c>
      <c r="E106" s="3" t="s">
        <v>95</v>
      </c>
      <c r="F106" s="3" t="s">
        <v>96</v>
      </c>
      <c r="G106" s="3" t="s">
        <v>97</v>
      </c>
      <c r="H106" s="3" t="s">
        <v>384</v>
      </c>
      <c r="I106" s="3" t="str">
        <f>HYPERLINK("http://www.jccm.es/sede/tramite/IHW","REGISTRO DE FRANQUICIADORES")</f>
        <v>REGISTRO DE FRANQUICIADORES</v>
      </c>
      <c r="J106" s="3" t="s">
        <v>42</v>
      </c>
      <c r="K106" s="3" t="s">
        <v>41</v>
      </c>
      <c r="L106" s="3" t="s">
        <v>42</v>
      </c>
      <c r="M106" s="3" t="s">
        <v>42</v>
      </c>
    </row>
    <row r="107" spans="1:13" ht="126.6">
      <c r="A107" s="22" t="s">
        <v>12</v>
      </c>
      <c r="B107" s="3" t="s">
        <v>385</v>
      </c>
      <c r="C107" s="3" t="s">
        <v>386</v>
      </c>
      <c r="D107" s="3" t="s">
        <v>45</v>
      </c>
      <c r="E107" s="3" t="s">
        <v>46</v>
      </c>
      <c r="F107" s="3" t="s">
        <v>96</v>
      </c>
      <c r="G107" s="3" t="s">
        <v>130</v>
      </c>
      <c r="H107" s="3" t="s">
        <v>387</v>
      </c>
      <c r="I107" s="3" t="str">
        <f>HYPERLINK("http://www.jccm.es/sede/tramite/ITX","EXPEDICION DE CERTIFICADO DE PROFESIONALIDAD")</f>
        <v>EXPEDICION DE CERTIFICADO DE PROFESIONALIDAD</v>
      </c>
      <c r="J107" s="3" t="s">
        <v>42</v>
      </c>
      <c r="K107" s="3" t="s">
        <v>41</v>
      </c>
      <c r="L107" s="3" t="s">
        <v>42</v>
      </c>
      <c r="M107" s="3" t="s">
        <v>41</v>
      </c>
    </row>
    <row r="108" spans="1:13" ht="126.6">
      <c r="A108" s="22" t="s">
        <v>12</v>
      </c>
      <c r="B108" s="3" t="s">
        <v>388</v>
      </c>
      <c r="C108" s="3" t="s">
        <v>389</v>
      </c>
      <c r="D108" s="3" t="s">
        <v>45</v>
      </c>
      <c r="E108" s="3" t="s">
        <v>46</v>
      </c>
      <c r="F108" s="3" t="s">
        <v>96</v>
      </c>
      <c r="G108" s="3" t="s">
        <v>130</v>
      </c>
      <c r="H108" s="3" t="s">
        <v>390</v>
      </c>
      <c r="I108" s="3" t="str">
        <f>HYPERLINK("http://www.jccm.es/sede/tramite/KCK","EXPEDICION DE ACREDITACION DE UNIDADES DE COMPETENCIA")</f>
        <v>EXPEDICION DE ACREDITACION DE UNIDADES DE COMPETENCIA</v>
      </c>
      <c r="J108" s="3" t="s">
        <v>42</v>
      </c>
      <c r="K108" s="3" t="s">
        <v>41</v>
      </c>
      <c r="L108" s="3" t="s">
        <v>42</v>
      </c>
      <c r="M108" s="3" t="s">
        <v>41</v>
      </c>
    </row>
    <row r="109" spans="1:13" ht="138">
      <c r="A109" s="22" t="s">
        <v>12</v>
      </c>
      <c r="B109" s="3" t="s">
        <v>391</v>
      </c>
      <c r="C109" s="3" t="s">
        <v>392</v>
      </c>
      <c r="D109" s="3" t="s">
        <v>95</v>
      </c>
      <c r="E109" s="3" t="s">
        <v>95</v>
      </c>
      <c r="F109" s="3" t="s">
        <v>96</v>
      </c>
      <c r="G109" s="3" t="s">
        <v>113</v>
      </c>
      <c r="H109" s="3" t="s">
        <v>393</v>
      </c>
      <c r="I109" s="3" t="str">
        <f>HYPERLINK("http://www.jccm.es/sede/tramite/KIK","SOLICITUD DE BAJA COMO DEMANDANTE EN LOS SERVICIOS PUBLICOS DE EMPLEO DE CASTILLA LA MANCHA")</f>
        <v>SOLICITUD DE BAJA COMO DEMANDANTE EN LOS SERVICIOS PUBLICOS DE EMPLEO DE CASTILLA LA MANCHA</v>
      </c>
      <c r="J109" s="3" t="s">
        <v>42</v>
      </c>
      <c r="K109" s="3" t="s">
        <v>41</v>
      </c>
      <c r="L109" s="3" t="s">
        <v>42</v>
      </c>
      <c r="M109" s="3" t="s">
        <v>41</v>
      </c>
    </row>
    <row r="110" spans="1:13" ht="149.44999999999999">
      <c r="A110" s="22" t="s">
        <v>12</v>
      </c>
      <c r="B110" s="3" t="s">
        <v>394</v>
      </c>
      <c r="C110" s="3" t="s">
        <v>395</v>
      </c>
      <c r="D110" s="3" t="s">
        <v>95</v>
      </c>
      <c r="E110" s="3" t="s">
        <v>95</v>
      </c>
      <c r="F110" s="3" t="s">
        <v>96</v>
      </c>
      <c r="G110" s="3" t="s">
        <v>113</v>
      </c>
      <c r="H110" s="3" t="s">
        <v>396</v>
      </c>
      <c r="I110" s="3" t="str">
        <f>HYPERLINK("http://www.jccm.es/sede/tramite/KIJ","COMUNICACION DE DESPLAZAMIENTO DE DEMANDANTES INSCRITOS EN LOS SERVICIOS PUBLICOS DE EMPLEO DE CASTILLA LA MANCHA")</f>
        <v>COMUNICACION DE DESPLAZAMIENTO DE DEMANDANTES INSCRITOS EN LOS SERVICIOS PUBLICOS DE EMPLEO DE CASTILLA LA MANCHA</v>
      </c>
      <c r="J110" s="3" t="s">
        <v>42</v>
      </c>
      <c r="K110" s="3" t="s">
        <v>41</v>
      </c>
      <c r="L110" s="3" t="s">
        <v>41</v>
      </c>
      <c r="M110" s="3" t="s">
        <v>41</v>
      </c>
    </row>
    <row r="111" spans="1:13" ht="138">
      <c r="A111" s="22" t="s">
        <v>12</v>
      </c>
      <c r="B111" s="3" t="s">
        <v>397</v>
      </c>
      <c r="C111" s="3" t="s">
        <v>398</v>
      </c>
      <c r="D111" s="3" t="s">
        <v>95</v>
      </c>
      <c r="E111" s="3" t="s">
        <v>95</v>
      </c>
      <c r="F111" s="3" t="s">
        <v>96</v>
      </c>
      <c r="G111" s="3" t="s">
        <v>113</v>
      </c>
      <c r="H111" s="3" t="s">
        <v>399</v>
      </c>
      <c r="I111" s="3" t="str">
        <f>HYPERLINK("http://www.jccm.es/sede/tramite/KII","SOLICITUD DE SUSPENSION DE LA DEMANDA EN LOS SERVICIOS PUBLICOS DE EMPLEO DE CASTILLA LA MANCHA")</f>
        <v>SOLICITUD DE SUSPENSION DE LA DEMANDA EN LOS SERVICIOS PUBLICOS DE EMPLEO DE CASTILLA LA MANCHA</v>
      </c>
      <c r="J111" s="3" t="s">
        <v>42</v>
      </c>
      <c r="K111" s="3" t="s">
        <v>41</v>
      </c>
      <c r="L111" s="3" t="s">
        <v>41</v>
      </c>
      <c r="M111" s="3" t="s">
        <v>41</v>
      </c>
    </row>
    <row r="112" spans="1:13" ht="138">
      <c r="A112" s="22" t="s">
        <v>12</v>
      </c>
      <c r="B112" s="3" t="s">
        <v>400</v>
      </c>
      <c r="C112" s="3" t="s">
        <v>401</v>
      </c>
      <c r="D112" s="3" t="s">
        <v>95</v>
      </c>
      <c r="E112" s="3" t="s">
        <v>95</v>
      </c>
      <c r="F112" s="3" t="s">
        <v>96</v>
      </c>
      <c r="G112" s="3" t="s">
        <v>113</v>
      </c>
      <c r="H112" s="3" t="s">
        <v>402</v>
      </c>
      <c r="I112" s="3" t="str">
        <f>HYPERLINK("http://www.jccm.es/sede/tramite/KIH","SOLICITUD DE RECUPERACION DE PERIODO EN BAJA DE LA DEMANDA")</f>
        <v>SOLICITUD DE RECUPERACION DE PERIODO EN BAJA DE LA DEMANDA</v>
      </c>
      <c r="J112" s="3" t="s">
        <v>42</v>
      </c>
      <c r="K112" s="3" t="s">
        <v>41</v>
      </c>
      <c r="L112" s="3" t="s">
        <v>41</v>
      </c>
      <c r="M112" s="3" t="s">
        <v>41</v>
      </c>
    </row>
    <row r="113" spans="1:13" ht="241.5">
      <c r="A113" s="22" t="s">
        <v>12</v>
      </c>
      <c r="B113" s="3" t="s">
        <v>403</v>
      </c>
      <c r="C113" s="3" t="s">
        <v>404</v>
      </c>
      <c r="D113" s="3" t="s">
        <v>95</v>
      </c>
      <c r="E113" s="3" t="s">
        <v>95</v>
      </c>
      <c r="F113" s="3" t="s">
        <v>96</v>
      </c>
      <c r="G113" s="3" t="s">
        <v>113</v>
      </c>
      <c r="H113" s="3" t="s">
        <v>405</v>
      </c>
      <c r="I113" s="3" t="str">
        <f>HYPERLINK("http://www.jccm.es/sede/tramite/JNO","INSCRIPCION COMO DEMANDANTE DE PERSONAS TRABAJADORAS EN OFICINAS DE EMPLEO Y EMPRENDEDORES DE LA CONSEJERIA DE EMPLEO Y ECONOMIA, ASI COMO MANTENIMIENTO Y ACTUALIZACION DE LOS DATOS DE SU DEMANDA")</f>
        <v>INSCRIPCION COMO DEMANDANTE DE PERSONAS TRABAJADORAS EN OFICINAS DE EMPLEO Y EMPRENDEDORES DE LA CONSEJERIA DE EMPLEO Y ECONOMIA, ASI COMO MANTENIMIENTO Y ACTUALIZACION DE LOS DATOS DE SU DEMANDA</v>
      </c>
      <c r="J113" s="3" t="s">
        <v>42</v>
      </c>
      <c r="K113" s="3" t="s">
        <v>41</v>
      </c>
      <c r="L113" s="3" t="s">
        <v>42</v>
      </c>
      <c r="M113" s="3" t="s">
        <v>41</v>
      </c>
    </row>
    <row r="114" spans="1:13" ht="126.6">
      <c r="A114" s="22" t="s">
        <v>12</v>
      </c>
      <c r="B114" s="3" t="s">
        <v>406</v>
      </c>
      <c r="C114" s="3" t="s">
        <v>407</v>
      </c>
      <c r="D114" s="3" t="s">
        <v>95</v>
      </c>
      <c r="E114" s="3" t="s">
        <v>37</v>
      </c>
      <c r="F114" s="3" t="s">
        <v>96</v>
      </c>
      <c r="G114" s="3" t="s">
        <v>97</v>
      </c>
      <c r="H114" s="3" t="s">
        <v>408</v>
      </c>
      <c r="I114" s="3" t="str">
        <f>HYPERLINK("http://www.jccm.es/sede/tramite/KNB","DECLARACION RESPONSABLE DE USO DE LA MARCA  CASTILLA-LA MANCHA")</f>
        <v>DECLARACION RESPONSABLE DE USO DE LA MARCA  CASTILLA-LA MANCHA</v>
      </c>
      <c r="J114" s="3" t="s">
        <v>42</v>
      </c>
      <c r="K114" s="3" t="s">
        <v>41</v>
      </c>
      <c r="L114" s="3" t="s">
        <v>42</v>
      </c>
      <c r="M114" s="3" t="s">
        <v>41</v>
      </c>
    </row>
    <row r="115" spans="1:13" ht="138">
      <c r="A115" s="22" t="s">
        <v>12</v>
      </c>
      <c r="B115" s="3" t="s">
        <v>409</v>
      </c>
      <c r="C115" s="3" t="s">
        <v>410</v>
      </c>
      <c r="D115" s="3" t="s">
        <v>95</v>
      </c>
      <c r="E115" s="3" t="s">
        <v>37</v>
      </c>
      <c r="F115" s="3" t="s">
        <v>96</v>
      </c>
      <c r="G115" s="3" t="s">
        <v>97</v>
      </c>
      <c r="H115" s="3" t="s">
        <v>411</v>
      </c>
      <c r="I115" s="3" t="str">
        <f>HYPERLINK("http://www.jccm.es/sede/tramite/KYC","COMUNICACION DE BAJA VOLUNTARIA EN EL REGISTRO REGIONAL DE USUARIOS DE LA MARCA  CASTILLA-LA MANCHA")</f>
        <v>COMUNICACION DE BAJA VOLUNTARIA EN EL REGISTRO REGIONAL DE USUARIOS DE LA MARCA  CASTILLA-LA MANCHA</v>
      </c>
      <c r="J115" s="3" t="s">
        <v>42</v>
      </c>
      <c r="K115" s="3" t="s">
        <v>41</v>
      </c>
      <c r="L115" s="3" t="s">
        <v>42</v>
      </c>
      <c r="M115" s="3" t="s">
        <v>41</v>
      </c>
    </row>
    <row r="116" spans="1:13" ht="114.95">
      <c r="A116" s="22" t="s">
        <v>12</v>
      </c>
      <c r="B116" s="3" t="s">
        <v>412</v>
      </c>
      <c r="C116" s="3" t="s">
        <v>413</v>
      </c>
      <c r="D116" s="3" t="s">
        <v>62</v>
      </c>
      <c r="E116" s="3" t="s">
        <v>37</v>
      </c>
      <c r="F116" s="3" t="s">
        <v>96</v>
      </c>
      <c r="G116" s="3" t="s">
        <v>328</v>
      </c>
      <c r="H116" s="3" t="s">
        <v>414</v>
      </c>
      <c r="I116" s="3" t="str">
        <f>HYPERLINK("http://www.jccm.es/sede/tramite/KPY","BAJA DEL REGISTRO DE ENTIDADES HOMOLOGADAS")</f>
        <v>BAJA DEL REGISTRO DE ENTIDADES HOMOLOGADAS</v>
      </c>
      <c r="J116" s="3" t="s">
        <v>41</v>
      </c>
      <c r="K116" s="3" t="s">
        <v>41</v>
      </c>
      <c r="L116" s="3" t="s">
        <v>42</v>
      </c>
      <c r="M116" s="3" t="s">
        <v>41</v>
      </c>
    </row>
    <row r="117" spans="1:13" ht="241.5">
      <c r="A117" s="22" t="s">
        <v>12</v>
      </c>
      <c r="B117" s="3" t="s">
        <v>415</v>
      </c>
      <c r="C117" s="3" t="s">
        <v>416</v>
      </c>
      <c r="D117" s="3" t="s">
        <v>62</v>
      </c>
      <c r="E117" s="3" t="s">
        <v>37</v>
      </c>
      <c r="F117" s="3" t="s">
        <v>96</v>
      </c>
      <c r="G117" s="3" t="s">
        <v>328</v>
      </c>
      <c r="H117" s="3" t="s">
        <v>417</v>
      </c>
      <c r="I117" s="3" t="str">
        <f>HYPERLINK("http://www.jccm.es/sede/tramite/KPW","HOMOLOGACION DE ENTIDADES PARA LA PRESTACION DE SERVICIOS DE ASESORAMIENTO Y TUTORIZACION A PERSONAS EMPRENDEDORAS Y ALTA EN EL REGISTRO DE ENTIDADES HOMOLOGADAS")</f>
        <v>HOMOLOGACION DE ENTIDADES PARA LA PRESTACION DE SERVICIOS DE ASESORAMIENTO Y TUTORIZACION A PERSONAS EMPRENDEDORAS Y ALTA EN EL REGISTRO DE ENTIDADES HOMOLOGADAS</v>
      </c>
      <c r="J117" s="3" t="s">
        <v>41</v>
      </c>
      <c r="K117" s="3" t="s">
        <v>41</v>
      </c>
      <c r="L117" s="3" t="s">
        <v>42</v>
      </c>
      <c r="M117" s="3" t="s">
        <v>41</v>
      </c>
    </row>
    <row r="118" spans="1:13" ht="114.95">
      <c r="A118" s="22" t="s">
        <v>12</v>
      </c>
      <c r="B118" s="3" t="s">
        <v>418</v>
      </c>
      <c r="C118" s="3" t="s">
        <v>419</v>
      </c>
      <c r="D118" s="3" t="s">
        <v>62</v>
      </c>
      <c r="E118" s="3" t="s">
        <v>37</v>
      </c>
      <c r="F118" s="3" t="s">
        <v>96</v>
      </c>
      <c r="G118" s="3" t="s">
        <v>328</v>
      </c>
      <c r="H118" s="3" t="s">
        <v>420</v>
      </c>
      <c r="I118" s="3" t="str">
        <f>HYPERLINK("http://www.jccm.es/sede/tramite/KPX","MODIFICACION DE LOS DATOS DEL REGISTRO DE ENTIDADES HOMOLOGADAS")</f>
        <v>MODIFICACION DE LOS DATOS DEL REGISTRO DE ENTIDADES HOMOLOGADAS</v>
      </c>
      <c r="J118" s="3" t="s">
        <v>41</v>
      </c>
      <c r="K118" s="3" t="s">
        <v>41</v>
      </c>
      <c r="L118" s="3" t="s">
        <v>42</v>
      </c>
      <c r="M118" s="3" t="s">
        <v>41</v>
      </c>
    </row>
    <row r="119" spans="1:13" ht="207">
      <c r="A119" s="22" t="s">
        <v>12</v>
      </c>
      <c r="B119" s="3" t="s">
        <v>421</v>
      </c>
      <c r="C119" s="3" t="s">
        <v>422</v>
      </c>
      <c r="D119" s="3" t="s">
        <v>45</v>
      </c>
      <c r="E119" s="3" t="s">
        <v>46</v>
      </c>
      <c r="F119" s="3" t="s">
        <v>96</v>
      </c>
      <c r="G119" s="3" t="s">
        <v>328</v>
      </c>
      <c r="H119" s="3" t="s">
        <v>423</v>
      </c>
      <c r="I119" s="3" t="str">
        <f>HYPERLINK("http://www.jccm.es/sede/tramite/JOW","AYUDAS ESPECIALES DEL DECRETO 312/2011, DE 29 DE DICIEMBRE, DE LAS PERSONAS TRABAJADORAS AFECTADAS POR LOS ERES 76/2000, DE 08/03/2001 Y 25/2001, DE 31/07/2001")</f>
        <v>AYUDAS ESPECIALES DEL DECRETO 312/2011, DE 29 DE DICIEMBRE, DE LAS PERSONAS TRABAJADORAS AFECTADAS POR LOS ERES 76/2000, DE 08/03/2001 Y 25/2001, DE 31/07/2001</v>
      </c>
      <c r="J119" s="3" t="s">
        <v>42</v>
      </c>
      <c r="K119" s="3" t="s">
        <v>41</v>
      </c>
      <c r="L119" s="3" t="s">
        <v>42</v>
      </c>
      <c r="M119" s="3" t="s">
        <v>41</v>
      </c>
    </row>
    <row r="120" spans="1:13" ht="218.45">
      <c r="A120" s="22" t="s">
        <v>12</v>
      </c>
      <c r="B120" s="3" t="s">
        <v>424</v>
      </c>
      <c r="C120" s="3" t="s">
        <v>425</v>
      </c>
      <c r="D120" s="3" t="s">
        <v>426</v>
      </c>
      <c r="E120" s="3" t="s">
        <v>46</v>
      </c>
      <c r="F120" s="3" t="s">
        <v>96</v>
      </c>
      <c r="G120" s="3" t="s">
        <v>130</v>
      </c>
      <c r="H120" s="3" t="s">
        <v>427</v>
      </c>
      <c r="I120" s="3" t="str">
        <f>HYPERLINK("http://www.jccm.es/sede/tramite/K5F","CONCESION DE BECAS Y/O AYUDAS PARA PERSONAS TRABAJADORAS  DESEMPLEADAS QUE PARTICIPEN EN LAS DIFERENTES MODALIDADES DE FORMACION PROFESIONAL PARA EL EMPLEO EN CASTILLA - MANCHA.")</f>
        <v>CONCESION DE BECAS Y/O AYUDAS PARA PERSONAS TRABAJADORAS  DESEMPLEADAS QUE PARTICIPEN EN LAS DIFERENTES MODALIDADES DE FORMACION PROFESIONAL PARA EL EMPLEO EN CASTILLA - MANCHA.</v>
      </c>
      <c r="J120" s="3" t="s">
        <v>42</v>
      </c>
      <c r="K120" s="3" t="s">
        <v>41</v>
      </c>
      <c r="L120" s="3" t="s">
        <v>42</v>
      </c>
      <c r="M120" s="3" t="s">
        <v>41</v>
      </c>
    </row>
    <row r="121" spans="1:13" ht="126.6">
      <c r="A121" s="22" t="s">
        <v>12</v>
      </c>
      <c r="B121" s="3" t="s">
        <v>428</v>
      </c>
      <c r="C121" s="3" t="s">
        <v>429</v>
      </c>
      <c r="D121" s="3" t="s">
        <v>95</v>
      </c>
      <c r="E121" s="3" t="s">
        <v>46</v>
      </c>
      <c r="F121" s="3" t="s">
        <v>96</v>
      </c>
      <c r="G121" s="3" t="s">
        <v>130</v>
      </c>
      <c r="H121" s="3" t="s">
        <v>430</v>
      </c>
      <c r="I121" s="3" t="str">
        <f>HYPERLINK("http://www.jccm.es/sede/tramite/K5E","INSCRIPCION PARA LA REALIZACION DE ACCIONES DE FORMACION PROFESIONAL PARA EL EMPLEO.")</f>
        <v>INSCRIPCION PARA LA REALIZACION DE ACCIONES DE FORMACION PROFESIONAL PARA EL EMPLEO.</v>
      </c>
      <c r="J121" s="3" t="s">
        <v>42</v>
      </c>
      <c r="K121" s="3" t="s">
        <v>41</v>
      </c>
      <c r="L121" s="3" t="s">
        <v>42</v>
      </c>
      <c r="M121" s="3" t="s">
        <v>41</v>
      </c>
    </row>
    <row r="122" spans="1:13" ht="218.45">
      <c r="A122" s="22" t="s">
        <v>12</v>
      </c>
      <c r="B122" s="3" t="s">
        <v>431</v>
      </c>
      <c r="C122" s="3" t="s">
        <v>432</v>
      </c>
      <c r="D122" s="3" t="s">
        <v>45</v>
      </c>
      <c r="E122" s="3" t="s">
        <v>46</v>
      </c>
      <c r="F122" s="3" t="s">
        <v>96</v>
      </c>
      <c r="G122" s="3" t="s">
        <v>328</v>
      </c>
      <c r="H122" s="3" t="s">
        <v>433</v>
      </c>
      <c r="I122" s="3" t="str">
        <f>HYPERLINK("http://www.jccm.es/sede/tramite/KM2","SUBVENCIONES PARA LA REALIZACION DE PROYECTOS DENTRO DEL PROGRAMA GARANTIA +52 AÑOS.")</f>
        <v>SUBVENCIONES PARA LA REALIZACION DE PROYECTOS DENTRO DEL PROGRAMA GARANTIA +52 AÑOS.</v>
      </c>
      <c r="J122" s="3" t="s">
        <v>41</v>
      </c>
      <c r="K122" s="3" t="s">
        <v>41</v>
      </c>
      <c r="L122" s="3" t="s">
        <v>42</v>
      </c>
      <c r="M122" s="3" t="s">
        <v>41</v>
      </c>
    </row>
    <row r="123" spans="1:13" ht="126.6">
      <c r="A123" s="22" t="s">
        <v>12</v>
      </c>
      <c r="B123" s="3" t="s">
        <v>434</v>
      </c>
      <c r="C123" s="3" t="s">
        <v>435</v>
      </c>
      <c r="D123" s="3" t="s">
        <v>36</v>
      </c>
      <c r="E123" s="3" t="s">
        <v>46</v>
      </c>
      <c r="F123" s="3" t="s">
        <v>96</v>
      </c>
      <c r="G123" s="3" t="s">
        <v>97</v>
      </c>
      <c r="H123" s="3" t="s">
        <v>436</v>
      </c>
      <c r="I123" s="3" t="str">
        <f>HYPERLINK("http://www.jccm.es/sede/tramite/KM6","PREMIOS PERIODISTICOS DE CASTILLA-LA MANCHA.")</f>
        <v>PREMIOS PERIODISTICOS DE CASTILLA-LA MANCHA.</v>
      </c>
      <c r="J123" s="3" t="s">
        <v>41</v>
      </c>
      <c r="K123" s="3" t="s">
        <v>41</v>
      </c>
      <c r="L123" s="3" t="s">
        <v>42</v>
      </c>
      <c r="M123" s="3" t="s">
        <v>41</v>
      </c>
    </row>
    <row r="124" spans="1:13" ht="126.6">
      <c r="A124" s="22" t="s">
        <v>12</v>
      </c>
      <c r="B124" s="3" t="s">
        <v>437</v>
      </c>
      <c r="C124" s="3" t="s">
        <v>438</v>
      </c>
      <c r="D124" s="3" t="s">
        <v>36</v>
      </c>
      <c r="E124" s="3" t="s">
        <v>46</v>
      </c>
      <c r="F124" s="3" t="s">
        <v>96</v>
      </c>
      <c r="G124" s="3" t="s">
        <v>97</v>
      </c>
      <c r="H124" s="3" t="s">
        <v>439</v>
      </c>
      <c r="I124" s="3" t="str">
        <f>HYPERLINK("http://www.jccm.es/sede/tramite/KM9","PREMIOS RAIZ CULINARIA CASTILLA-LA MANCHA")</f>
        <v>PREMIOS RAIZ CULINARIA CASTILLA-LA MANCHA</v>
      </c>
      <c r="J124" s="3" t="s">
        <v>41</v>
      </c>
      <c r="K124" s="3" t="s">
        <v>41</v>
      </c>
      <c r="L124" s="3" t="s">
        <v>42</v>
      </c>
      <c r="M124" s="3" t="s">
        <v>41</v>
      </c>
    </row>
    <row r="125" spans="1:13" ht="195.6">
      <c r="A125" s="22" t="s">
        <v>12</v>
      </c>
      <c r="B125" s="3" t="s">
        <v>440</v>
      </c>
      <c r="C125" s="3" t="s">
        <v>441</v>
      </c>
      <c r="D125" s="3" t="s">
        <v>442</v>
      </c>
      <c r="E125" s="3" t="s">
        <v>46</v>
      </c>
      <c r="F125" s="3" t="s">
        <v>96</v>
      </c>
      <c r="G125" s="3" t="s">
        <v>328</v>
      </c>
      <c r="H125" s="3" t="s">
        <v>443</v>
      </c>
      <c r="I125" s="3" t="str">
        <f>HYPERLINK("http://www.jccm.es/sede/tramite/KMA","SUBVENCIONES DESTINADAS A FOMENTAR LA CONTRATACION INDEFINIDA, Y EN ESPECIAL DE PERSONAS MAYORES DE 45 AÑOS, EN CASTILLA-LA MANCHA")</f>
        <v>SUBVENCIONES DESTINADAS A FOMENTAR LA CONTRATACION INDEFINIDA, Y EN ESPECIAL DE PERSONAS MAYORES DE 45 AÑOS, EN CASTILLA-LA MANCHA</v>
      </c>
      <c r="J125" s="3" t="s">
        <v>41</v>
      </c>
      <c r="K125" s="3" t="s">
        <v>41</v>
      </c>
      <c r="L125" s="3" t="s">
        <v>42</v>
      </c>
      <c r="M125" s="3" t="s">
        <v>41</v>
      </c>
    </row>
    <row r="126" spans="1:13" ht="161.1">
      <c r="A126" s="22" t="s">
        <v>12</v>
      </c>
      <c r="B126" s="3" t="s">
        <v>444</v>
      </c>
      <c r="C126" s="3" t="s">
        <v>445</v>
      </c>
      <c r="D126" s="3" t="s">
        <v>45</v>
      </c>
      <c r="E126" s="3" t="s">
        <v>46</v>
      </c>
      <c r="F126" s="3" t="s">
        <v>96</v>
      </c>
      <c r="G126" s="3" t="s">
        <v>328</v>
      </c>
      <c r="H126" s="3" t="s">
        <v>446</v>
      </c>
      <c r="I126" s="3" t="str">
        <f>HYPERLINK("http://www.jccm.es/sede/tramite/KME","AYUDAS A ENTIDADES LOCALES PARA  LA CONTRATACION DE PERSONAS DESEMPLEADAS, EN EL MARCO DEL PLAN EXTRAORDINARIO POR EL EMPLEO EN CASTILLA LA MANCHA")</f>
        <v>AYUDAS A ENTIDADES LOCALES PARA  LA CONTRATACION DE PERSONAS DESEMPLEADAS, EN EL MARCO DEL PLAN EXTRAORDINARIO POR EL EMPLEO EN CASTILLA LA MANCHA</v>
      </c>
      <c r="J126" s="3" t="s">
        <v>41</v>
      </c>
      <c r="K126" s="3" t="s">
        <v>41</v>
      </c>
      <c r="L126" s="3" t="s">
        <v>42</v>
      </c>
      <c r="M126" s="3" t="s">
        <v>41</v>
      </c>
    </row>
    <row r="127" spans="1:13" ht="218.45">
      <c r="A127" s="22" t="s">
        <v>12</v>
      </c>
      <c r="B127" s="3" t="s">
        <v>447</v>
      </c>
      <c r="C127" s="3" t="s">
        <v>448</v>
      </c>
      <c r="D127" s="3" t="s">
        <v>95</v>
      </c>
      <c r="E127" s="3" t="s">
        <v>95</v>
      </c>
      <c r="F127" s="3" t="s">
        <v>96</v>
      </c>
      <c r="G127" s="3" t="s">
        <v>113</v>
      </c>
      <c r="H127" s="3" t="s">
        <v>449</v>
      </c>
      <c r="I127" s="3" t="str">
        <f>HYPERLINK("http://www.jccm.es/sede/tramite/KOZ","CONCESION DIRECTA DE SUBVENCIONES A ENTIDADES BENEFICIARIAS DEL PROGRAMA OPERATIVO DE INCLUSION SOCIAL Y ECONOMIA SOCIAL  Y EL PROGRAMA OPERATIVO EMPLEO JUVENIL, FONDO SOCIAL EUROPEO")</f>
        <v>CONCESION DIRECTA DE SUBVENCIONES A ENTIDADES BENEFICIARIAS DEL PROGRAMA OPERATIVO DE INCLUSION SOCIAL Y ECONOMIA SOCIAL  Y EL PROGRAMA OPERATIVO EMPLEO JUVENIL, FONDO SOCIAL EUROPEO</v>
      </c>
      <c r="J127" s="3" t="s">
        <v>41</v>
      </c>
      <c r="K127" s="3" t="s">
        <v>41</v>
      </c>
      <c r="L127" s="3" t="s">
        <v>42</v>
      </c>
      <c r="M127" s="3" t="s">
        <v>41</v>
      </c>
    </row>
    <row r="128" spans="1:13" ht="310.5">
      <c r="A128" s="22" t="s">
        <v>12</v>
      </c>
      <c r="B128" s="3" t="s">
        <v>450</v>
      </c>
      <c r="C128" s="3" t="s">
        <v>451</v>
      </c>
      <c r="D128" s="3" t="s">
        <v>452</v>
      </c>
      <c r="E128" s="3" t="s">
        <v>95</v>
      </c>
      <c r="F128" s="3" t="s">
        <v>96</v>
      </c>
      <c r="G128" s="3" t="s">
        <v>113</v>
      </c>
      <c r="H128" s="3" t="s">
        <v>453</v>
      </c>
      <c r="I128" s="3" t="str">
        <f>HYPERLINK("http://www.jccm.es/sede/tramite/KU8","LIQUIDACION DE LA SUBVENCION VINCULADA A LA PARTICIPACION INSTITUCIONAL EN EL PLAN DE MEDIDAS EXTRAORDINARIAS PARA LA RECUPERACION ECONOMICA DE CASTILLA-LA MANCHA.")</f>
        <v>LIQUIDACION DE LA SUBVENCION VINCULADA A LA PARTICIPACION INSTITUCIONAL EN EL PLAN DE MEDIDAS EXTRAORDINARIAS PARA LA RECUPERACION ECONOMICA DE CASTILLA-LA MANCHA.</v>
      </c>
      <c r="J128" s="3" t="s">
        <v>41</v>
      </c>
      <c r="K128" s="3" t="s">
        <v>41</v>
      </c>
      <c r="L128" s="3" t="s">
        <v>42</v>
      </c>
      <c r="M128" s="3" t="s">
        <v>41</v>
      </c>
    </row>
    <row r="129" spans="1:13" ht="321.95">
      <c r="A129" s="22" t="s">
        <v>12</v>
      </c>
      <c r="B129" s="3" t="s">
        <v>454</v>
      </c>
      <c r="C129" s="3" t="s">
        <v>455</v>
      </c>
      <c r="D129" s="3" t="s">
        <v>45</v>
      </c>
      <c r="E129" s="3" t="s">
        <v>46</v>
      </c>
      <c r="F129" s="3" t="s">
        <v>96</v>
      </c>
      <c r="G129" s="3" t="s">
        <v>328</v>
      </c>
      <c r="H129" s="3" t="s">
        <v>456</v>
      </c>
      <c r="I129" s="3" t="str">
        <f>HYPERLINK("http://www.jccm.es/sede/tramite/KU9","LIQUIDACION DE LA SUBVENCION PARA LA DIVULGACION, ASESORAMIENTO Y EL SEGUIMIENTO DE LOS INCENTIVOS A LA CONTRATACION Y DURANTE EL EJERCICIO 2017")</f>
        <v>LIQUIDACION DE LA SUBVENCION PARA LA DIVULGACION, ASESORAMIENTO Y EL SEGUIMIENTO DE LOS INCENTIVOS A LA CONTRATACION Y DURANTE EL EJERCICIO 2017</v>
      </c>
      <c r="J129" s="3" t="s">
        <v>41</v>
      </c>
      <c r="K129" s="3" t="s">
        <v>41</v>
      </c>
      <c r="L129" s="3" t="s">
        <v>42</v>
      </c>
      <c r="M129" s="3" t="s">
        <v>41</v>
      </c>
    </row>
    <row r="130" spans="1:13" ht="92.1">
      <c r="A130" s="22" t="s">
        <v>12</v>
      </c>
      <c r="B130" s="3" t="s">
        <v>457</v>
      </c>
      <c r="C130" s="3" t="s">
        <v>458</v>
      </c>
      <c r="D130" s="3" t="s">
        <v>459</v>
      </c>
      <c r="E130" s="3" t="s">
        <v>46</v>
      </c>
      <c r="F130" s="3" t="s">
        <v>96</v>
      </c>
      <c r="G130" s="3" t="s">
        <v>460</v>
      </c>
      <c r="H130" s="3" t="s">
        <v>461</v>
      </c>
      <c r="I130" s="3" t="str">
        <f>HYPERLINK("http://www.jccm.es/sede/tramite/KVD","SOLICITUD PRESENTACION CANDIDATURA PREMIOS AL MERITO EMPRESARIAL DE CASTILLA-LA MANCHA (MEEM 2022).")</f>
        <v>SOLICITUD PRESENTACION CANDIDATURA PREMIOS AL MERITO EMPRESARIAL DE CASTILLA-LA MANCHA (MEEM 2022).</v>
      </c>
      <c r="J130" s="3" t="s">
        <v>41</v>
      </c>
      <c r="K130" s="3" t="s">
        <v>41</v>
      </c>
      <c r="L130" s="3" t="s">
        <v>42</v>
      </c>
      <c r="M130" s="3" t="s">
        <v>41</v>
      </c>
    </row>
    <row r="131" spans="1:13" ht="333.6">
      <c r="A131" s="22" t="s">
        <v>12</v>
      </c>
      <c r="B131" s="3" t="s">
        <v>462</v>
      </c>
      <c r="C131" s="3" t="s">
        <v>463</v>
      </c>
      <c r="D131" s="3" t="s">
        <v>95</v>
      </c>
      <c r="E131" s="3" t="s">
        <v>95</v>
      </c>
      <c r="F131" s="3" t="s">
        <v>96</v>
      </c>
      <c r="G131" s="3" t="s">
        <v>460</v>
      </c>
      <c r="H131" s="3" t="s">
        <v>464</v>
      </c>
      <c r="I131" s="3" t="str">
        <f>HYPERLINK("http://www.jccm.es/sede/tramite/KVI","SUBVENCION  AL CONSEJO DE CAMARAS PARA LA DIFUSION Y SEGUIMIENTO DE AYUDAS DEL PLAN ADELANTE Y DE PROGRAMAS DIRIGIDOS A LAS EMPRESAS DE LA REGION")</f>
        <v>SUBVENCION  AL CONSEJO DE CAMARAS PARA LA DIFUSION Y SEGUIMIENTO DE AYUDAS DEL PLAN ADELANTE Y DE PROGRAMAS DIRIGIDOS A LAS EMPRESAS DE LA REGION</v>
      </c>
      <c r="J131" s="3" t="s">
        <v>41</v>
      </c>
      <c r="K131" s="3" t="s">
        <v>41</v>
      </c>
      <c r="L131" s="3" t="s">
        <v>42</v>
      </c>
      <c r="M131" s="3" t="s">
        <v>41</v>
      </c>
    </row>
    <row r="132" spans="1:13" ht="252.95">
      <c r="A132" s="22" t="s">
        <v>12</v>
      </c>
      <c r="B132" s="3" t="s">
        <v>465</v>
      </c>
      <c r="C132" s="3" t="s">
        <v>466</v>
      </c>
      <c r="D132" s="3" t="s">
        <v>95</v>
      </c>
      <c r="E132" s="3" t="s">
        <v>46</v>
      </c>
      <c r="F132" s="3" t="s">
        <v>96</v>
      </c>
      <c r="G132" s="3" t="s">
        <v>120</v>
      </c>
      <c r="H132" s="3" t="s">
        <v>467</v>
      </c>
      <c r="I132" s="3" t="str">
        <f>HYPERLINK("http://www.jccm.es/sede/tramite/KWO","JUSTIFICACION DE LA AYUDA A FUNDACION EOI, PARA EL DESARROLLO DE ACCIONES DE FORMACION Y TUTORIZACION EN EL MARCO DE ESPACIOS DE COWORKING")</f>
        <v>JUSTIFICACION DE LA AYUDA A FUNDACION EOI, PARA EL DESARROLLO DE ACCIONES DE FORMACION Y TUTORIZACION EN EL MARCO DE ESPACIOS DE COWORKING</v>
      </c>
      <c r="J132" s="3" t="s">
        <v>41</v>
      </c>
      <c r="K132" s="3" t="s">
        <v>41</v>
      </c>
      <c r="L132" s="3" t="s">
        <v>42</v>
      </c>
      <c r="M132" s="3" t="s">
        <v>41</v>
      </c>
    </row>
    <row r="133" spans="1:13" ht="252.95">
      <c r="A133" s="22" t="s">
        <v>12</v>
      </c>
      <c r="B133" s="3" t="s">
        <v>468</v>
      </c>
      <c r="C133" s="3" t="s">
        <v>469</v>
      </c>
      <c r="D133" s="3" t="s">
        <v>470</v>
      </c>
      <c r="E133" s="3" t="s">
        <v>46</v>
      </c>
      <c r="F133" s="3" t="s">
        <v>96</v>
      </c>
      <c r="G133" s="3" t="s">
        <v>97</v>
      </c>
      <c r="H133" s="3" t="s">
        <v>471</v>
      </c>
      <c r="I133" s="3" t="str">
        <f>HYPERLINK("http://www.jccm.es/sede/tramite/KYY","SOLICITUD DE AYUDA DE LA CONVOCATORIA DE EXPRESIONES DE INTERES PARA LA SELECCION Y EJECUCION DE PROYECTOS PARA LA PROMOCION, MEJORA E INCREMENTO DE LOS RECURSOS TURISTICOS DE LA REGION.")</f>
        <v>SOLICITUD DE AYUDA DE LA CONVOCATORIA DE EXPRESIONES DE INTERES PARA LA SELECCION Y EJECUCION DE PROYECTOS PARA LA PROMOCION, MEJORA E INCREMENTO DE LOS RECURSOS TURISTICOS DE LA REGION.</v>
      </c>
      <c r="J133" s="3" t="s">
        <v>41</v>
      </c>
      <c r="K133" s="3" t="s">
        <v>41</v>
      </c>
      <c r="L133" s="3" t="s">
        <v>42</v>
      </c>
      <c r="M133" s="3" t="s">
        <v>41</v>
      </c>
    </row>
    <row r="134" spans="1:13" ht="126.6">
      <c r="A134" s="22" t="s">
        <v>12</v>
      </c>
      <c r="B134" s="3" t="s">
        <v>472</v>
      </c>
      <c r="C134" s="3" t="s">
        <v>473</v>
      </c>
      <c r="D134" s="3" t="s">
        <v>474</v>
      </c>
      <c r="E134" s="3" t="s">
        <v>46</v>
      </c>
      <c r="F134" s="3" t="s">
        <v>96</v>
      </c>
      <c r="G134" s="3" t="s">
        <v>328</v>
      </c>
      <c r="H134" s="3" t="s">
        <v>475</v>
      </c>
      <c r="I134" s="3" t="str">
        <f>HYPERLINK("http://www.jccm.es/sede/tramite/KZ7","AYUDAS PARA FOMENTAR LA INSERCION LABORAL DE PERSONAS EN EXCLUSION SOCIAL A TRAVES DE EMPRESAS DE INSERCION.")</f>
        <v>AYUDAS PARA FOMENTAR LA INSERCION LABORAL DE PERSONAS EN EXCLUSION SOCIAL A TRAVES DE EMPRESAS DE INSERCION.</v>
      </c>
      <c r="J134" s="3" t="s">
        <v>41</v>
      </c>
      <c r="K134" s="3" t="s">
        <v>41</v>
      </c>
      <c r="L134" s="3" t="s">
        <v>42</v>
      </c>
      <c r="M134" s="3" t="s">
        <v>41</v>
      </c>
    </row>
    <row r="135" spans="1:13" ht="149.44999999999999">
      <c r="A135" s="22" t="s">
        <v>12</v>
      </c>
      <c r="B135" s="3" t="s">
        <v>476</v>
      </c>
      <c r="C135" s="3" t="s">
        <v>477</v>
      </c>
      <c r="D135" s="3" t="s">
        <v>192</v>
      </c>
      <c r="E135" s="3" t="s">
        <v>46</v>
      </c>
      <c r="F135" s="3" t="s">
        <v>96</v>
      </c>
      <c r="G135" s="3" t="s">
        <v>328</v>
      </c>
      <c r="H135" s="3" t="s">
        <v>478</v>
      </c>
      <c r="I135" s="3" t="str">
        <f>HYPERLINK("http://www.jccm.es/sede/tramite/L10","SUBVENCIONES DESTINADAS A ESTIMULAR EL MERCADO DE TRABAJO Y FOMENTAR EL EMPLEO ESTABLE Y DE CALIDAD.")</f>
        <v>SUBVENCIONES DESTINADAS A ESTIMULAR EL MERCADO DE TRABAJO Y FOMENTAR EL EMPLEO ESTABLE Y DE CALIDAD.</v>
      </c>
      <c r="J135" s="3" t="s">
        <v>41</v>
      </c>
      <c r="K135" s="3" t="s">
        <v>41</v>
      </c>
      <c r="L135" s="3" t="s">
        <v>42</v>
      </c>
      <c r="M135" s="3" t="s">
        <v>41</v>
      </c>
    </row>
    <row r="136" spans="1:13" ht="126.6">
      <c r="A136" s="22" t="s">
        <v>12</v>
      </c>
      <c r="B136" s="3" t="s">
        <v>479</v>
      </c>
      <c r="C136" s="3" t="s">
        <v>480</v>
      </c>
      <c r="D136" s="3" t="s">
        <v>95</v>
      </c>
      <c r="E136" s="3" t="s">
        <v>95</v>
      </c>
      <c r="F136" s="3" t="s">
        <v>96</v>
      </c>
      <c r="G136" s="3" t="s">
        <v>97</v>
      </c>
      <c r="H136" s="3" t="s">
        <v>481</v>
      </c>
      <c r="I136" s="3" t="str">
        <f>HYPERLINK("http://www.jccm.es/sede/tramite/L21","PREMIOS REGIONALES DE TURISMO DE CASTILLA-LA MANCHA.")</f>
        <v>PREMIOS REGIONALES DE TURISMO DE CASTILLA-LA MANCHA.</v>
      </c>
      <c r="J136" s="3" t="s">
        <v>41</v>
      </c>
      <c r="K136" s="3" t="s">
        <v>41</v>
      </c>
      <c r="L136" s="3" t="s">
        <v>42</v>
      </c>
      <c r="M136" s="3" t="s">
        <v>41</v>
      </c>
    </row>
    <row r="137" spans="1:13" ht="252.95">
      <c r="A137" s="22" t="s">
        <v>12</v>
      </c>
      <c r="B137" s="3" t="s">
        <v>482</v>
      </c>
      <c r="C137" s="3" t="s">
        <v>483</v>
      </c>
      <c r="D137" s="3" t="s">
        <v>484</v>
      </c>
      <c r="E137" s="3" t="s">
        <v>46</v>
      </c>
      <c r="F137" s="3" t="s">
        <v>96</v>
      </c>
      <c r="G137" s="3" t="s">
        <v>328</v>
      </c>
      <c r="H137" s="3" t="s">
        <v>485</v>
      </c>
      <c r="I137" s="3" t="str">
        <f>HYPERLINK("http://www.jccm.es/sede/tramite/L2T","SUBVENCIONES PARA FINANCIAR PROYECTOS PARA EL EMPLEO DE PERSONAS JOVENES CUALIFICADAS INSCRITAS EN EL SISTEMA NACIONAL DE GARANTIA JUVENIL, COFINANCIADA POR EL PROGRAMA OPERATIVO DE EMPLEO JUVENIL.")</f>
        <v>SUBVENCIONES PARA FINANCIAR PROYECTOS PARA EL EMPLEO DE PERSONAS JOVENES CUALIFICADAS INSCRITAS EN EL SISTEMA NACIONAL DE GARANTIA JUVENIL, COFINANCIADA POR EL PROGRAMA OPERATIVO DE EMPLEO JUVENIL.</v>
      </c>
      <c r="J137" s="3" t="s">
        <v>41</v>
      </c>
      <c r="K137" s="3" t="s">
        <v>41</v>
      </c>
      <c r="L137" s="3" t="s">
        <v>42</v>
      </c>
      <c r="M137" s="3" t="s">
        <v>41</v>
      </c>
    </row>
    <row r="138" spans="1:13" ht="287.45">
      <c r="A138" s="22" t="s">
        <v>12</v>
      </c>
      <c r="B138" s="3" t="s">
        <v>486</v>
      </c>
      <c r="C138" s="3" t="s">
        <v>487</v>
      </c>
      <c r="D138" s="3" t="s">
        <v>95</v>
      </c>
      <c r="E138" s="3" t="s">
        <v>95</v>
      </c>
      <c r="F138" s="3" t="s">
        <v>96</v>
      </c>
      <c r="G138" s="3" t="s">
        <v>328</v>
      </c>
      <c r="H138" s="3" t="s">
        <v>488</v>
      </c>
      <c r="I138" s="3" t="str">
        <f>HYPERLINK("http://www.jccm.es/sede/tramite/L41","JUSTIFICACION DE LA SUBVENCION DE CONCESION DIRECTA AL CONSEJO DE CAMARAS OFICIALES DE COMERCIO, INDUSTRIA Y SERVICIOS DE CASTILLA-LA MANCHA")</f>
        <v>JUSTIFICACION DE LA SUBVENCION DE CONCESION DIRECTA AL CONSEJO DE CAMARAS OFICIALES DE COMERCIO, INDUSTRIA Y SERVICIOS DE CASTILLA-LA MANCHA</v>
      </c>
      <c r="J138" s="3" t="s">
        <v>41</v>
      </c>
      <c r="K138" s="3" t="s">
        <v>41</v>
      </c>
      <c r="L138" s="3" t="s">
        <v>42</v>
      </c>
      <c r="M138" s="3" t="s">
        <v>41</v>
      </c>
    </row>
    <row r="139" spans="1:13" ht="149.44999999999999">
      <c r="A139" s="22" t="s">
        <v>12</v>
      </c>
      <c r="B139" s="3" t="s">
        <v>489</v>
      </c>
      <c r="C139" s="3" t="s">
        <v>490</v>
      </c>
      <c r="D139" s="3" t="s">
        <v>51</v>
      </c>
      <c r="E139" s="3" t="s">
        <v>46</v>
      </c>
      <c r="F139" s="3" t="s">
        <v>96</v>
      </c>
      <c r="G139" s="3" t="s">
        <v>328</v>
      </c>
      <c r="H139" s="3" t="s">
        <v>491</v>
      </c>
      <c r="I139" s="3" t="str">
        <f>HYPERLINK("http://www.jccm.es/sede/tramite/L5W","SUBVENCIONES DESTINADAS A INCENTIVAR LA CONTRATACION EN EL MARCO DEL PROGRAMA  CHEQUE TRANSICION .")</f>
        <v>SUBVENCIONES DESTINADAS A INCENTIVAR LA CONTRATACION EN EL MARCO DEL PROGRAMA  CHEQUE TRANSICION .</v>
      </c>
      <c r="J139" s="3" t="s">
        <v>41</v>
      </c>
      <c r="K139" s="3" t="s">
        <v>41</v>
      </c>
      <c r="L139" s="3" t="s">
        <v>42</v>
      </c>
      <c r="M139" s="3" t="s">
        <v>41</v>
      </c>
    </row>
    <row r="140" spans="1:13" ht="172.5">
      <c r="A140" s="22" t="s">
        <v>12</v>
      </c>
      <c r="B140" s="3" t="s">
        <v>492</v>
      </c>
      <c r="C140" s="3" t="s">
        <v>493</v>
      </c>
      <c r="D140" s="3" t="s">
        <v>494</v>
      </c>
      <c r="E140" s="3" t="s">
        <v>46</v>
      </c>
      <c r="F140" s="3" t="s">
        <v>96</v>
      </c>
      <c r="G140" s="3" t="s">
        <v>130</v>
      </c>
      <c r="H140" s="3" t="s">
        <v>495</v>
      </c>
      <c r="I140" s="3" t="str">
        <f>HYPERLINK("http://www.jccm.es/sede/tramite/L89","INSCRIPCION PARA LA REALIZACION DE ACCIONES DE FORMACION PROFESIONAL PARA EL EMPLEO.")</f>
        <v>INSCRIPCION PARA LA REALIZACION DE ACCIONES DE FORMACION PROFESIONAL PARA EL EMPLEO.</v>
      </c>
      <c r="J140" s="3" t="s">
        <v>42</v>
      </c>
      <c r="K140" s="3" t="s">
        <v>41</v>
      </c>
      <c r="L140" s="3" t="s">
        <v>42</v>
      </c>
      <c r="M140" s="3" t="s">
        <v>41</v>
      </c>
    </row>
    <row r="141" spans="1:13" ht="218.45">
      <c r="A141" s="22" t="s">
        <v>12</v>
      </c>
      <c r="B141" s="3" t="s">
        <v>496</v>
      </c>
      <c r="C141" s="3" t="s">
        <v>425</v>
      </c>
      <c r="D141" s="3" t="s">
        <v>426</v>
      </c>
      <c r="E141" s="3" t="s">
        <v>46</v>
      </c>
      <c r="F141" s="3" t="s">
        <v>96</v>
      </c>
      <c r="G141" s="3" t="s">
        <v>130</v>
      </c>
      <c r="H141" s="3" t="s">
        <v>497</v>
      </c>
      <c r="I141" s="3" t="str">
        <f>HYPERLINK("http://www.jccm.es/sede/tramite/L8B","CONCESION DE BECAS Y/O AYUDAS PARA PERSONAS TRABAJADORAS  DESEMPLEADAS QUE PARTICIPEN EN LAS DIFERENTES MODALIDADES DE FORMACION PROFESIONAL PARA EL EMPLEO EN CASTILLA - MANCHA.")</f>
        <v>CONCESION DE BECAS Y/O AYUDAS PARA PERSONAS TRABAJADORAS  DESEMPLEADAS QUE PARTICIPEN EN LAS DIFERENTES MODALIDADES DE FORMACION PROFESIONAL PARA EL EMPLEO EN CASTILLA - MANCHA.</v>
      </c>
      <c r="J141" s="3" t="s">
        <v>42</v>
      </c>
      <c r="K141" s="3" t="s">
        <v>41</v>
      </c>
      <c r="L141" s="3" t="s">
        <v>42</v>
      </c>
      <c r="M141" s="3" t="s">
        <v>41</v>
      </c>
    </row>
    <row r="142" spans="1:13" ht="287.45">
      <c r="A142" s="22" t="s">
        <v>12</v>
      </c>
      <c r="B142" s="3" t="s">
        <v>498</v>
      </c>
      <c r="C142" s="3" t="s">
        <v>499</v>
      </c>
      <c r="D142" s="3" t="s">
        <v>500</v>
      </c>
      <c r="E142" s="3" t="s">
        <v>46</v>
      </c>
      <c r="F142" s="3" t="s">
        <v>96</v>
      </c>
      <c r="G142" s="3" t="s">
        <v>130</v>
      </c>
      <c r="H142" s="3" t="s">
        <v>501</v>
      </c>
      <c r="I142" s="3" t="str">
        <f>HYPERLINK("http://www.jccm.es/sede/tramite/L8P","CONCESION DIRECTA DE SUBVENCIONES A LAS ENTIDADES BENEFICIARIAS DE PROGRAMAS DE FORMACION Y EMPLEO")</f>
        <v>CONCESION DIRECTA DE SUBVENCIONES A LAS ENTIDADES BENEFICIARIAS DE PROGRAMAS DE FORMACION Y EMPLEO</v>
      </c>
      <c r="J142" s="3" t="s">
        <v>41</v>
      </c>
      <c r="K142" s="3" t="s">
        <v>41</v>
      </c>
      <c r="L142" s="3" t="s">
        <v>42</v>
      </c>
      <c r="M142" s="3" t="s">
        <v>41</v>
      </c>
    </row>
    <row r="143" spans="1:13" ht="218.45">
      <c r="A143" s="22" t="s">
        <v>12</v>
      </c>
      <c r="B143" s="3" t="s">
        <v>502</v>
      </c>
      <c r="C143" s="3" t="s">
        <v>503</v>
      </c>
      <c r="D143" s="3" t="s">
        <v>192</v>
      </c>
      <c r="E143" s="3" t="s">
        <v>46</v>
      </c>
      <c r="F143" s="3" t="s">
        <v>96</v>
      </c>
      <c r="G143" s="3" t="s">
        <v>120</v>
      </c>
      <c r="H143" s="3" t="s">
        <v>504</v>
      </c>
      <c r="I143" s="3" t="str">
        <f>HYPERLINK("http://www.jccm.es/sede/tramite/L98","SERVICIOS DE ASESORAMIENTO Y TUTORIZACION A LAS PERSONAS EMPRENDEDORAS, EN EL MARCO DEL PLAN REGIONAL DE AUTOEMPLEO, CREACION DE EMPRESAS Y EMPRENDIMIENTO.")</f>
        <v>SERVICIOS DE ASESORAMIENTO Y TUTORIZACION A LAS PERSONAS EMPRENDEDORAS, EN EL MARCO DEL PLAN REGIONAL DE AUTOEMPLEO, CREACION DE EMPRESAS Y EMPRENDIMIENTO.</v>
      </c>
      <c r="J143" s="3" t="s">
        <v>41</v>
      </c>
      <c r="K143" s="3" t="s">
        <v>41</v>
      </c>
      <c r="L143" s="3" t="s">
        <v>42</v>
      </c>
      <c r="M143" s="3" t="s">
        <v>41</v>
      </c>
    </row>
    <row r="144" spans="1:13" ht="195.6">
      <c r="A144" s="22" t="s">
        <v>12</v>
      </c>
      <c r="B144" s="3" t="s">
        <v>505</v>
      </c>
      <c r="C144" s="3" t="s">
        <v>506</v>
      </c>
      <c r="D144" s="3" t="s">
        <v>95</v>
      </c>
      <c r="E144" s="3" t="s">
        <v>95</v>
      </c>
      <c r="F144" s="3" t="s">
        <v>96</v>
      </c>
      <c r="G144" s="3" t="s">
        <v>460</v>
      </c>
      <c r="H144" s="3" t="s">
        <v>507</v>
      </c>
      <c r="I144" s="3" t="str">
        <f>HYPERLINK("http://www.jccm.es/sede/tramite/LAG","JUSTIFICACION DE LA SUBVENCION DIRECTA A LA FUNDACION ESCUELA DE ORGANIZACION INDUSTRIAL (EOI), PARA EL DESARROLLO DEL PROGRAMA DE FORMACION CAMPUS ADELANTE-SOY DIGITAL CLM.")</f>
        <v>JUSTIFICACION DE LA SUBVENCION DIRECTA A LA FUNDACION ESCUELA DE ORGANIZACION INDUSTRIAL (EOI), PARA EL DESARROLLO DEL PROGRAMA DE FORMACION CAMPUS ADELANTE-SOY DIGITAL CLM.</v>
      </c>
      <c r="J144" s="3" t="s">
        <v>41</v>
      </c>
      <c r="K144" s="3" t="s">
        <v>41</v>
      </c>
      <c r="L144" s="3" t="s">
        <v>42</v>
      </c>
      <c r="M144" s="3" t="s">
        <v>41</v>
      </c>
    </row>
    <row r="145" spans="1:13" ht="172.5">
      <c r="A145" s="22" t="s">
        <v>12</v>
      </c>
      <c r="B145" s="3" t="s">
        <v>508</v>
      </c>
      <c r="C145" s="3" t="s">
        <v>509</v>
      </c>
      <c r="D145" s="3" t="s">
        <v>95</v>
      </c>
      <c r="E145" s="3" t="s">
        <v>95</v>
      </c>
      <c r="F145" s="3" t="s">
        <v>96</v>
      </c>
      <c r="G145" s="3" t="s">
        <v>97</v>
      </c>
      <c r="H145" s="3" t="s">
        <v>510</v>
      </c>
      <c r="I145" s="3" t="str">
        <f>HYPERLINK("http://www.jccm.es/sede/tramite/LAR","JUSTIFICACION DE LA SUBVENCION DIRECTA  AL AYUNTAMIENTO DE YUNCOS POR LA CELEBRACION DEL XVI CONGRESO NACIONAL DEL TORO DE CUERDA.")</f>
        <v>JUSTIFICACION DE LA SUBVENCION DIRECTA  AL AYUNTAMIENTO DE YUNCOS POR LA CELEBRACION DEL XVI CONGRESO NACIONAL DEL TORO DE CUERDA.</v>
      </c>
      <c r="J145" s="3" t="s">
        <v>41</v>
      </c>
      <c r="K145" s="3" t="s">
        <v>41</v>
      </c>
      <c r="L145" s="3" t="s">
        <v>42</v>
      </c>
      <c r="M145" s="3" t="s">
        <v>41</v>
      </c>
    </row>
    <row r="146" spans="1:13" ht="230.1">
      <c r="A146" s="22" t="s">
        <v>12</v>
      </c>
      <c r="B146" s="3" t="s">
        <v>511</v>
      </c>
      <c r="C146" s="3" t="s">
        <v>512</v>
      </c>
      <c r="D146" s="3" t="s">
        <v>513</v>
      </c>
      <c r="E146" s="3" t="s">
        <v>46</v>
      </c>
      <c r="F146" s="3" t="s">
        <v>96</v>
      </c>
      <c r="G146" s="3" t="s">
        <v>328</v>
      </c>
      <c r="H146" s="3" t="s">
        <v>514</v>
      </c>
      <c r="I146" s="3" t="str">
        <f>HYPERLINK("http://www.jccm.es/sede/tramite/LAW","AYUDAS A ENTIDADES LOCALES, EMPRESAS Y ENTIDADES SIN ANIMO DE LUCRO, PARA  LA CONTRATACION DE MUJERES VICTIMAS DE VIOLENCIA DE GENERO Y DE MUJERES EN SITUACION DE ESPECIAL VULNERABILIDAD.")</f>
        <v>AYUDAS A ENTIDADES LOCALES, EMPRESAS Y ENTIDADES SIN ANIMO DE LUCRO, PARA  LA CONTRATACION DE MUJERES VICTIMAS DE VIOLENCIA DE GENERO Y DE MUJERES EN SITUACION DE ESPECIAL VULNERABILIDAD.</v>
      </c>
      <c r="J146" s="3" t="s">
        <v>41</v>
      </c>
      <c r="K146" s="3" t="s">
        <v>41</v>
      </c>
      <c r="L146" s="3" t="s">
        <v>42</v>
      </c>
      <c r="M146" s="3" t="s">
        <v>41</v>
      </c>
    </row>
    <row r="147" spans="1:13" ht="138">
      <c r="A147" s="22" t="s">
        <v>12</v>
      </c>
      <c r="B147" s="3" t="s">
        <v>515</v>
      </c>
      <c r="C147" s="3" t="s">
        <v>516</v>
      </c>
      <c r="D147" s="3" t="s">
        <v>62</v>
      </c>
      <c r="E147" s="3" t="s">
        <v>46</v>
      </c>
      <c r="F147" s="3" t="s">
        <v>96</v>
      </c>
      <c r="G147" s="3" t="s">
        <v>120</v>
      </c>
      <c r="H147" s="3" t="s">
        <v>517</v>
      </c>
      <c r="I147" s="3" t="str">
        <f>HYPERLINK("http://www.jccm.es/sede/tramite/LD6","AYUDAS DIRECTAS AFECTADOS COVID19 (AUTONOMOS Y MICROEMPRESAS)")</f>
        <v>AYUDAS DIRECTAS AFECTADOS COVID19 (AUTONOMOS Y MICROEMPRESAS)</v>
      </c>
      <c r="J147" s="3" t="s">
        <v>41</v>
      </c>
      <c r="K147" s="3" t="s">
        <v>41</v>
      </c>
      <c r="L147" s="3" t="s">
        <v>42</v>
      </c>
      <c r="M147" s="3" t="s">
        <v>41</v>
      </c>
    </row>
    <row r="148" spans="1:13" ht="207">
      <c r="A148" s="22" t="s">
        <v>12</v>
      </c>
      <c r="B148" s="3" t="s">
        <v>518</v>
      </c>
      <c r="C148" s="3" t="s">
        <v>519</v>
      </c>
      <c r="D148" s="3" t="s">
        <v>62</v>
      </c>
      <c r="E148" s="3" t="s">
        <v>46</v>
      </c>
      <c r="F148" s="3" t="s">
        <v>96</v>
      </c>
      <c r="G148" s="3" t="s">
        <v>97</v>
      </c>
      <c r="H148" s="3" t="s">
        <v>520</v>
      </c>
      <c r="I148" s="3" t="str">
        <f>HYPERLINK("http://www.jccm.es/sede/tramite/LDI","SOLICITUD DE SUBVENCIONES PARA LA ADQUISICION DE ELEMENTOS DE PROTECCION SANITARIA EN LOS ESTABLECIMIENTOS DE COMERCIO, HOSTELERIA Y RESTAURACION DE CASTILLA-LA MANCHA")</f>
        <v>SOLICITUD DE SUBVENCIONES PARA LA ADQUISICION DE ELEMENTOS DE PROTECCION SANITARIA EN LOS ESTABLECIMIENTOS DE COMERCIO, HOSTELERIA Y RESTAURACION DE CASTILLA-LA MANCHA</v>
      </c>
      <c r="J148" s="3" t="s">
        <v>41</v>
      </c>
      <c r="K148" s="3" t="s">
        <v>41</v>
      </c>
      <c r="L148" s="3" t="s">
        <v>42</v>
      </c>
      <c r="M148" s="3" t="s">
        <v>41</v>
      </c>
    </row>
    <row r="149" spans="1:13" ht="183.95">
      <c r="A149" s="22" t="s">
        <v>12</v>
      </c>
      <c r="B149" s="3" t="s">
        <v>521</v>
      </c>
      <c r="C149" s="3" t="s">
        <v>522</v>
      </c>
      <c r="D149" s="3" t="s">
        <v>51</v>
      </c>
      <c r="E149" s="3" t="s">
        <v>46</v>
      </c>
      <c r="F149" s="3" t="s">
        <v>96</v>
      </c>
      <c r="G149" s="3" t="s">
        <v>328</v>
      </c>
      <c r="H149" s="3" t="s">
        <v>523</v>
      </c>
      <c r="I149" s="3" t="str">
        <f>HYPERLINK("http://www.jccm.es/sede/tramite/LDK","AYUDAS DESTINADAS A FAVORECER EL EMPLEO EN LAS CAMPAÑAS AGRARIAS DE CASTILLA-LA MANCHA.")</f>
        <v>AYUDAS DESTINADAS A FAVORECER EL EMPLEO EN LAS CAMPAÑAS AGRARIAS DE CASTILLA-LA MANCHA.</v>
      </c>
      <c r="J149" s="3" t="s">
        <v>42</v>
      </c>
      <c r="K149" s="3" t="s">
        <v>41</v>
      </c>
      <c r="L149" s="3" t="s">
        <v>42</v>
      </c>
      <c r="M149" s="3" t="s">
        <v>41</v>
      </c>
    </row>
    <row r="150" spans="1:13" ht="161.1">
      <c r="A150" s="22" t="s">
        <v>12</v>
      </c>
      <c r="B150" s="3" t="s">
        <v>524</v>
      </c>
      <c r="C150" s="3" t="s">
        <v>525</v>
      </c>
      <c r="D150" s="3" t="s">
        <v>62</v>
      </c>
      <c r="E150" s="3" t="s">
        <v>46</v>
      </c>
      <c r="F150" s="3" t="s">
        <v>96</v>
      </c>
      <c r="G150" s="3" t="s">
        <v>120</v>
      </c>
      <c r="H150" s="3" t="s">
        <v>526</v>
      </c>
      <c r="I150" s="3" t="str">
        <f>HYPERLINK("http://www.jccm.es/sede/tramite/LEJ","CONCESION DIRECTA DE AYUDAS DIRIGIDAS A COOPERATIVAS Y SOCIEDADES LABORALES AFECTADAS POR COVID-19,  PARA LA REACTIVACION DE LA ACTIVIDAD ECONOMICA Y EL EMPLEO EN CASTILLA-LA MANCHA")</f>
        <v>CONCESION DIRECTA DE AYUDAS DIRIGIDAS A COOPERATIVAS Y SOCIEDADES LABORALES AFECTADAS POR COVID-19,  PARA LA REACTIVACION DE LA ACTIVIDAD ECONOMICA Y EL EMPLEO EN CASTILLA-LA MANCHA</v>
      </c>
      <c r="J150" s="3" t="s">
        <v>41</v>
      </c>
      <c r="K150" s="3" t="s">
        <v>41</v>
      </c>
      <c r="L150" s="3" t="s">
        <v>42</v>
      </c>
      <c r="M150" s="3" t="s">
        <v>41</v>
      </c>
    </row>
    <row r="151" spans="1:13" ht="195.6">
      <c r="A151" s="22" t="s">
        <v>12</v>
      </c>
      <c r="B151" s="3" t="s">
        <v>527</v>
      </c>
      <c r="C151" s="3" t="s">
        <v>528</v>
      </c>
      <c r="D151" s="3" t="s">
        <v>51</v>
      </c>
      <c r="E151" s="3" t="s">
        <v>46</v>
      </c>
      <c r="F151" s="3" t="s">
        <v>96</v>
      </c>
      <c r="G151" s="3" t="s">
        <v>328</v>
      </c>
      <c r="H151" s="3" t="s">
        <v>529</v>
      </c>
      <c r="I151" s="3" t="str">
        <f>HYPERLINK("http://www.jccm.es/sede/tramite/LEP","SUBVENCIONES PARA LA CONCILIACION DE LA VIDA FAMILIAR Y LABORAL COMO MEDIDA DE FOMENTO DE LA CONCILIACION.")</f>
        <v>SUBVENCIONES PARA LA CONCILIACION DE LA VIDA FAMILIAR Y LABORAL COMO MEDIDA DE FOMENTO DE LA CONCILIACION.</v>
      </c>
      <c r="J151" s="3" t="s">
        <v>42</v>
      </c>
      <c r="K151" s="3" t="s">
        <v>41</v>
      </c>
      <c r="L151" s="3" t="s">
        <v>42</v>
      </c>
      <c r="M151" s="3" t="s">
        <v>41</v>
      </c>
    </row>
    <row r="152" spans="1:13" ht="287.45">
      <c r="A152" s="22" t="s">
        <v>12</v>
      </c>
      <c r="B152" s="3" t="s">
        <v>530</v>
      </c>
      <c r="C152" s="3" t="s">
        <v>531</v>
      </c>
      <c r="D152" s="3" t="s">
        <v>532</v>
      </c>
      <c r="E152" s="3" t="s">
        <v>46</v>
      </c>
      <c r="F152" s="3" t="s">
        <v>96</v>
      </c>
      <c r="G152" s="3" t="s">
        <v>328</v>
      </c>
      <c r="H152" s="3" t="s">
        <v>533</v>
      </c>
      <c r="I152" s="3" t="str">
        <f>HYPERLINK("http://www.jccm.es/sede/tramite/LEU","SUBVENCION PARA CONTRATOS TEMPORALES O INDEFINIDOS A TIEMPO PARCIAL CON PERSONAS CUYOS CONTRATOS DE TRABAJO SE HAN EXTINGUIDO  COMO CONSECUENCIA DE LA CRISIS PROVOCADA POR EL COVID-19.")</f>
        <v>SUBVENCION PARA CONTRATOS TEMPORALES O INDEFINIDOS A TIEMPO PARCIAL CON PERSONAS CUYOS CONTRATOS DE TRABAJO SE HAN EXTINGUIDO  COMO CONSECUENCIA DE LA CRISIS PROVOCADA POR EL COVID-19.</v>
      </c>
      <c r="J152" s="3" t="s">
        <v>41</v>
      </c>
      <c r="K152" s="3" t="s">
        <v>41</v>
      </c>
      <c r="L152" s="3" t="s">
        <v>42</v>
      </c>
      <c r="M152" s="3" t="s">
        <v>41</v>
      </c>
    </row>
    <row r="153" spans="1:13" ht="183.95">
      <c r="A153" s="22" t="s">
        <v>12</v>
      </c>
      <c r="B153" s="3" t="s">
        <v>534</v>
      </c>
      <c r="C153" s="3" t="s">
        <v>535</v>
      </c>
      <c r="D153" s="3" t="s">
        <v>62</v>
      </c>
      <c r="E153" s="3" t="s">
        <v>46</v>
      </c>
      <c r="F153" s="3" t="s">
        <v>96</v>
      </c>
      <c r="G153" s="3" t="s">
        <v>120</v>
      </c>
      <c r="H153" s="3" t="s">
        <v>536</v>
      </c>
      <c r="I153" s="3" t="str">
        <f>HYPERLINK("http://www.jccm.es/sede/tramite/LFM","CONCESION DIRECTA DE SUBVENCIONES DIRIGIDAS A PERSONAS TRABAJADORAS AUTONOMAS Y PYMES PARA FOMENTO DEL TRABAJO A DISTANCIA COMO MODALIDAD DE ORGANIZACION LABORAL, CON MOTIVO DEL COVID-19.")</f>
        <v>CONCESION DIRECTA DE SUBVENCIONES DIRIGIDAS A PERSONAS TRABAJADORAS AUTONOMAS Y PYMES PARA FOMENTO DEL TRABAJO A DISTANCIA COMO MODALIDAD DE ORGANIZACION LABORAL, CON MOTIVO DEL COVID-19.</v>
      </c>
      <c r="J153" s="3" t="s">
        <v>41</v>
      </c>
      <c r="K153" s="3" t="s">
        <v>41</v>
      </c>
      <c r="L153" s="3" t="s">
        <v>42</v>
      </c>
      <c r="M153" s="3" t="s">
        <v>41</v>
      </c>
    </row>
    <row r="154" spans="1:13" ht="172.5">
      <c r="A154" s="22" t="s">
        <v>12</v>
      </c>
      <c r="B154" s="3" t="s">
        <v>537</v>
      </c>
      <c r="C154" s="3" t="s">
        <v>538</v>
      </c>
      <c r="D154" s="3" t="s">
        <v>539</v>
      </c>
      <c r="E154" s="3" t="s">
        <v>46</v>
      </c>
      <c r="F154" s="3" t="s">
        <v>96</v>
      </c>
      <c r="G154" s="3" t="s">
        <v>328</v>
      </c>
      <c r="H154" s="3" t="s">
        <v>540</v>
      </c>
      <c r="I154" s="3" t="str">
        <f>HYPERLINK("http://www.jccm.es/sede/tramite/LHG","AYUDAS A ENTIDADES SIN ANIMO DE LUCRO, PARA  LA CONTRATACION DE PERSONAS DESEMPLEADAS Y EN SITUACION DE EXCLUSION SOCIAL, CON MOTIVO DE LA CRISIS DEL COVID-19.")</f>
        <v>AYUDAS A ENTIDADES SIN ANIMO DE LUCRO, PARA  LA CONTRATACION DE PERSONAS DESEMPLEADAS Y EN SITUACION DE EXCLUSION SOCIAL, CON MOTIVO DE LA CRISIS DEL COVID-19.</v>
      </c>
      <c r="J154" s="3" t="s">
        <v>41</v>
      </c>
      <c r="K154" s="3" t="s">
        <v>41</v>
      </c>
      <c r="L154" s="3" t="s">
        <v>42</v>
      </c>
      <c r="M154" s="3" t="s">
        <v>41</v>
      </c>
    </row>
    <row r="155" spans="1:13" ht="356.45">
      <c r="A155" s="22" t="s">
        <v>12</v>
      </c>
      <c r="B155" s="3" t="s">
        <v>541</v>
      </c>
      <c r="C155" s="3" t="s">
        <v>542</v>
      </c>
      <c r="D155" s="3" t="s">
        <v>51</v>
      </c>
      <c r="E155" s="3" t="s">
        <v>46</v>
      </c>
      <c r="F155" s="3" t="s">
        <v>96</v>
      </c>
      <c r="G155" s="3" t="s">
        <v>328</v>
      </c>
      <c r="H155" s="3" t="s">
        <v>543</v>
      </c>
      <c r="I155" s="3" t="str">
        <f>HYPERLINK("http://www.jccm.es/sede/tramite/LHK","CONCESION DIRECTA DE SUBVENCIONES DESTINADAS A LA INSERCION  DE PERSONAS JOVENES EN EL MERCADO LABORAL EN SECTORES DE ACTIVIDAD DENTRO DE LA ESTRATEGIA DE CRECIMIENTO SOSTENIBLE")</f>
        <v>CONCESION DIRECTA DE SUBVENCIONES DESTINADAS A LA INSERCION  DE PERSONAS JOVENES EN EL MERCADO LABORAL EN SECTORES DE ACTIVIDAD DENTRO DE LA ESTRATEGIA DE CRECIMIENTO SOSTENIBLE</v>
      </c>
      <c r="J155" s="3" t="s">
        <v>41</v>
      </c>
      <c r="K155" s="3" t="s">
        <v>41</v>
      </c>
      <c r="L155" s="3" t="s">
        <v>42</v>
      </c>
      <c r="M155" s="3" t="s">
        <v>41</v>
      </c>
    </row>
    <row r="156" spans="1:13" ht="207">
      <c r="A156" s="22" t="s">
        <v>12</v>
      </c>
      <c r="B156" s="3" t="s">
        <v>544</v>
      </c>
      <c r="C156" s="3" t="s">
        <v>545</v>
      </c>
      <c r="D156" s="3" t="s">
        <v>546</v>
      </c>
      <c r="E156" s="3" t="s">
        <v>46</v>
      </c>
      <c r="F156" s="3" t="s">
        <v>96</v>
      </c>
      <c r="G156" s="3" t="s">
        <v>120</v>
      </c>
      <c r="H156" s="3" t="s">
        <v>547</v>
      </c>
      <c r="I156" s="3" t="str">
        <f>HYPERLINK("http://www.jccm.es/sede/tramite/LHS","AYUDAS PARA EL INICIO Y MANTENIMIENTO DE LA ACTIVIDAD DE LAS PERSONAS TRABAJADORAS AUTONOMAS Y DEL FAMILIAR COLABORADOR AFECTADAS POR EL COVID-19.")</f>
        <v>AYUDAS PARA EL INICIO Y MANTENIMIENTO DE LA ACTIVIDAD DE LAS PERSONAS TRABAJADORAS AUTONOMAS Y DEL FAMILIAR COLABORADOR AFECTADAS POR EL COVID-19.</v>
      </c>
      <c r="J156" s="3" t="s">
        <v>41</v>
      </c>
      <c r="K156" s="3" t="s">
        <v>41</v>
      </c>
      <c r="L156" s="3" t="s">
        <v>42</v>
      </c>
      <c r="M156" s="3" t="s">
        <v>41</v>
      </c>
    </row>
    <row r="157" spans="1:13" ht="287.45">
      <c r="A157" s="22" t="s">
        <v>12</v>
      </c>
      <c r="B157" s="3" t="s">
        <v>548</v>
      </c>
      <c r="C157" s="3" t="s">
        <v>549</v>
      </c>
      <c r="D157" s="3" t="s">
        <v>51</v>
      </c>
      <c r="E157" s="3" t="s">
        <v>46</v>
      </c>
      <c r="F157" s="3" t="s">
        <v>96</v>
      </c>
      <c r="G157" s="3" t="s">
        <v>460</v>
      </c>
      <c r="H157" s="3" t="s">
        <v>550</v>
      </c>
      <c r="I157" s="3" t="str">
        <f>HYPERLINK("http://www.jccm.es/sede/tramite/LIE","AYUDAS DIRECTAS MANTENIMIENTO ACTIVIDAD DE LOS SECTORES MAS AFECTADOS DERIVADO DEL COVID19 (AUTONOMOS Y PYMES)")</f>
        <v>AYUDAS DIRECTAS MANTENIMIENTO ACTIVIDAD DE LOS SECTORES MAS AFECTADOS DERIVADO DEL COVID19 (AUTONOMOS Y PYMES)</v>
      </c>
      <c r="J157" s="3" t="s">
        <v>41</v>
      </c>
      <c r="K157" s="3" t="s">
        <v>41</v>
      </c>
      <c r="L157" s="3" t="s">
        <v>42</v>
      </c>
      <c r="M157" s="3" t="s">
        <v>41</v>
      </c>
    </row>
    <row r="158" spans="1:13" ht="161.1">
      <c r="A158" s="22" t="s">
        <v>12</v>
      </c>
      <c r="B158" s="3" t="s">
        <v>551</v>
      </c>
      <c r="C158" s="3" t="s">
        <v>552</v>
      </c>
      <c r="D158" s="3" t="s">
        <v>45</v>
      </c>
      <c r="E158" s="3" t="s">
        <v>46</v>
      </c>
      <c r="F158" s="3" t="s">
        <v>96</v>
      </c>
      <c r="G158" s="3" t="s">
        <v>328</v>
      </c>
      <c r="H158" s="3" t="s">
        <v>553</v>
      </c>
      <c r="I158" s="3" t="str">
        <f>HYPERLINK("http://www.jccm.es/sede/tramite/LIK","AYUDA ADICIONAL DEL 5% DEL SMI, PARA LAS PERSONAS TRABAJADORAS CON DISCAPACIDAD SEVERA DE LOS CENTROS ESPECIALES DE EMPLEO")</f>
        <v>AYUDA ADICIONAL DEL 5% DEL SMI, PARA LAS PERSONAS TRABAJADORAS CON DISCAPACIDAD SEVERA DE LOS CENTROS ESPECIALES DE EMPLEO</v>
      </c>
      <c r="J158" s="3" t="s">
        <v>41</v>
      </c>
      <c r="K158" s="3" t="s">
        <v>41</v>
      </c>
      <c r="L158" s="3" t="s">
        <v>42</v>
      </c>
      <c r="M158" s="3" t="s">
        <v>41</v>
      </c>
    </row>
    <row r="159" spans="1:13" ht="92.1">
      <c r="A159" s="22" t="s">
        <v>12</v>
      </c>
      <c r="B159" s="3" t="s">
        <v>554</v>
      </c>
      <c r="C159" s="3" t="s">
        <v>555</v>
      </c>
      <c r="D159" s="3" t="s">
        <v>556</v>
      </c>
      <c r="E159" s="3" t="s">
        <v>46</v>
      </c>
      <c r="F159" s="3" t="s">
        <v>96</v>
      </c>
      <c r="G159" s="3" t="s">
        <v>460</v>
      </c>
      <c r="H159" s="3" t="s">
        <v>557</v>
      </c>
      <c r="I159" s="3" t="str">
        <f>HYPERLINK("http://www.jccm.es/sede/tramite/LJK","PROGRAMA DE APOYO A LA INNOVACION: INNOVA-ADELANTE")</f>
        <v>PROGRAMA DE APOYO A LA INNOVACION: INNOVA-ADELANTE</v>
      </c>
      <c r="J159" s="3" t="s">
        <v>41</v>
      </c>
      <c r="K159" s="3" t="s">
        <v>41</v>
      </c>
      <c r="L159" s="3" t="s">
        <v>42</v>
      </c>
      <c r="M159" s="3" t="s">
        <v>41</v>
      </c>
    </row>
    <row r="160" spans="1:13" ht="183.95">
      <c r="A160" s="22" t="s">
        <v>12</v>
      </c>
      <c r="B160" s="3" t="s">
        <v>558</v>
      </c>
      <c r="C160" s="3" t="s">
        <v>559</v>
      </c>
      <c r="D160" s="3" t="s">
        <v>62</v>
      </c>
      <c r="E160" s="3" t="s">
        <v>46</v>
      </c>
      <c r="F160" s="3" t="s">
        <v>96</v>
      </c>
      <c r="G160" s="3" t="s">
        <v>120</v>
      </c>
      <c r="H160" s="3" t="s">
        <v>560</v>
      </c>
      <c r="I160" s="3" t="str">
        <f>HYPERLINK("http://www.jccm.es/sede/tramite/LKS","SUBVENCIONES A PERSONAS TRABAJADORAS AUTONOMAS Y PYMES DE CASTILLA-LA MANCHA DESTINADAS A FOMENTAR EL TRABAJO A DISTANCIA. EJERCICIO 2022.")</f>
        <v>SUBVENCIONES A PERSONAS TRABAJADORAS AUTONOMAS Y PYMES DE CASTILLA-LA MANCHA DESTINADAS A FOMENTAR EL TRABAJO A DISTANCIA. EJERCICIO 2022.</v>
      </c>
      <c r="J160" s="3" t="s">
        <v>41</v>
      </c>
      <c r="K160" s="3" t="s">
        <v>41</v>
      </c>
      <c r="L160" s="3" t="s">
        <v>42</v>
      </c>
      <c r="M160" s="3" t="s">
        <v>41</v>
      </c>
    </row>
    <row r="161" spans="1:13" ht="195.6">
      <c r="A161" s="22" t="s">
        <v>12</v>
      </c>
      <c r="B161" s="3" t="s">
        <v>561</v>
      </c>
      <c r="C161" s="3" t="s">
        <v>562</v>
      </c>
      <c r="D161" s="3" t="s">
        <v>51</v>
      </c>
      <c r="E161" s="3" t="s">
        <v>46</v>
      </c>
      <c r="F161" s="3" t="s">
        <v>96</v>
      </c>
      <c r="G161" s="3" t="s">
        <v>328</v>
      </c>
      <c r="H161" s="3" t="s">
        <v>563</v>
      </c>
      <c r="I161" s="3" t="str">
        <f>HYPERLINK("http://www.jccm.es/sede/tramite/LLT","AYUDAS DESTINADAS A PERSONAS AFECTADAS POR UN ERTE CON MOTIVO DEL COVID-19 Y QUE HAN PERDIDO SU PUESTO DE TRABAJO CON POSTERIORIDAD A SU FINALIZACION.")</f>
        <v>AYUDAS DESTINADAS A PERSONAS AFECTADAS POR UN ERTE CON MOTIVO DEL COVID-19 Y QUE HAN PERDIDO SU PUESTO DE TRABAJO CON POSTERIORIDAD A SU FINALIZACION.</v>
      </c>
      <c r="J161" s="3" t="s">
        <v>42</v>
      </c>
      <c r="K161" s="3" t="s">
        <v>41</v>
      </c>
      <c r="L161" s="3" t="s">
        <v>42</v>
      </c>
      <c r="M161" s="3" t="s">
        <v>41</v>
      </c>
    </row>
    <row r="162" spans="1:13" ht="172.5">
      <c r="A162" s="22" t="s">
        <v>12</v>
      </c>
      <c r="B162" s="3" t="s">
        <v>564</v>
      </c>
      <c r="C162" s="3" t="s">
        <v>565</v>
      </c>
      <c r="D162" s="3" t="s">
        <v>192</v>
      </c>
      <c r="E162" s="3" t="s">
        <v>46</v>
      </c>
      <c r="F162" s="3" t="s">
        <v>96</v>
      </c>
      <c r="G162" s="3" t="s">
        <v>460</v>
      </c>
      <c r="H162" s="3" t="s">
        <v>566</v>
      </c>
      <c r="I162" s="3" t="str">
        <f>HYPERLINK("http://www.jccm.es/sede/tramite/LM1","SUBVENCIONES PARA EL APOYO A LA SOLVENCIA EMPRESARIAL EN RESPUESTA A LA PANDEMIA DE LA COVID-19")</f>
        <v>SUBVENCIONES PARA EL APOYO A LA SOLVENCIA EMPRESARIAL EN RESPUESTA A LA PANDEMIA DE LA COVID-19</v>
      </c>
      <c r="J162" s="3" t="s">
        <v>41</v>
      </c>
      <c r="K162" s="3" t="s">
        <v>41</v>
      </c>
      <c r="L162" s="3" t="s">
        <v>42</v>
      </c>
      <c r="M162" s="3" t="s">
        <v>41</v>
      </c>
    </row>
    <row r="163" spans="1:13" ht="126.6">
      <c r="A163" s="22" t="s">
        <v>12</v>
      </c>
      <c r="B163" s="3" t="s">
        <v>567</v>
      </c>
      <c r="C163" s="3" t="s">
        <v>568</v>
      </c>
      <c r="D163" s="3" t="s">
        <v>95</v>
      </c>
      <c r="E163" s="3" t="s">
        <v>95</v>
      </c>
      <c r="F163" s="3" t="s">
        <v>96</v>
      </c>
      <c r="G163" s="3" t="s">
        <v>97</v>
      </c>
      <c r="H163" s="3" t="s">
        <v>569</v>
      </c>
      <c r="I163" s="3" t="str">
        <f>HYPERLINK("http://www.jccm.es/sede/tramite/LNU","JUSTIFICACION DE LA AYUDA NOMINATIVA GENERAL A FAVOR DE LA ASOCIACION RUTA DEL VINO DE LA MANCHA.")</f>
        <v>JUSTIFICACION DE LA AYUDA NOMINATIVA GENERAL A FAVOR DE LA ASOCIACION RUTA DEL VINO DE LA MANCHA.</v>
      </c>
      <c r="J163" s="3" t="s">
        <v>41</v>
      </c>
      <c r="K163" s="3" t="s">
        <v>41</v>
      </c>
      <c r="L163" s="3" t="s">
        <v>42</v>
      </c>
      <c r="M163" s="3" t="s">
        <v>41</v>
      </c>
    </row>
    <row r="164" spans="1:13" ht="126.6">
      <c r="A164" s="22" t="s">
        <v>12</v>
      </c>
      <c r="B164" s="3" t="s">
        <v>570</v>
      </c>
      <c r="C164" s="3" t="s">
        <v>571</v>
      </c>
      <c r="D164" s="3" t="s">
        <v>95</v>
      </c>
      <c r="E164" s="3" t="s">
        <v>95</v>
      </c>
      <c r="F164" s="3" t="s">
        <v>96</v>
      </c>
      <c r="G164" s="3" t="s">
        <v>97</v>
      </c>
      <c r="H164" s="3" t="s">
        <v>572</v>
      </c>
      <c r="I164" s="3" t="str">
        <f>HYPERLINK("http://www.jccm.es/sede/tramite/LNT","JUSTIFICACION DE UNA SUBVENCION A FAVOR DE LA ASOCIACIACION RUTA DEL VINO DE LA MANCHUELA.")</f>
        <v>JUSTIFICACION DE UNA SUBVENCION A FAVOR DE LA ASOCIACIACION RUTA DEL VINO DE LA MANCHUELA.</v>
      </c>
      <c r="J164" s="3" t="s">
        <v>41</v>
      </c>
      <c r="K164" s="3" t="s">
        <v>41</v>
      </c>
      <c r="L164" s="3" t="s">
        <v>42</v>
      </c>
      <c r="M164" s="3" t="s">
        <v>41</v>
      </c>
    </row>
    <row r="165" spans="1:13" ht="126.6">
      <c r="A165" s="22" t="s">
        <v>12</v>
      </c>
      <c r="B165" s="3" t="s">
        <v>573</v>
      </c>
      <c r="C165" s="3" t="s">
        <v>574</v>
      </c>
      <c r="D165" s="3" t="s">
        <v>95</v>
      </c>
      <c r="E165" s="3" t="s">
        <v>95</v>
      </c>
      <c r="F165" s="3" t="s">
        <v>96</v>
      </c>
      <c r="G165" s="3" t="s">
        <v>97</v>
      </c>
      <c r="H165" s="3" t="s">
        <v>575</v>
      </c>
      <c r="I165" s="3" t="str">
        <f>HYPERLINK("http://www.jccm.es/sede/tramite/LNV","JUSTIFICACION DE UNA SUBVENCION A FAVOR DE LA ASOCIACIACION RUTA DEL VINO DE VALDEPEÑAS")</f>
        <v>JUSTIFICACION DE UNA SUBVENCION A FAVOR DE LA ASOCIACIACION RUTA DEL VINO DE VALDEPEÑAS</v>
      </c>
      <c r="J165" s="3" t="s">
        <v>41</v>
      </c>
      <c r="K165" s="3" t="s">
        <v>41</v>
      </c>
      <c r="L165" s="3" t="s">
        <v>42</v>
      </c>
      <c r="M165" s="3" t="s">
        <v>41</v>
      </c>
    </row>
    <row r="166" spans="1:13" ht="183.95">
      <c r="A166" s="22" t="s">
        <v>12</v>
      </c>
      <c r="B166" s="3" t="s">
        <v>576</v>
      </c>
      <c r="C166" s="3" t="s">
        <v>577</v>
      </c>
      <c r="D166" s="3" t="s">
        <v>578</v>
      </c>
      <c r="E166" s="3" t="s">
        <v>95</v>
      </c>
      <c r="F166" s="3" t="s">
        <v>96</v>
      </c>
      <c r="G166" s="3" t="s">
        <v>97</v>
      </c>
      <c r="H166" s="3" t="s">
        <v>579</v>
      </c>
      <c r="I166" s="3" t="str">
        <f>HYPERLINK("http://www.jccm.es/sede/tramite/LQE","JUSTIFICACION DE LA AYUDA DIRECTA AL AYUNTAMIENTO DE CAMPO DE CRIPTANA PARA LA EJECUCION DEL PLAN DE MEJORA DE LOS RECURSOS TURISTICOS DE CAMPO DE CRIPTANA.")</f>
        <v>JUSTIFICACION DE LA AYUDA DIRECTA AL AYUNTAMIENTO DE CAMPO DE CRIPTANA PARA LA EJECUCION DEL PLAN DE MEJORA DE LOS RECURSOS TURISTICOS DE CAMPO DE CRIPTANA.</v>
      </c>
      <c r="J166" s="3" t="s">
        <v>41</v>
      </c>
      <c r="K166" s="3" t="s">
        <v>41</v>
      </c>
      <c r="L166" s="3" t="s">
        <v>42</v>
      </c>
      <c r="M166" s="3" t="s">
        <v>41</v>
      </c>
    </row>
    <row r="167" spans="1:13" ht="183.95">
      <c r="A167" s="22" t="s">
        <v>12</v>
      </c>
      <c r="B167" s="3" t="s">
        <v>580</v>
      </c>
      <c r="C167" s="3" t="s">
        <v>581</v>
      </c>
      <c r="D167" s="3" t="s">
        <v>578</v>
      </c>
      <c r="E167" s="3" t="s">
        <v>95</v>
      </c>
      <c r="F167" s="3" t="s">
        <v>96</v>
      </c>
      <c r="G167" s="3" t="s">
        <v>97</v>
      </c>
      <c r="H167" s="3" t="s">
        <v>582</v>
      </c>
      <c r="I167" s="3" t="str">
        <f>HYPERLINK("http://www.jccm.es/sede/tramite/LQL","JUSTIFICACION DE LA AYUDA DIRECTA AL AYUNTAMIENTO DE CMOLINA DE ARAGON PARA LA EJECUCION DEL PLAN DE RECONVERSION DE ZONAS TURISTICAS.")</f>
        <v>JUSTIFICACION DE LA AYUDA DIRECTA AL AYUNTAMIENTO DE CMOLINA DE ARAGON PARA LA EJECUCION DEL PLAN DE RECONVERSION DE ZONAS TURISTICAS.</v>
      </c>
      <c r="J167" s="3" t="s">
        <v>41</v>
      </c>
      <c r="K167" s="3" t="s">
        <v>41</v>
      </c>
      <c r="L167" s="3" t="s">
        <v>42</v>
      </c>
      <c r="M167" s="3" t="s">
        <v>41</v>
      </c>
    </row>
    <row r="168" spans="1:13" ht="287.45">
      <c r="A168" s="22" t="s">
        <v>12</v>
      </c>
      <c r="B168" s="3" t="s">
        <v>583</v>
      </c>
      <c r="C168" s="3" t="s">
        <v>584</v>
      </c>
      <c r="D168" s="3" t="s">
        <v>578</v>
      </c>
      <c r="E168" s="3" t="s">
        <v>95</v>
      </c>
      <c r="F168" s="3" t="s">
        <v>96</v>
      </c>
      <c r="G168" s="3" t="s">
        <v>97</v>
      </c>
      <c r="H168" s="3" t="s">
        <v>585</v>
      </c>
      <c r="I168" s="3" t="str">
        <f>HYPERLINK("http://www.jccm.es/sede/tramite/LQM","JUSTIFICACION DE LA AYUDA DIRECTA AL AYTO. DE ELCHE DE LA SIERRA PARA LA EJECUCION DE DETERMINADAS ACTUACIONES EN EL PROYECTO MUSEOLOGICO Y DE CONTENIDOS DEL MUSEO DE LAS ALFOMBRAS DE SERRIN")</f>
        <v>JUSTIFICACION DE LA AYUDA DIRECTA AL AYTO. DE ELCHE DE LA SIERRA PARA LA EJECUCION DE DETERMINADAS ACTUACIONES EN EL PROYECTO MUSEOLOGICO Y DE CONTENIDOS DEL MUSEO DE LAS ALFOMBRAS DE SERRIN</v>
      </c>
      <c r="J168" s="3" t="s">
        <v>41</v>
      </c>
      <c r="K168" s="3" t="s">
        <v>41</v>
      </c>
      <c r="L168" s="3" t="s">
        <v>42</v>
      </c>
      <c r="M168" s="3" t="s">
        <v>41</v>
      </c>
    </row>
    <row r="169" spans="1:13" ht="138">
      <c r="A169" s="22" t="s">
        <v>12</v>
      </c>
      <c r="B169" s="3" t="s">
        <v>586</v>
      </c>
      <c r="C169" s="3" t="s">
        <v>587</v>
      </c>
      <c r="D169" s="3" t="s">
        <v>232</v>
      </c>
      <c r="E169" s="3" t="s">
        <v>46</v>
      </c>
      <c r="F169" s="3" t="s">
        <v>96</v>
      </c>
      <c r="G169" s="3" t="s">
        <v>460</v>
      </c>
      <c r="H169" s="3" t="s">
        <v>588</v>
      </c>
      <c r="I169" s="3" t="str">
        <f>HYPERLINK("http://www.jccm.es/sede/tramite/LQR","SOLICITUD DE SUBVENCION DEL PROGRAMA ADELANTE DIGITALIZACION, PARA LA TRANSFORMACION DIGITAL DE LAS PYMES DE CASTILLA-LA MANCHA. (DISP 9.7 RESOL. 14/10/2021, CONV 2021)")</f>
        <v>SOLICITUD DE SUBVENCION DEL PROGRAMA ADELANTE DIGITALIZACION, PARA LA TRANSFORMACION DIGITAL DE LAS PYMES DE CASTILLA-LA MANCHA. (DISP 9.7 RESOL. 14/10/2021, CONV 2021)</v>
      </c>
      <c r="J169" s="3" t="s">
        <v>41</v>
      </c>
      <c r="K169" s="3" t="s">
        <v>41</v>
      </c>
      <c r="L169" s="3" t="s">
        <v>42</v>
      </c>
      <c r="M169" s="3" t="s">
        <v>41</v>
      </c>
    </row>
    <row r="170" spans="1:13" ht="264.60000000000002">
      <c r="A170" s="22" t="s">
        <v>12</v>
      </c>
      <c r="B170" s="3" t="s">
        <v>589</v>
      </c>
      <c r="C170" s="3" t="s">
        <v>590</v>
      </c>
      <c r="D170" s="3" t="s">
        <v>51</v>
      </c>
      <c r="E170" s="3" t="s">
        <v>46</v>
      </c>
      <c r="F170" s="3" t="s">
        <v>96</v>
      </c>
      <c r="G170" s="3" t="s">
        <v>328</v>
      </c>
      <c r="H170" s="3" t="s">
        <v>591</v>
      </c>
      <c r="I170" s="3" t="str">
        <f>HYPERLINK("http://www.jccm.es/sede/tramite/LR1","SUBVENCIONES DESTINADAS A FINANCIAR EL PROGRAMA DE PRIMERA EXPERIENCIA PROFESIONAL EN LAS ADMINISTRACIONES PUBLICAS, PLAN DE RECUPERACION, TRANSFORMACION Y RESILIENCIA  NEXT-GERENATION EU.")</f>
        <v>SUBVENCIONES DESTINADAS A FINANCIAR EL PROGRAMA DE PRIMERA EXPERIENCIA PROFESIONAL EN LAS ADMINISTRACIONES PUBLICAS, PLAN DE RECUPERACION, TRANSFORMACION Y RESILIENCIA  NEXT-GERENATION EU.</v>
      </c>
      <c r="J170" s="3" t="s">
        <v>41</v>
      </c>
      <c r="K170" s="3" t="s">
        <v>41</v>
      </c>
      <c r="L170" s="3" t="s">
        <v>42</v>
      </c>
      <c r="M170" s="3" t="s">
        <v>41</v>
      </c>
    </row>
    <row r="171" spans="1:13" ht="183.95">
      <c r="A171" s="22" t="s">
        <v>12</v>
      </c>
      <c r="B171" s="3" t="s">
        <v>592</v>
      </c>
      <c r="C171" s="3" t="s">
        <v>593</v>
      </c>
      <c r="D171" s="3" t="s">
        <v>51</v>
      </c>
      <c r="E171" s="3" t="s">
        <v>46</v>
      </c>
      <c r="F171" s="3" t="s">
        <v>96</v>
      </c>
      <c r="G171" s="3" t="s">
        <v>328</v>
      </c>
      <c r="H171" s="3" t="s">
        <v>594</v>
      </c>
      <c r="I171" s="3" t="str">
        <f>HYPERLINK("http://www.jccm.es/sede/tramite/LR2","SUBVENCIONES DESTINADAS A FINANCIAR EL PROGRAMA INVESTIGO EN  EL MARCO DEL PLAN DE RECUPERACION, TRANSFORMACION Y RESILIENCIA  FINANCIADO POR LA UNION EUROPEA-NEXTGERENATION EU.")</f>
        <v>SUBVENCIONES DESTINADAS A FINANCIAR EL PROGRAMA INVESTIGO EN  EL MARCO DEL PLAN DE RECUPERACION, TRANSFORMACION Y RESILIENCIA  FINANCIADO POR LA UNION EUROPEA-NEXTGERENATION EU.</v>
      </c>
      <c r="J171" s="3" t="s">
        <v>41</v>
      </c>
      <c r="K171" s="3" t="s">
        <v>41</v>
      </c>
      <c r="L171" s="3" t="s">
        <v>42</v>
      </c>
      <c r="M171" s="3" t="s">
        <v>41</v>
      </c>
    </row>
    <row r="172" spans="1:13" ht="218.45">
      <c r="A172" s="22" t="s">
        <v>12</v>
      </c>
      <c r="B172" s="3" t="s">
        <v>595</v>
      </c>
      <c r="C172" s="3" t="s">
        <v>596</v>
      </c>
      <c r="D172" s="3" t="s">
        <v>95</v>
      </c>
      <c r="E172" s="3" t="s">
        <v>95</v>
      </c>
      <c r="F172" s="3" t="s">
        <v>96</v>
      </c>
      <c r="G172" s="3" t="s">
        <v>120</v>
      </c>
      <c r="H172" s="3" t="s">
        <v>597</v>
      </c>
      <c r="I172" s="3" t="str">
        <f>HYPERLINK("http://www.jccm.es/sede/tramite/LTU","CONCESION DIRECTA DE SUBVENCIONES A LOS AYUNTAMIENTOS DE RIOPAR, ALMADEN, QUINTANAR DEL REY, MOLINA DE ARAGON Y BELVIS DE LA JARA, PARA LA PUESTA EN MARCHA DE UN ESPACIO COWORKING")</f>
        <v>CONCESION DIRECTA DE SUBVENCIONES A LOS AYUNTAMIENTOS DE RIOPAR, ALMADEN, QUINTANAR DEL REY, MOLINA DE ARAGON Y BELVIS DE LA JARA, PARA LA PUESTA EN MARCHA DE UN ESPACIO COWORKING</v>
      </c>
      <c r="J172" s="3" t="s">
        <v>41</v>
      </c>
      <c r="K172" s="3" t="s">
        <v>41</v>
      </c>
      <c r="L172" s="3" t="s">
        <v>42</v>
      </c>
      <c r="M172" s="3" t="s">
        <v>41</v>
      </c>
    </row>
    <row r="173" spans="1:13" ht="57.6">
      <c r="A173" s="22" t="s">
        <v>12</v>
      </c>
      <c r="B173" s="3" t="s">
        <v>598</v>
      </c>
      <c r="C173" s="3" t="s">
        <v>599</v>
      </c>
      <c r="D173" s="3" t="s">
        <v>36</v>
      </c>
      <c r="E173" s="3" t="s">
        <v>46</v>
      </c>
      <c r="F173" s="3" t="s">
        <v>96</v>
      </c>
      <c r="G173" s="3" t="s">
        <v>96</v>
      </c>
      <c r="H173" s="3" t="s">
        <v>600</v>
      </c>
      <c r="I173" s="3" t="str">
        <f>HYPERLINK("http://www.jccm.es/sede/tramite/LU9","SOLICITUD LINEA 2. PROGRAMA CLM MAS SEGURA.")</f>
        <v>SOLICITUD LINEA 2. PROGRAMA CLM MAS SEGURA.</v>
      </c>
      <c r="J173" s="3" t="s">
        <v>41</v>
      </c>
      <c r="K173" s="3" t="s">
        <v>41</v>
      </c>
      <c r="L173" s="3" t="s">
        <v>42</v>
      </c>
      <c r="M173" s="3" t="s">
        <v>41</v>
      </c>
    </row>
    <row r="174" spans="1:13" ht="57.6">
      <c r="A174" s="22" t="s">
        <v>12</v>
      </c>
      <c r="B174" s="3" t="s">
        <v>601</v>
      </c>
      <c r="C174" s="3" t="s">
        <v>602</v>
      </c>
      <c r="D174" s="3" t="s">
        <v>36</v>
      </c>
      <c r="E174" s="3" t="s">
        <v>46</v>
      </c>
      <c r="F174" s="3" t="s">
        <v>96</v>
      </c>
      <c r="G174" s="3" t="s">
        <v>96</v>
      </c>
      <c r="H174" s="3" t="s">
        <v>603</v>
      </c>
      <c r="I174" s="3" t="str">
        <f>HYPERLINK("http://www.jccm.es/sede/tramite/LUA","SOLICITUD LINEA 3. PROGRAMA CLM MAS SEGURA.")</f>
        <v>SOLICITUD LINEA 3. PROGRAMA CLM MAS SEGURA.</v>
      </c>
      <c r="J174" s="3" t="s">
        <v>41</v>
      </c>
      <c r="K174" s="3" t="s">
        <v>41</v>
      </c>
      <c r="L174" s="3" t="s">
        <v>42</v>
      </c>
      <c r="M174" s="3" t="s">
        <v>41</v>
      </c>
    </row>
    <row r="175" spans="1:13" ht="138">
      <c r="A175" s="22" t="s">
        <v>12</v>
      </c>
      <c r="B175" s="3" t="s">
        <v>604</v>
      </c>
      <c r="C175" s="3" t="s">
        <v>605</v>
      </c>
      <c r="D175" s="3" t="s">
        <v>36</v>
      </c>
      <c r="E175" s="3" t="s">
        <v>46</v>
      </c>
      <c r="F175" s="3" t="s">
        <v>96</v>
      </c>
      <c r="G175" s="3" t="s">
        <v>113</v>
      </c>
      <c r="H175" s="3" t="s">
        <v>606</v>
      </c>
      <c r="I175" s="3" t="str">
        <f>HYPERLINK("http://www.jccm.es/sede/tramite/LUB","SOLICITUD LINEA 4. PROGRAMA CLM MAS SEGURA.")</f>
        <v>SOLICITUD LINEA 4. PROGRAMA CLM MAS SEGURA.</v>
      </c>
      <c r="J175" s="3" t="s">
        <v>41</v>
      </c>
      <c r="K175" s="3" t="s">
        <v>41</v>
      </c>
      <c r="L175" s="3" t="s">
        <v>42</v>
      </c>
      <c r="M175" s="3" t="s">
        <v>41</v>
      </c>
    </row>
    <row r="176" spans="1:13" ht="126.6">
      <c r="A176" s="22" t="s">
        <v>12</v>
      </c>
      <c r="B176" s="3" t="s">
        <v>607</v>
      </c>
      <c r="C176" s="3" t="s">
        <v>608</v>
      </c>
      <c r="D176" s="3" t="s">
        <v>95</v>
      </c>
      <c r="E176" s="3" t="s">
        <v>95</v>
      </c>
      <c r="F176" s="3" t="s">
        <v>96</v>
      </c>
      <c r="G176" s="3" t="s">
        <v>97</v>
      </c>
      <c r="H176" s="3" t="s">
        <v>609</v>
      </c>
      <c r="I176" s="3" t="str">
        <f>HYPERLINK("http://www.jccm.es/sede/tramite/LV6","SUBVENCION  A FAVOR DE LA ASOCIACION RUTA DEL VINO DE ALMANSA.")</f>
        <v>SUBVENCION  A FAVOR DE LA ASOCIACION RUTA DEL VINO DE ALMANSA.</v>
      </c>
      <c r="J176" s="3" t="s">
        <v>41</v>
      </c>
      <c r="K176" s="3" t="s">
        <v>41</v>
      </c>
      <c r="L176" s="3" t="s">
        <v>42</v>
      </c>
      <c r="M176" s="3" t="s">
        <v>41</v>
      </c>
    </row>
    <row r="177" spans="1:13" ht="183.95">
      <c r="A177" s="22" t="s">
        <v>12</v>
      </c>
      <c r="B177" s="3" t="s">
        <v>610</v>
      </c>
      <c r="C177" s="3" t="s">
        <v>611</v>
      </c>
      <c r="D177" s="3" t="s">
        <v>45</v>
      </c>
      <c r="E177" s="3" t="s">
        <v>46</v>
      </c>
      <c r="F177" s="3" t="s">
        <v>96</v>
      </c>
      <c r="G177" s="3" t="s">
        <v>96</v>
      </c>
      <c r="H177" s="3" t="s">
        <v>612</v>
      </c>
      <c r="I177" s="3" t="str">
        <f>HYPERLINK("http://www.jccm.es/sede/tramite/LW7","SOLICITUD DE INCREMENTO DEL SALARIO MINIMO INTERPROFESIONAL DE LA LINEA 2 DE COSTES SALARIALES  DE LAS PERSONAS CON DISCAPACIDAD")</f>
        <v>SOLICITUD DE INCREMENTO DEL SALARIO MINIMO INTERPROFESIONAL DE LA LINEA 2 DE COSTES SALARIALES  DE LAS PERSONAS CON DISCAPACIDAD</v>
      </c>
      <c r="J177" s="3" t="s">
        <v>41</v>
      </c>
      <c r="K177" s="3" t="s">
        <v>41</v>
      </c>
      <c r="L177" s="3" t="s">
        <v>42</v>
      </c>
      <c r="M177" s="3" t="s">
        <v>41</v>
      </c>
    </row>
    <row r="178" spans="1:13" ht="207">
      <c r="A178" s="22" t="s">
        <v>12</v>
      </c>
      <c r="B178" s="3" t="s">
        <v>613</v>
      </c>
      <c r="C178" s="3" t="s">
        <v>614</v>
      </c>
      <c r="D178" s="3" t="s">
        <v>45</v>
      </c>
      <c r="E178" s="3" t="s">
        <v>46</v>
      </c>
      <c r="F178" s="3" t="s">
        <v>96</v>
      </c>
      <c r="G178" s="3" t="s">
        <v>96</v>
      </c>
      <c r="H178" s="3" t="s">
        <v>615</v>
      </c>
      <c r="I178" s="3" t="str">
        <f>HYPERLINK("http://www.jccm.es/sede/tramite/LW8","SUBVENCIONES DEL PROGRAMA DE INCLUSION LABORAL DE PERSONAS CON DISCAPACIDAD EN EL MERCADO PROTEGIDO DE CASTILLA-LA MANCHA-LINEA 3-ADAPTACION DE PUESTOS DE TRABAJO")</f>
        <v>SUBVENCIONES DEL PROGRAMA DE INCLUSION LABORAL DE PERSONAS CON DISCAPACIDAD EN EL MERCADO PROTEGIDO DE CASTILLA-LA MANCHA-LINEA 3-ADAPTACION DE PUESTOS DE TRABAJO</v>
      </c>
      <c r="J178" s="3" t="s">
        <v>41</v>
      </c>
      <c r="K178" s="3" t="s">
        <v>41</v>
      </c>
      <c r="L178" s="3" t="s">
        <v>42</v>
      </c>
      <c r="M178" s="3" t="s">
        <v>41</v>
      </c>
    </row>
    <row r="179" spans="1:13" ht="276">
      <c r="A179" s="22" t="s">
        <v>12</v>
      </c>
      <c r="B179" s="3" t="s">
        <v>616</v>
      </c>
      <c r="C179" s="3" t="s">
        <v>617</v>
      </c>
      <c r="D179" s="3" t="s">
        <v>618</v>
      </c>
      <c r="E179" s="3" t="s">
        <v>46</v>
      </c>
      <c r="F179" s="3" t="s">
        <v>96</v>
      </c>
      <c r="G179" s="3" t="s">
        <v>96</v>
      </c>
      <c r="H179" s="3" t="s">
        <v>619</v>
      </c>
      <c r="I179" s="3" t="str">
        <f>HYPERLINK("http://www.jccm.es/sede/tramite/LWH","LINEA 2. SUBVENCION PARA LA INCORPORACION, CON CARACTER INDEFINIDO, DE PERSONAS SOCIAS TRABAJADORAS O SOCIAS DE TRABAJO A COOPERATIVAS Y SOCIEDADES LABORALES")</f>
        <v>LINEA 2. SUBVENCION PARA LA INCORPORACION, CON CARACTER INDEFINIDO, DE PERSONAS SOCIAS TRABAJADORAS O SOCIAS DE TRABAJO A COOPERATIVAS Y SOCIEDADES LABORALES</v>
      </c>
      <c r="J179" s="3" t="s">
        <v>41</v>
      </c>
      <c r="K179" s="3" t="s">
        <v>41</v>
      </c>
      <c r="L179" s="3" t="s">
        <v>42</v>
      </c>
      <c r="M179" s="3" t="s">
        <v>41</v>
      </c>
    </row>
    <row r="180" spans="1:13" ht="276">
      <c r="A180" s="22" t="s">
        <v>12</v>
      </c>
      <c r="B180" s="3" t="s">
        <v>620</v>
      </c>
      <c r="C180" s="3" t="s">
        <v>621</v>
      </c>
      <c r="D180" s="3" t="s">
        <v>618</v>
      </c>
      <c r="E180" s="3" t="s">
        <v>46</v>
      </c>
      <c r="F180" s="3" t="s">
        <v>96</v>
      </c>
      <c r="G180" s="3" t="s">
        <v>96</v>
      </c>
      <c r="H180" s="3" t="s">
        <v>622</v>
      </c>
      <c r="I180" s="3" t="str">
        <f>HYPERLINK("http://www.jccm.es/sede/tramite/LWI","LINEA 3. SUBVENCION PARA LA REALIZACION DE ACTIVIDADES DE FORMACION, DIFUSION Y FOMENTO DE LA ECONOMIA SOCIAL VINCULADAS DIRECTAMENTE AL FOMENTO DEL EMPLEO.")</f>
        <v>LINEA 3. SUBVENCION PARA LA REALIZACION DE ACTIVIDADES DE FORMACION, DIFUSION Y FOMENTO DE LA ECONOMIA SOCIAL VINCULADAS DIRECTAMENTE AL FOMENTO DEL EMPLEO.</v>
      </c>
      <c r="J180" s="3" t="s">
        <v>41</v>
      </c>
      <c r="K180" s="3" t="s">
        <v>41</v>
      </c>
      <c r="L180" s="3" t="s">
        <v>42</v>
      </c>
      <c r="M180" s="3" t="s">
        <v>41</v>
      </c>
    </row>
    <row r="181" spans="1:13" ht="287.45">
      <c r="A181" s="22" t="s">
        <v>12</v>
      </c>
      <c r="B181" s="3" t="s">
        <v>623</v>
      </c>
      <c r="C181" s="3" t="s">
        <v>624</v>
      </c>
      <c r="D181" s="3" t="s">
        <v>625</v>
      </c>
      <c r="E181" s="3" t="s">
        <v>46</v>
      </c>
      <c r="F181" s="3" t="s">
        <v>96</v>
      </c>
      <c r="G181" s="3" t="s">
        <v>96</v>
      </c>
      <c r="H181" s="3" t="s">
        <v>626</v>
      </c>
      <c r="I181" s="3" t="str">
        <f>HYPERLINK("http://www.jccm.es/sede/tramite/LWJ","LINEA 4. SUBVENCION PARA LA PRESTACION DE ASISTENCIA TECNICA")</f>
        <v>LINEA 4. SUBVENCION PARA LA PRESTACION DE ASISTENCIA TECNICA</v>
      </c>
      <c r="J181" s="3" t="s">
        <v>41</v>
      </c>
      <c r="K181" s="3" t="s">
        <v>41</v>
      </c>
      <c r="L181" s="3" t="s">
        <v>42</v>
      </c>
      <c r="M181" s="3" t="s">
        <v>41</v>
      </c>
    </row>
    <row r="182" spans="1:13" ht="92.1">
      <c r="A182" s="22" t="s">
        <v>12</v>
      </c>
      <c r="B182" s="3" t="s">
        <v>627</v>
      </c>
      <c r="C182" s="3" t="s">
        <v>628</v>
      </c>
      <c r="D182" s="3" t="s">
        <v>95</v>
      </c>
      <c r="E182" s="3" t="s">
        <v>95</v>
      </c>
      <c r="F182" s="3" t="s">
        <v>96</v>
      </c>
      <c r="G182" s="3" t="s">
        <v>96</v>
      </c>
      <c r="H182" s="3" t="s">
        <v>629</v>
      </c>
      <c r="I182" s="3" t="str">
        <f>HYPERLINK("http://www.jccm.es/sede/tramite/LWT","SUBVENCION  A FAVOR DE LA ASOCIACION RUTA DEL VINO DE MENTRIDA-TOLEDO.")</f>
        <v>SUBVENCION  A FAVOR DE LA ASOCIACION RUTA DEL VINO DE MENTRIDA-TOLEDO.</v>
      </c>
      <c r="J182" s="3" t="s">
        <v>41</v>
      </c>
      <c r="K182" s="3" t="s">
        <v>41</v>
      </c>
      <c r="L182" s="3" t="s">
        <v>42</v>
      </c>
      <c r="M182" s="3" t="s">
        <v>41</v>
      </c>
    </row>
    <row r="183" spans="1:13" ht="126.6">
      <c r="A183" s="22" t="s">
        <v>12</v>
      </c>
      <c r="B183" s="3" t="s">
        <v>630</v>
      </c>
      <c r="C183" s="3" t="s">
        <v>631</v>
      </c>
      <c r="D183" s="3" t="s">
        <v>632</v>
      </c>
      <c r="E183" s="3" t="s">
        <v>46</v>
      </c>
      <c r="F183" s="3" t="s">
        <v>96</v>
      </c>
      <c r="G183" s="3" t="s">
        <v>328</v>
      </c>
      <c r="H183" s="3" t="s">
        <v>633</v>
      </c>
      <c r="I183" s="3" t="str">
        <f>HYPERLINK("http://www.jccm.es/sede/tramite/LXG","AYUDAS PARA LA ADAPTACION DE LOS PUESTOS DE TRABAJO DE PERSONAS TRABAJADORAS CON DISCAPACIDAD.")</f>
        <v>AYUDAS PARA LA ADAPTACION DE LOS PUESTOS DE TRABAJO DE PERSONAS TRABAJADORAS CON DISCAPACIDAD.</v>
      </c>
      <c r="J183" s="3" t="s">
        <v>41</v>
      </c>
      <c r="K183" s="3" t="s">
        <v>41</v>
      </c>
      <c r="L183" s="3" t="s">
        <v>42</v>
      </c>
      <c r="M183" s="3" t="s">
        <v>41</v>
      </c>
    </row>
    <row r="184" spans="1:13" ht="264.60000000000002">
      <c r="A184" s="22" t="s">
        <v>12</v>
      </c>
      <c r="B184" s="3" t="s">
        <v>634</v>
      </c>
      <c r="C184" s="3" t="s">
        <v>635</v>
      </c>
      <c r="D184" s="3" t="s">
        <v>632</v>
      </c>
      <c r="E184" s="3" t="s">
        <v>46</v>
      </c>
      <c r="F184" s="3" t="s">
        <v>96</v>
      </c>
      <c r="G184" s="3" t="s">
        <v>328</v>
      </c>
      <c r="H184" s="3" t="s">
        <v>636</v>
      </c>
      <c r="I184" s="3" t="str">
        <f>HYPERLINK("http://www.jccm.es/sede/tramite/LXH","AYUDAS PARA LA CONTRATACION INDEFINIDA DE TRABAJADORES CON DISCAPACIDAD, QUE PRESENTAN ESPECIALES DIFICULTADES PARA EL ACCESO AL MERCADO ORDINARIO DE TRABAJO, PROCEDENTES DE ENCLAVES LABORALES.")</f>
        <v>AYUDAS PARA LA CONTRATACION INDEFINIDA DE TRABAJADORES CON DISCAPACIDAD, QUE PRESENTAN ESPECIALES DIFICULTADES PARA EL ACCESO AL MERCADO ORDINARIO DE TRABAJO, PROCEDENTES DE ENCLAVES LABORALES.</v>
      </c>
      <c r="J184" s="3" t="s">
        <v>41</v>
      </c>
      <c r="K184" s="3" t="s">
        <v>41</v>
      </c>
      <c r="L184" s="3" t="s">
        <v>42</v>
      </c>
      <c r="M184" s="3" t="s">
        <v>41</v>
      </c>
    </row>
    <row r="185" spans="1:13" ht="310.5">
      <c r="A185" s="22" t="s">
        <v>12</v>
      </c>
      <c r="B185" s="3" t="s">
        <v>637</v>
      </c>
      <c r="C185" s="3" t="s">
        <v>638</v>
      </c>
      <c r="D185" s="3" t="s">
        <v>632</v>
      </c>
      <c r="E185" s="3" t="s">
        <v>46</v>
      </c>
      <c r="F185" s="3" t="s">
        <v>96</v>
      </c>
      <c r="G185" s="3" t="s">
        <v>328</v>
      </c>
      <c r="H185" s="3" t="s">
        <v>639</v>
      </c>
      <c r="I185" s="3" t="str">
        <f>HYPERLINK("http://www.jccm.es/sede/tramite/LXI","AYUDAS COSTES SALARIALES Y DE SEG. SOCIAL DEL PREPARADOR LABORAL. SUBVENCIONES PARA INSERCION LABORAL DE PERSONAS CON DISCAPACIDAD EN EL MERCADO ORDINARIO DE TRABAJO.")</f>
        <v>AYUDAS COSTES SALARIALES Y DE SEG. SOCIAL DEL PREPARADOR LABORAL. SUBVENCIONES PARA INSERCION LABORAL DE PERSONAS CON DISCAPACIDAD EN EL MERCADO ORDINARIO DE TRABAJO.</v>
      </c>
      <c r="J185" s="3" t="s">
        <v>41</v>
      </c>
      <c r="K185" s="3" t="s">
        <v>41</v>
      </c>
      <c r="L185" s="3" t="s">
        <v>42</v>
      </c>
      <c r="M185" s="3" t="s">
        <v>41</v>
      </c>
    </row>
    <row r="186" spans="1:13" ht="114.95">
      <c r="A186" s="22" t="s">
        <v>12</v>
      </c>
      <c r="B186" s="3" t="s">
        <v>640</v>
      </c>
      <c r="C186" s="3" t="s">
        <v>641</v>
      </c>
      <c r="D186" s="3" t="s">
        <v>45</v>
      </c>
      <c r="E186" s="3" t="s">
        <v>46</v>
      </c>
      <c r="F186" s="3" t="s">
        <v>96</v>
      </c>
      <c r="G186" s="3" t="s">
        <v>328</v>
      </c>
      <c r="H186" s="3" t="s">
        <v>642</v>
      </c>
      <c r="I186" s="3" t="str">
        <f>HYPERLINK("http://www.jccm.es/sede/tramite/LY1","LINEA 2 : AYUDAS PARA INCENTIVAR LA CONTRATACION FIJA-DISCONTINUA.")</f>
        <v>LINEA 2 : AYUDAS PARA INCENTIVAR LA CONTRATACION FIJA-DISCONTINUA.</v>
      </c>
      <c r="J186" s="3" t="s">
        <v>41</v>
      </c>
      <c r="K186" s="3" t="s">
        <v>41</v>
      </c>
      <c r="L186" s="3" t="s">
        <v>42</v>
      </c>
      <c r="M186" s="3" t="s">
        <v>41</v>
      </c>
    </row>
    <row r="187" spans="1:13" ht="114.95">
      <c r="A187" s="22" t="s">
        <v>12</v>
      </c>
      <c r="B187" s="3" t="s">
        <v>643</v>
      </c>
      <c r="C187" s="3" t="s">
        <v>644</v>
      </c>
      <c r="D187" s="3" t="s">
        <v>45</v>
      </c>
      <c r="E187" s="3" t="s">
        <v>46</v>
      </c>
      <c r="F187" s="3" t="s">
        <v>96</v>
      </c>
      <c r="G187" s="3" t="s">
        <v>328</v>
      </c>
      <c r="H187" s="3" t="s">
        <v>645</v>
      </c>
      <c r="I187" s="3" t="str">
        <f>HYPERLINK("http://www.jccm.es/sede/tramite/LY2","LINEA 1: AYUDAS PARA INCENTIVAR LA CONTRATACION INDEFINIDA.")</f>
        <v>LINEA 1: AYUDAS PARA INCENTIVAR LA CONTRATACION INDEFINIDA.</v>
      </c>
      <c r="J187" s="3" t="s">
        <v>41</v>
      </c>
      <c r="K187" s="3" t="s">
        <v>41</v>
      </c>
      <c r="L187" s="3" t="s">
        <v>42</v>
      </c>
      <c r="M187" s="3" t="s">
        <v>41</v>
      </c>
    </row>
    <row r="188" spans="1:13" ht="69">
      <c r="A188" s="22" t="s">
        <v>12</v>
      </c>
      <c r="B188" s="3" t="s">
        <v>646</v>
      </c>
      <c r="C188" s="3" t="s">
        <v>647</v>
      </c>
      <c r="D188" s="3" t="s">
        <v>45</v>
      </c>
      <c r="E188" s="3" t="s">
        <v>46</v>
      </c>
      <c r="F188" s="3" t="s">
        <v>96</v>
      </c>
      <c r="G188" s="3" t="s">
        <v>96</v>
      </c>
      <c r="H188" s="3" t="s">
        <v>648</v>
      </c>
      <c r="I188" s="3" t="str">
        <f>HYPERLINK("http://www.jccm.es/sede/tramite/LY3","LINEA 3; AYUDA PROGRAMA  CHEQUE TRANSICION .")</f>
        <v>LINEA 3; AYUDA PROGRAMA  CHEQUE TRANSICION .</v>
      </c>
      <c r="J188" s="3" t="s">
        <v>41</v>
      </c>
      <c r="K188" s="3" t="s">
        <v>41</v>
      </c>
      <c r="L188" s="3" t="s">
        <v>42</v>
      </c>
      <c r="M188" s="3" t="s">
        <v>41</v>
      </c>
    </row>
    <row r="189" spans="1:13" ht="183.95">
      <c r="A189" s="22" t="s">
        <v>12</v>
      </c>
      <c r="B189" s="3" t="s">
        <v>649</v>
      </c>
      <c r="C189" s="3" t="s">
        <v>650</v>
      </c>
      <c r="D189" s="3" t="s">
        <v>45</v>
      </c>
      <c r="E189" s="3" t="s">
        <v>46</v>
      </c>
      <c r="F189" s="3" t="s">
        <v>96</v>
      </c>
      <c r="G189" s="3" t="s">
        <v>328</v>
      </c>
      <c r="H189" s="3" t="s">
        <v>651</v>
      </c>
      <c r="I189" s="3" t="str">
        <f>HYPERLINK("http://www.jccm.es/sede/tramite/LY4","LINEA V:AYUDAS PARA LA CONVERSION EN CONTRATOS INDEFINIDOS DE CONTRATOS TEMPORALES CELEBRADOS ANTES DEL 31 DE DICIEMBRE DE 2021.")</f>
        <v>LINEA V:AYUDAS PARA LA CONVERSION EN CONTRATOS INDEFINIDOS DE CONTRATOS TEMPORALES CELEBRADOS ANTES DEL 31 DE DICIEMBRE DE 2021.</v>
      </c>
      <c r="J189" s="3" t="s">
        <v>41</v>
      </c>
      <c r="K189" s="3" t="s">
        <v>41</v>
      </c>
      <c r="L189" s="3" t="s">
        <v>42</v>
      </c>
      <c r="M189" s="3" t="s">
        <v>41</v>
      </c>
    </row>
    <row r="190" spans="1:13" ht="149.44999999999999">
      <c r="A190" s="22" t="s">
        <v>12</v>
      </c>
      <c r="B190" s="3" t="s">
        <v>652</v>
      </c>
      <c r="C190" s="3" t="s">
        <v>653</v>
      </c>
      <c r="D190" s="3" t="s">
        <v>45</v>
      </c>
      <c r="E190" s="3" t="s">
        <v>46</v>
      </c>
      <c r="F190" s="3" t="s">
        <v>96</v>
      </c>
      <c r="G190" s="3" t="s">
        <v>328</v>
      </c>
      <c r="H190" s="3" t="s">
        <v>654</v>
      </c>
      <c r="I190" s="3" t="str">
        <f>HYPERLINK("http://www.jccm.es/sede/tramite/LY5","LINEA IV; AYUDAS PARA LA CONVERSION DE CONTRATOS INDEFINIDOS A TIEMPO PARCIAL EN CONTRATOS INDEFINIDOS A JORNADA COMPLETA.")</f>
        <v>LINEA IV; AYUDAS PARA LA CONVERSION DE CONTRATOS INDEFINIDOS A TIEMPO PARCIAL EN CONTRATOS INDEFINIDOS A JORNADA COMPLETA.</v>
      </c>
      <c r="J190" s="3" t="s">
        <v>41</v>
      </c>
      <c r="K190" s="3" t="s">
        <v>41</v>
      </c>
      <c r="L190" s="3" t="s">
        <v>42</v>
      </c>
      <c r="M190" s="3" t="s">
        <v>41</v>
      </c>
    </row>
    <row r="191" spans="1:13" ht="252.95">
      <c r="A191" s="22" t="s">
        <v>12</v>
      </c>
      <c r="B191" s="3" t="s">
        <v>655</v>
      </c>
      <c r="C191" s="3" t="s">
        <v>656</v>
      </c>
      <c r="D191" s="3" t="s">
        <v>45</v>
      </c>
      <c r="E191" s="3" t="s">
        <v>46</v>
      </c>
      <c r="F191" s="3" t="s">
        <v>96</v>
      </c>
      <c r="G191" s="3" t="s">
        <v>130</v>
      </c>
      <c r="H191" s="3" t="s">
        <v>657</v>
      </c>
      <c r="I191" s="3" t="str">
        <f>HYPERLINK("http://www.jccm.es/sede/tramite/LYM","BECAS PARA LAS PARTICIPANTES EN LOS PROGRAMAS PERSONALIZADOS DE INSERCION SOCIOLABORAL CON COMPROMISO DE CONTRATACION PARA MUJERES VICTIMAS DE VIOLENCIA DE GENERO O DE TRATA Y EXPLOTACION SEXUAL")</f>
        <v>BECAS PARA LAS PARTICIPANTES EN LOS PROGRAMAS PERSONALIZADOS DE INSERCION SOCIOLABORAL CON COMPROMISO DE CONTRATACION PARA MUJERES VICTIMAS DE VIOLENCIA DE GENERO O DE TRATA Y EXPLOTACION SEXUAL</v>
      </c>
      <c r="J191" s="3" t="s">
        <v>42</v>
      </c>
      <c r="K191" s="3" t="s">
        <v>41</v>
      </c>
      <c r="L191" s="3" t="s">
        <v>42</v>
      </c>
      <c r="M191" s="3" t="s">
        <v>41</v>
      </c>
    </row>
    <row r="192" spans="1:13" ht="241.5">
      <c r="A192" s="22" t="s">
        <v>12</v>
      </c>
      <c r="B192" s="3" t="s">
        <v>658</v>
      </c>
      <c r="C192" s="3" t="s">
        <v>659</v>
      </c>
      <c r="D192" s="3" t="s">
        <v>660</v>
      </c>
      <c r="E192" s="3" t="s">
        <v>46</v>
      </c>
      <c r="F192" s="3" t="s">
        <v>96</v>
      </c>
      <c r="G192" s="3" t="s">
        <v>130</v>
      </c>
      <c r="H192" s="3" t="s">
        <v>661</v>
      </c>
      <c r="I192" s="3" t="str">
        <f>HYPERLINK("http://www.jccm.es/sede/tramite/LZ3","SUBVENCIONES PARA LA REALIZACION DE ACCIONES DE  FORMACION MODULAR PARA LA CUALIFICACION Y RECUALIFICACION DE LA POBLACION ACTIVA  (PLAN DE TRANSFORMACION, RECUPERACION Y RESILIENCIA)")</f>
        <v>SUBVENCIONES PARA LA REALIZACION DE ACCIONES DE  FORMACION MODULAR PARA LA CUALIFICACION Y RECUALIFICACION DE LA POBLACION ACTIVA  (PLAN DE TRANSFORMACION, RECUPERACION Y RESILIENCIA)</v>
      </c>
      <c r="J192" s="3" t="s">
        <v>41</v>
      </c>
      <c r="K192" s="3" t="s">
        <v>41</v>
      </c>
      <c r="L192" s="3" t="s">
        <v>42</v>
      </c>
      <c r="M192" s="3" t="s">
        <v>41</v>
      </c>
    </row>
    <row r="193" spans="1:13" ht="241.5">
      <c r="A193" s="22" t="s">
        <v>12</v>
      </c>
      <c r="B193" s="3" t="s">
        <v>662</v>
      </c>
      <c r="C193" s="3" t="s">
        <v>663</v>
      </c>
      <c r="D193" s="3" t="s">
        <v>95</v>
      </c>
      <c r="E193" s="3" t="s">
        <v>46</v>
      </c>
      <c r="F193" s="3" t="s">
        <v>96</v>
      </c>
      <c r="G193" s="3" t="s">
        <v>130</v>
      </c>
      <c r="H193" s="3" t="s">
        <v>664</v>
      </c>
      <c r="I193" s="3" t="str">
        <f>HYPERLINK("http://www.jccm.es/sede/tramite/LZ4","INSCRIPCION PARA LA REALIZACION DE ACCIONES DE FORMACION MODULAR PARA LA CUALIFICACION Y RECUALIFICACION (PLAN DE RECUPERACION,TRANSFORMACION Y RESILIENCIA- NEXT GENERATION-EU)")</f>
        <v>INSCRIPCION PARA LA REALIZACION DE ACCIONES DE FORMACION MODULAR PARA LA CUALIFICACION Y RECUALIFICACION (PLAN DE RECUPERACION,TRANSFORMACION Y RESILIENCIA- NEXT GENERATION-EU)</v>
      </c>
      <c r="J193" s="3" t="s">
        <v>42</v>
      </c>
      <c r="K193" s="3" t="s">
        <v>41</v>
      </c>
      <c r="L193" s="3" t="s">
        <v>42</v>
      </c>
      <c r="M193" s="3" t="s">
        <v>41</v>
      </c>
    </row>
    <row r="194" spans="1:13" ht="183.95">
      <c r="A194" s="22" t="s">
        <v>12</v>
      </c>
      <c r="B194" s="3" t="s">
        <v>665</v>
      </c>
      <c r="C194" s="3" t="s">
        <v>666</v>
      </c>
      <c r="D194" s="3" t="s">
        <v>45</v>
      </c>
      <c r="E194" s="3" t="s">
        <v>46</v>
      </c>
      <c r="F194" s="3" t="s">
        <v>96</v>
      </c>
      <c r="G194" s="3" t="s">
        <v>120</v>
      </c>
      <c r="H194" s="3" t="s">
        <v>667</v>
      </c>
      <c r="I194" s="3" t="str">
        <f>HYPERLINK("http://www.jccm.es/sede/tramite/IJE","AYUDAS PARA LA ELABORACION Y DESARROLLO DE ACTIVIDADES DE ACCION Y/O FORMACION SINDICAL CON CARGO AL FONDO DE AYUDA SINDICAL. SOLICITUD")</f>
        <v>AYUDAS PARA LA ELABORACION Y DESARROLLO DE ACTIVIDADES DE ACCION Y/O FORMACION SINDICAL CON CARGO AL FONDO DE AYUDA SINDICAL. SOLICITUD</v>
      </c>
      <c r="J194" s="3" t="s">
        <v>41</v>
      </c>
      <c r="K194" s="3" t="s">
        <v>41</v>
      </c>
      <c r="L194" s="3" t="s">
        <v>42</v>
      </c>
      <c r="M194" s="3" t="s">
        <v>41</v>
      </c>
    </row>
    <row r="195" spans="1:13" ht="195.6">
      <c r="A195" s="22" t="s">
        <v>12</v>
      </c>
      <c r="B195" s="3" t="s">
        <v>668</v>
      </c>
      <c r="C195" s="3" t="s">
        <v>669</v>
      </c>
      <c r="D195" s="3" t="s">
        <v>45</v>
      </c>
      <c r="E195" s="3" t="s">
        <v>46</v>
      </c>
      <c r="F195" s="3" t="s">
        <v>96</v>
      </c>
      <c r="G195" s="3" t="s">
        <v>120</v>
      </c>
      <c r="H195" s="3" t="s">
        <v>670</v>
      </c>
      <c r="I195" s="3" t="str">
        <f>HYPERLINK("http://www.jccm.es/sede/tramite/KMD","AYUDAS PARA LA ELABORACION Y DESARROLLO DE ACTIVIDADES DE ACCION Y/O FORMACION SINDICAL CON CARGO AL FONDO DE AYUDA SINDICAL. JUSTIFICACION")</f>
        <v>AYUDAS PARA LA ELABORACION Y DESARROLLO DE ACTIVIDADES DE ACCION Y/O FORMACION SINDICAL CON CARGO AL FONDO DE AYUDA SINDICAL. JUSTIFICACION</v>
      </c>
      <c r="J195" s="3" t="s">
        <v>41</v>
      </c>
      <c r="K195" s="3" t="s">
        <v>41</v>
      </c>
      <c r="L195" s="3" t="s">
        <v>42</v>
      </c>
      <c r="M195" s="3" t="s">
        <v>41</v>
      </c>
    </row>
    <row r="196" spans="1:13" ht="195.6">
      <c r="A196" s="22" t="s">
        <v>12</v>
      </c>
      <c r="B196" s="3" t="s">
        <v>671</v>
      </c>
      <c r="C196" s="3" t="s">
        <v>672</v>
      </c>
      <c r="D196" s="3" t="s">
        <v>70</v>
      </c>
      <c r="E196" s="3" t="s">
        <v>46</v>
      </c>
      <c r="F196" s="3" t="s">
        <v>96</v>
      </c>
      <c r="G196" s="3" t="s">
        <v>328</v>
      </c>
      <c r="H196" s="3" t="s">
        <v>673</v>
      </c>
      <c r="I196" s="3" t="str">
        <f>HYPERLINK("http://www.jccm.es/sede/tramite/KMM","JUSTIFICACION MENSUAL Y SOLICITUD DE ABONO DE AYUDA PARA EL MANTENIMIENTO DE PUESTOS DE TRABAJO DE PERSONAS CON DISCAPACIDAD: SUBVENCION DE COSTES SALARIALES")</f>
        <v>JUSTIFICACION MENSUAL Y SOLICITUD DE ABONO DE AYUDA PARA EL MANTENIMIENTO DE PUESTOS DE TRABAJO DE PERSONAS CON DISCAPACIDAD: SUBVENCION DE COSTES SALARIALES</v>
      </c>
      <c r="J196" s="3" t="s">
        <v>41</v>
      </c>
      <c r="K196" s="3" t="s">
        <v>41</v>
      </c>
      <c r="L196" s="3" t="s">
        <v>42</v>
      </c>
      <c r="M196" s="3" t="s">
        <v>41</v>
      </c>
    </row>
    <row r="197" spans="1:13" ht="183.95">
      <c r="A197" s="22" t="s">
        <v>12</v>
      </c>
      <c r="B197" s="3" t="s">
        <v>674</v>
      </c>
      <c r="C197" s="3" t="s">
        <v>675</v>
      </c>
      <c r="D197" s="3" t="s">
        <v>70</v>
      </c>
      <c r="E197" s="3" t="s">
        <v>46</v>
      </c>
      <c r="F197" s="3" t="s">
        <v>96</v>
      </c>
      <c r="G197" s="3" t="s">
        <v>328</v>
      </c>
      <c r="H197" s="3" t="s">
        <v>676</v>
      </c>
      <c r="I197" s="3" t="str">
        <f>HYPERLINK("http://www.jccm.es/sede/tramite/KML","SOLICITUD DE AYUDA PARA EL MANTENIMIENTO DE PUESTOS DE TRABAJO DE PERSONAS CON DISCAPACIDAD. SUBVENCION DE COSTES SALARIALES (SEGUNDO SEMESTRE)")</f>
        <v>SOLICITUD DE AYUDA PARA EL MANTENIMIENTO DE PUESTOS DE TRABAJO DE PERSONAS CON DISCAPACIDAD. SUBVENCION DE COSTES SALARIALES (SEGUNDO SEMESTRE)</v>
      </c>
      <c r="J197" s="3" t="s">
        <v>41</v>
      </c>
      <c r="K197" s="3" t="s">
        <v>41</v>
      </c>
      <c r="L197" s="3" t="s">
        <v>42</v>
      </c>
      <c r="M197" s="3" t="s">
        <v>41</v>
      </c>
    </row>
    <row r="198" spans="1:13" ht="126.6">
      <c r="A198" s="22" t="s">
        <v>12</v>
      </c>
      <c r="B198" s="3" t="s">
        <v>677</v>
      </c>
      <c r="C198" s="3" t="s">
        <v>678</v>
      </c>
      <c r="D198" s="3" t="s">
        <v>70</v>
      </c>
      <c r="E198" s="3" t="s">
        <v>46</v>
      </c>
      <c r="F198" s="3" t="s">
        <v>96</v>
      </c>
      <c r="G198" s="3" t="s">
        <v>328</v>
      </c>
      <c r="H198" s="3" t="s">
        <v>679</v>
      </c>
      <c r="I198" s="3" t="str">
        <f>HYPERLINK("http://www.jccm.es/sede/tramite/KMK","JUSTIFICACION DE AYUDAS A PROYECTOS GENERADORES DE EMPLEO MODALIDAD INVERSION EN ACTIVOS FIJOS")</f>
        <v>JUSTIFICACION DE AYUDAS A PROYECTOS GENERADORES DE EMPLEO MODALIDAD INVERSION EN ACTIVOS FIJOS</v>
      </c>
      <c r="J198" s="3" t="s">
        <v>41</v>
      </c>
      <c r="K198" s="3" t="s">
        <v>41</v>
      </c>
      <c r="L198" s="3" t="s">
        <v>42</v>
      </c>
      <c r="M198" s="3" t="s">
        <v>41</v>
      </c>
    </row>
    <row r="199" spans="1:13" ht="161.1">
      <c r="A199" s="22" t="s">
        <v>12</v>
      </c>
      <c r="B199" s="3" t="s">
        <v>680</v>
      </c>
      <c r="C199" s="3" t="s">
        <v>681</v>
      </c>
      <c r="D199" s="3" t="s">
        <v>70</v>
      </c>
      <c r="E199" s="3" t="s">
        <v>46</v>
      </c>
      <c r="F199" s="3" t="s">
        <v>96</v>
      </c>
      <c r="G199" s="3" t="s">
        <v>328</v>
      </c>
      <c r="H199" s="3" t="s">
        <v>682</v>
      </c>
      <c r="I199" s="3" t="str">
        <f>HYPERLINK("http://www.jccm.es/sede/tramite/JI6","SOLICITUD DE AYUDA PARA EL MANTENIMIENTO DE PUESTOS DE TRABAJO DE PERSONAS CON DISCAPACIDAD. SUBVENCION DE COSTES SALARIALES")</f>
        <v>SOLICITUD DE AYUDA PARA EL MANTENIMIENTO DE PUESTOS DE TRABAJO DE PERSONAS CON DISCAPACIDAD. SUBVENCION DE COSTES SALARIALES</v>
      </c>
      <c r="J199" s="3" t="s">
        <v>41</v>
      </c>
      <c r="K199" s="3" t="s">
        <v>41</v>
      </c>
      <c r="L199" s="3" t="s">
        <v>42</v>
      </c>
      <c r="M199" s="3" t="s">
        <v>41</v>
      </c>
    </row>
    <row r="200" spans="1:13" ht="230.1">
      <c r="A200" s="22" t="s">
        <v>12</v>
      </c>
      <c r="B200" s="3" t="s">
        <v>683</v>
      </c>
      <c r="C200" s="3" t="s">
        <v>684</v>
      </c>
      <c r="D200" s="3" t="s">
        <v>70</v>
      </c>
      <c r="E200" s="3" t="s">
        <v>46</v>
      </c>
      <c r="F200" s="3" t="s">
        <v>96</v>
      </c>
      <c r="G200" s="3" t="s">
        <v>328</v>
      </c>
      <c r="H200" s="3" t="s">
        <v>685</v>
      </c>
      <c r="I200" s="3" t="str">
        <f>HYPERLINK("http://www.jccm.es/sede/tramite/IY8","SUBVENCIONES DEL PROGRAMA DE INCLUSION LABORAL DE PERSONAS CON DISCAPACIDAD EN EL MERCADO PROTEGIDO DE CASTILLA-LA MANCHA-LINEA 1-INVERSION FIJA GENERADORA DE EMPLEO")</f>
        <v>SUBVENCIONES DEL PROGRAMA DE INCLUSION LABORAL DE PERSONAS CON DISCAPACIDAD EN EL MERCADO PROTEGIDO DE CASTILLA-LA MANCHA-LINEA 1-INVERSION FIJA GENERADORA DE EMPLEO</v>
      </c>
      <c r="J200" s="3" t="s">
        <v>41</v>
      </c>
      <c r="K200" s="3" t="s">
        <v>41</v>
      </c>
      <c r="L200" s="3" t="s">
        <v>42</v>
      </c>
      <c r="M200" s="3" t="s">
        <v>41</v>
      </c>
    </row>
    <row r="201" spans="1:13" ht="126.6">
      <c r="A201" s="22" t="s">
        <v>12</v>
      </c>
      <c r="B201" s="3" t="s">
        <v>686</v>
      </c>
      <c r="C201" s="3" t="s">
        <v>687</v>
      </c>
      <c r="D201" s="3" t="s">
        <v>36</v>
      </c>
      <c r="E201" s="3" t="s">
        <v>46</v>
      </c>
      <c r="F201" s="3" t="s">
        <v>96</v>
      </c>
      <c r="G201" s="3" t="s">
        <v>130</v>
      </c>
      <c r="H201" s="3" t="s">
        <v>688</v>
      </c>
      <c r="I201" s="3" t="str">
        <f>HYPERLINK("http://www.jccm.es/sede/tramite/JL0","CONVOCATORIA DE TALLERES DE EMPLEO")</f>
        <v>CONVOCATORIA DE TALLERES DE EMPLEO</v>
      </c>
      <c r="J201" s="3" t="s">
        <v>41</v>
      </c>
      <c r="K201" s="3" t="s">
        <v>41</v>
      </c>
      <c r="L201" s="3" t="s">
        <v>42</v>
      </c>
      <c r="M201" s="3" t="s">
        <v>41</v>
      </c>
    </row>
    <row r="202" spans="1:13" ht="161.1">
      <c r="A202" s="22" t="s">
        <v>12</v>
      </c>
      <c r="B202" s="3" t="s">
        <v>689</v>
      </c>
      <c r="C202" s="3" t="s">
        <v>690</v>
      </c>
      <c r="D202" s="3" t="s">
        <v>232</v>
      </c>
      <c r="E202" s="3" t="s">
        <v>46</v>
      </c>
      <c r="F202" s="3" t="s">
        <v>96</v>
      </c>
      <c r="G202" s="3" t="s">
        <v>130</v>
      </c>
      <c r="H202" s="3" t="s">
        <v>691</v>
      </c>
      <c r="I202" s="3" t="str">
        <f>HYPERLINK("http://www.jccm.es/sede/tramite/K0U","FORMACION DE OFERTA QUE SE IMPARTE EN LOS CENTROS DEPENDIENTES DE LA ADMINISTRACION AUTONOMICA (MODADALIDAD V)")</f>
        <v>FORMACION DE OFERTA QUE SE IMPARTE EN LOS CENTROS DEPENDIENTES DE LA ADMINISTRACION AUTONOMICA (MODADALIDAD V)</v>
      </c>
      <c r="J202" s="3" t="s">
        <v>41</v>
      </c>
      <c r="K202" s="3" t="s">
        <v>41</v>
      </c>
      <c r="L202" s="3" t="s">
        <v>42</v>
      </c>
      <c r="M202" s="3" t="s">
        <v>41</v>
      </c>
    </row>
    <row r="203" spans="1:13" ht="207">
      <c r="A203" s="22" t="s">
        <v>12</v>
      </c>
      <c r="B203" s="3" t="s">
        <v>692</v>
      </c>
      <c r="C203" s="3" t="s">
        <v>693</v>
      </c>
      <c r="D203" s="3" t="s">
        <v>232</v>
      </c>
      <c r="E203" s="3" t="s">
        <v>46</v>
      </c>
      <c r="F203" s="3" t="s">
        <v>96</v>
      </c>
      <c r="G203" s="3" t="s">
        <v>130</v>
      </c>
      <c r="H203" s="3" t="s">
        <v>694</v>
      </c>
      <c r="I203" s="3" t="str">
        <f>HYPERLINK("http://www.jccm.es/sede/tramite/J2N","SUBVENCIONES PARA LA REALIZACION DE ACCIONES DE FORMACION PROFESIONAL PARA EL EMPLEO, DIRIGIDAS A PERSONAS TRABAJADORAS DESEMPLEADAS (MODALIDAD II).")</f>
        <v>SUBVENCIONES PARA LA REALIZACION DE ACCIONES DE FORMACION PROFESIONAL PARA EL EMPLEO, DIRIGIDAS A PERSONAS TRABAJADORAS DESEMPLEADAS (MODALIDAD II).</v>
      </c>
      <c r="J203" s="3" t="s">
        <v>41</v>
      </c>
      <c r="K203" s="3" t="s">
        <v>41</v>
      </c>
      <c r="L203" s="3" t="s">
        <v>42</v>
      </c>
      <c r="M203" s="3" t="s">
        <v>41</v>
      </c>
    </row>
    <row r="204" spans="1:13" ht="195.6">
      <c r="A204" s="22" t="s">
        <v>12</v>
      </c>
      <c r="B204" s="3" t="s">
        <v>695</v>
      </c>
      <c r="C204" s="3" t="s">
        <v>696</v>
      </c>
      <c r="D204" s="3" t="s">
        <v>232</v>
      </c>
      <c r="E204" s="3" t="s">
        <v>46</v>
      </c>
      <c r="F204" s="3" t="s">
        <v>96</v>
      </c>
      <c r="G204" s="3" t="s">
        <v>130</v>
      </c>
      <c r="H204" s="3" t="s">
        <v>697</v>
      </c>
      <c r="I204" s="3" t="str">
        <f>HYPERLINK("http://www.jccm.es/sede/tramite/J2G","SUBVENCIONES PARA LA REALIZACION DE ACCIONES DE FORMACION PROFESIONAL PARA EL EMPLEO, DIRIGIDAS A PERSONAS TRABAJADORAS OCUPADAS (MODALIDAD I).")</f>
        <v>SUBVENCIONES PARA LA REALIZACION DE ACCIONES DE FORMACION PROFESIONAL PARA EL EMPLEO, DIRIGIDAS A PERSONAS TRABAJADORAS OCUPADAS (MODALIDAD I).</v>
      </c>
      <c r="J204" s="3" t="s">
        <v>41</v>
      </c>
      <c r="K204" s="3" t="s">
        <v>41</v>
      </c>
      <c r="L204" s="3" t="s">
        <v>42</v>
      </c>
      <c r="M204" s="3" t="s">
        <v>41</v>
      </c>
    </row>
    <row r="205" spans="1:13" ht="207">
      <c r="A205" s="22" t="s">
        <v>12</v>
      </c>
      <c r="B205" s="3" t="s">
        <v>698</v>
      </c>
      <c r="C205" s="3" t="s">
        <v>699</v>
      </c>
      <c r="D205" s="3" t="s">
        <v>700</v>
      </c>
      <c r="E205" s="3" t="s">
        <v>46</v>
      </c>
      <c r="F205" s="3" t="s">
        <v>96</v>
      </c>
      <c r="G205" s="3" t="s">
        <v>328</v>
      </c>
      <c r="H205" s="3" t="s">
        <v>701</v>
      </c>
      <c r="I205" s="3" t="str">
        <f>HYPERLINK("http://www.jccm.es/sede/tramite/K9I","SUBVENCIONES TRIMESTRALES DE ABONO DE CUOTAS A LA SEGURIDAD SOCIAL DE LOS PERCEPTORES DE LA PRESTACION POR DESEMPLEO EN SU MODALIDAD DE PAGO UNICO.")</f>
        <v>SUBVENCIONES TRIMESTRALES DE ABONO DE CUOTAS A LA SEGURIDAD SOCIAL DE LOS PERCEPTORES DE LA PRESTACION POR DESEMPLEO EN SU MODALIDAD DE PAGO UNICO.</v>
      </c>
      <c r="J205" s="3" t="s">
        <v>42</v>
      </c>
      <c r="K205" s="3" t="s">
        <v>41</v>
      </c>
      <c r="L205" s="3" t="s">
        <v>42</v>
      </c>
      <c r="M205" s="3" t="s">
        <v>41</v>
      </c>
    </row>
    <row r="206" spans="1:13" ht="172.5">
      <c r="A206" s="22" t="s">
        <v>12</v>
      </c>
      <c r="B206" s="3" t="s">
        <v>702</v>
      </c>
      <c r="C206" s="3" t="s">
        <v>703</v>
      </c>
      <c r="D206" s="3" t="s">
        <v>45</v>
      </c>
      <c r="E206" s="3" t="s">
        <v>46</v>
      </c>
      <c r="F206" s="3" t="s">
        <v>96</v>
      </c>
      <c r="G206" s="3" t="s">
        <v>113</v>
      </c>
      <c r="H206" s="3" t="s">
        <v>704</v>
      </c>
      <c r="I206" s="3" t="str">
        <f>HYPERLINK("http://www.jccm.es/sede/tramite/LEW","SOLICITUD. PROYECTOS DE PREVENCION Y PROTECCION FRENTE AL RIESGO BIOLOGICO DE CONTAGIO POR COVID-19 (MODALIDAD 3)")</f>
        <v>SOLICITUD. PROYECTOS DE PREVENCION Y PROTECCION FRENTE AL RIESGO BIOLOGICO DE CONTAGIO POR COVID-19 (MODALIDAD 3)</v>
      </c>
      <c r="J206" s="3" t="s">
        <v>41</v>
      </c>
      <c r="K206" s="3" t="s">
        <v>41</v>
      </c>
      <c r="L206" s="3" t="s">
        <v>42</v>
      </c>
      <c r="M206" s="3" t="s">
        <v>41</v>
      </c>
    </row>
    <row r="207" spans="1:13" ht="276">
      <c r="A207" s="22" t="s">
        <v>12</v>
      </c>
      <c r="B207" s="3" t="s">
        <v>705</v>
      </c>
      <c r="C207" s="3" t="s">
        <v>706</v>
      </c>
      <c r="D207" s="3" t="s">
        <v>45</v>
      </c>
      <c r="E207" s="3" t="s">
        <v>46</v>
      </c>
      <c r="F207" s="3" t="s">
        <v>96</v>
      </c>
      <c r="G207" s="3" t="s">
        <v>113</v>
      </c>
      <c r="H207" s="3" t="s">
        <v>707</v>
      </c>
      <c r="I207" s="3" t="str">
        <f>HYPERLINK("http://www.jccm.es/sede/tramite/K7W","MEMORIA JUSTIFICATIVA DE PROYECTOS DE INVERSION EN INSTALACIONES Y EQUIPOS QUE REDUNDEN EN LA MEJORA DE LAS CONDICIONES DE SEGURIDAD Y SALUD EN EMPRESAS Y CENTROS DE TRABAJO (MODALIDAD 2).")</f>
        <v>MEMORIA JUSTIFICATIVA DE PROYECTOS DE INVERSION EN INSTALACIONES Y EQUIPOS QUE REDUNDEN EN LA MEJORA DE LAS CONDICIONES DE SEGURIDAD Y SALUD EN EMPRESAS Y CENTROS DE TRABAJO (MODALIDAD 2).</v>
      </c>
      <c r="J207" s="3" t="s">
        <v>41</v>
      </c>
      <c r="K207" s="3" t="s">
        <v>41</v>
      </c>
      <c r="L207" s="3" t="s">
        <v>42</v>
      </c>
      <c r="M207" s="3" t="s">
        <v>41</v>
      </c>
    </row>
    <row r="208" spans="1:13" ht="252.95">
      <c r="A208" s="22" t="s">
        <v>12</v>
      </c>
      <c r="B208" s="3" t="s">
        <v>708</v>
      </c>
      <c r="C208" s="3" t="s">
        <v>709</v>
      </c>
      <c r="D208" s="3" t="s">
        <v>45</v>
      </c>
      <c r="E208" s="3" t="s">
        <v>46</v>
      </c>
      <c r="F208" s="3" t="s">
        <v>96</v>
      </c>
      <c r="G208" s="3" t="s">
        <v>113</v>
      </c>
      <c r="H208" s="3" t="s">
        <v>710</v>
      </c>
      <c r="I208" s="3" t="str">
        <f>HYPERLINK("http://www.jccm.es/sede/tramite/K07","SOLICITUD. PROYECTOS DE INVERSION EN INSTALACIONES Y EQUIPOS QUE REDUNDEN EN LA MEJORA DE LAS CONDICIONES DE SEGURIDAD Y SALUD EN EMPRESAS Y CENTROS DE TRABAJO (MODALIDAD 2)")</f>
        <v>SOLICITUD. PROYECTOS DE INVERSION EN INSTALACIONES Y EQUIPOS QUE REDUNDEN EN LA MEJORA DE LAS CONDICIONES DE SEGURIDAD Y SALUD EN EMPRESAS Y CENTROS DE TRABAJO (MODALIDAD 2)</v>
      </c>
      <c r="J208" s="3" t="s">
        <v>41</v>
      </c>
      <c r="K208" s="3" t="s">
        <v>41</v>
      </c>
      <c r="L208" s="3" t="s">
        <v>42</v>
      </c>
      <c r="M208" s="3" t="s">
        <v>41</v>
      </c>
    </row>
    <row r="209" spans="1:13" ht="195.6">
      <c r="A209" s="22" t="s">
        <v>12</v>
      </c>
      <c r="B209" s="3" t="s">
        <v>711</v>
      </c>
      <c r="C209" s="3" t="s">
        <v>712</v>
      </c>
      <c r="D209" s="3" t="s">
        <v>45</v>
      </c>
      <c r="E209" s="3" t="s">
        <v>46</v>
      </c>
      <c r="F209" s="3" t="s">
        <v>96</v>
      </c>
      <c r="G209" s="3" t="s">
        <v>113</v>
      </c>
      <c r="H209" s="3" t="s">
        <v>713</v>
      </c>
      <c r="I209" s="3" t="str">
        <f>HYPERLINK("http://www.jccm.es/sede/tramite/LEX","MEMORIA JUSTIFICATIVA DE LOS PROYECTOS DE PREVENCION Y PROTECCION FRENTE AL RIESGO BIOLOGICO DE CONTAGIO POR COVID-19 (MODALIDAD 3)")</f>
        <v>MEMORIA JUSTIFICATIVA DE LOS PROYECTOS DE PREVENCION Y PROTECCION FRENTE AL RIESGO BIOLOGICO DE CONTAGIO POR COVID-19 (MODALIDAD 3)</v>
      </c>
      <c r="J209" s="3" t="s">
        <v>41</v>
      </c>
      <c r="K209" s="3" t="s">
        <v>41</v>
      </c>
      <c r="L209" s="3" t="s">
        <v>42</v>
      </c>
      <c r="M209" s="3" t="s">
        <v>41</v>
      </c>
    </row>
    <row r="210" spans="1:13" ht="230.1">
      <c r="A210" s="22" t="s">
        <v>12</v>
      </c>
      <c r="B210" s="3" t="s">
        <v>714</v>
      </c>
      <c r="C210" s="3" t="s">
        <v>715</v>
      </c>
      <c r="D210" s="3" t="s">
        <v>632</v>
      </c>
      <c r="E210" s="3" t="s">
        <v>46</v>
      </c>
      <c r="F210" s="3" t="s">
        <v>96</v>
      </c>
      <c r="G210" s="3" t="s">
        <v>328</v>
      </c>
      <c r="H210" s="3" t="s">
        <v>716</v>
      </c>
      <c r="I210" s="3" t="str">
        <f>HYPERLINK("http://www.jccm.es/sede/tramite/K2D","AYUDAS PARA LA CONTRATACION INICIAL INDEFINIDA Y PARA LA TRANSFORMACION EN CONTRATOS POR TIEMPO INDEFINIDO DE CONTRATOS TEMPORALES DE PERSONAS TRABAJADORAS CON DISCAPACIDAD.")</f>
        <v>AYUDAS PARA LA CONTRATACION INICIAL INDEFINIDA Y PARA LA TRANSFORMACION EN CONTRATOS POR TIEMPO INDEFINIDO DE CONTRATOS TEMPORALES DE PERSONAS TRABAJADORAS CON DISCAPACIDAD.</v>
      </c>
      <c r="J210" s="3" t="s">
        <v>41</v>
      </c>
      <c r="K210" s="3" t="s">
        <v>41</v>
      </c>
      <c r="L210" s="3" t="s">
        <v>42</v>
      </c>
      <c r="M210" s="3" t="s">
        <v>41</v>
      </c>
    </row>
    <row r="211" spans="1:13" ht="195.6">
      <c r="A211" s="22" t="s">
        <v>12</v>
      </c>
      <c r="B211" s="3" t="s">
        <v>717</v>
      </c>
      <c r="C211" s="3" t="s">
        <v>718</v>
      </c>
      <c r="D211" s="3" t="s">
        <v>51</v>
      </c>
      <c r="E211" s="3" t="s">
        <v>46</v>
      </c>
      <c r="F211" s="3" t="s">
        <v>96</v>
      </c>
      <c r="G211" s="3" t="s">
        <v>113</v>
      </c>
      <c r="H211" s="3" t="s">
        <v>719</v>
      </c>
      <c r="I211" s="3" t="str">
        <f>HYPERLINK("http://www.jccm.es/sede/tramite/KB7","SUBVENCIONES PARA FOMENTAR EL DESARROLLO DE ACTIVIDADES DE ASESORAMIENTO, DIVULGACION Y DIFUSION EN MATERIA DE PREVENCION DE RIESGOS LABORALES.")</f>
        <v>SUBVENCIONES PARA FOMENTAR EL DESARROLLO DE ACTIVIDADES DE ASESORAMIENTO, DIVULGACION Y DIFUSION EN MATERIA DE PREVENCION DE RIESGOS LABORALES.</v>
      </c>
      <c r="J211" s="3" t="s">
        <v>41</v>
      </c>
      <c r="K211" s="3" t="s">
        <v>41</v>
      </c>
      <c r="L211" s="3" t="s">
        <v>42</v>
      </c>
      <c r="M211" s="3" t="s">
        <v>41</v>
      </c>
    </row>
    <row r="212" spans="1:13" ht="241.5">
      <c r="A212" s="22" t="s">
        <v>12</v>
      </c>
      <c r="B212" s="3" t="s">
        <v>720</v>
      </c>
      <c r="C212" s="3" t="s">
        <v>721</v>
      </c>
      <c r="D212" s="3" t="s">
        <v>51</v>
      </c>
      <c r="E212" s="3" t="s">
        <v>46</v>
      </c>
      <c r="F212" s="3" t="s">
        <v>96</v>
      </c>
      <c r="G212" s="3" t="s">
        <v>113</v>
      </c>
      <c r="H212" s="3" t="s">
        <v>722</v>
      </c>
      <c r="I212" s="3" t="str">
        <f>HYPERLINK("http://www.jccm.es/sede/tramite/KL1","JUSTIFICACION DE LOS PROGRAMAS. SUBVENCIONES PARA FOMENTAR EL DESARROLLO DE ACTIVIDADES DE ASESORAMIENTO, DIVULGACION Y DIFUSION EN MATERIA DE PREVENCION DE RIESGOS LABORALES.")</f>
        <v>JUSTIFICACION DE LOS PROGRAMAS. SUBVENCIONES PARA FOMENTAR EL DESARROLLO DE ACTIVIDADES DE ASESORAMIENTO, DIVULGACION Y DIFUSION EN MATERIA DE PREVENCION DE RIESGOS LABORALES.</v>
      </c>
      <c r="J212" s="3" t="s">
        <v>41</v>
      </c>
      <c r="K212" s="3" t="s">
        <v>41</v>
      </c>
      <c r="L212" s="3" t="s">
        <v>42</v>
      </c>
      <c r="M212" s="3" t="s">
        <v>41</v>
      </c>
    </row>
    <row r="213" spans="1:13" ht="92.1">
      <c r="A213" s="22" t="s">
        <v>12</v>
      </c>
      <c r="B213" s="3" t="s">
        <v>723</v>
      </c>
      <c r="C213" s="3" t="s">
        <v>724</v>
      </c>
      <c r="D213" s="3" t="s">
        <v>51</v>
      </c>
      <c r="E213" s="3" t="s">
        <v>46</v>
      </c>
      <c r="F213" s="3" t="s">
        <v>96</v>
      </c>
      <c r="G213" s="3" t="s">
        <v>460</v>
      </c>
      <c r="H213" s="3" t="s">
        <v>725</v>
      </c>
      <c r="I213" s="3" t="str">
        <f>HYPERLINK("http://www.jccm.es/sede/tramite/KHC","JUSTIFICACION FOMENTO DEL EMPRENDIMIENTO INNOVADOR")</f>
        <v>JUSTIFICACION FOMENTO DEL EMPRENDIMIENTO INNOVADOR</v>
      </c>
      <c r="J213" s="3" t="s">
        <v>41</v>
      </c>
      <c r="K213" s="3" t="s">
        <v>41</v>
      </c>
      <c r="L213" s="3" t="s">
        <v>42</v>
      </c>
      <c r="M213" s="3" t="s">
        <v>41</v>
      </c>
    </row>
    <row r="214" spans="1:13" ht="92.1">
      <c r="A214" s="22" t="s">
        <v>12</v>
      </c>
      <c r="B214" s="3" t="s">
        <v>726</v>
      </c>
      <c r="C214" s="3" t="s">
        <v>727</v>
      </c>
      <c r="D214" s="3" t="s">
        <v>51</v>
      </c>
      <c r="E214" s="3" t="s">
        <v>46</v>
      </c>
      <c r="F214" s="3" t="s">
        <v>96</v>
      </c>
      <c r="G214" s="3" t="s">
        <v>460</v>
      </c>
      <c r="H214" s="3" t="s">
        <v>728</v>
      </c>
      <c r="I214" s="3" t="str">
        <f>HYPERLINK("http://www.jccm.es/sede/tramite/KHB","FOMENTO DEL EMPRENDIMIENTO INNOVADOR")</f>
        <v>FOMENTO DEL EMPRENDIMIENTO INNOVADOR</v>
      </c>
      <c r="J214" s="3" t="s">
        <v>41</v>
      </c>
      <c r="K214" s="3" t="s">
        <v>41</v>
      </c>
      <c r="L214" s="3" t="s">
        <v>42</v>
      </c>
      <c r="M214" s="3" t="s">
        <v>41</v>
      </c>
    </row>
    <row r="215" spans="1:13" ht="172.5">
      <c r="A215" s="22" t="s">
        <v>12</v>
      </c>
      <c r="B215" s="3" t="s">
        <v>729</v>
      </c>
      <c r="C215" s="3" t="s">
        <v>730</v>
      </c>
      <c r="D215" s="3" t="s">
        <v>36</v>
      </c>
      <c r="E215" s="3" t="s">
        <v>46</v>
      </c>
      <c r="F215" s="3" t="s">
        <v>96</v>
      </c>
      <c r="G215" s="3" t="s">
        <v>460</v>
      </c>
      <c r="H215" s="3" t="s">
        <v>731</v>
      </c>
      <c r="I215" s="3" t="str">
        <f>HYPERLINK("http://www.jccm.es/sede/tramite/KIA","ABONO DE LAS SUBVENCIONES PARA EL FOMENTO DE LA INVERSION Y LA MEJORA DE LA PRODUCTIVIDAD EMPRESARIAL EN CASTILLA-LA MANCHA")</f>
        <v>ABONO DE LAS SUBVENCIONES PARA EL FOMENTO DE LA INVERSION Y LA MEJORA DE LA PRODUCTIVIDAD EMPRESARIAL EN CASTILLA-LA MANCHA</v>
      </c>
      <c r="J215" s="3" t="s">
        <v>41</v>
      </c>
      <c r="K215" s="3" t="s">
        <v>41</v>
      </c>
      <c r="L215" s="3" t="s">
        <v>42</v>
      </c>
      <c r="M215" s="3" t="s">
        <v>41</v>
      </c>
    </row>
    <row r="216" spans="1:13" ht="149.44999999999999">
      <c r="A216" s="22" t="s">
        <v>12</v>
      </c>
      <c r="B216" s="3" t="s">
        <v>732</v>
      </c>
      <c r="C216" s="3" t="s">
        <v>733</v>
      </c>
      <c r="D216" s="3" t="s">
        <v>36</v>
      </c>
      <c r="E216" s="3" t="s">
        <v>46</v>
      </c>
      <c r="F216" s="3" t="s">
        <v>96</v>
      </c>
      <c r="G216" s="3" t="s">
        <v>460</v>
      </c>
      <c r="H216" s="3" t="s">
        <v>734</v>
      </c>
      <c r="I216" s="3" t="str">
        <f>HYPERLINK("http://www.jccm.es/sede/tramite/KI9","SUBVENCIONES PARA EL FOMENTO DE LA INVERSION Y LA MEJORA DE LA PRODUCTIVIDAD EMPRESARIAL EN CASTILLA-LA MANCHA")</f>
        <v>SUBVENCIONES PARA EL FOMENTO DE LA INVERSION Y LA MEJORA DE LA PRODUCTIVIDAD EMPRESARIAL EN CASTILLA-LA MANCHA</v>
      </c>
      <c r="J216" s="3" t="s">
        <v>41</v>
      </c>
      <c r="K216" s="3" t="s">
        <v>41</v>
      </c>
      <c r="L216" s="3" t="s">
        <v>42</v>
      </c>
      <c r="M216" s="3" t="s">
        <v>41</v>
      </c>
    </row>
    <row r="217" spans="1:13" ht="218.45">
      <c r="A217" s="22" t="s">
        <v>12</v>
      </c>
      <c r="B217" s="3" t="s">
        <v>735</v>
      </c>
      <c r="C217" s="3" t="s">
        <v>736</v>
      </c>
      <c r="D217" s="3" t="s">
        <v>45</v>
      </c>
      <c r="E217" s="3" t="s">
        <v>46</v>
      </c>
      <c r="F217" s="3" t="s">
        <v>96</v>
      </c>
      <c r="G217" s="3" t="s">
        <v>97</v>
      </c>
      <c r="H217" s="3" t="s">
        <v>737</v>
      </c>
      <c r="I217" s="3" t="str">
        <f>HYPERLINK("http://www.jccm.es/sede/tramite/KIM","JUSTIFICACION DE LAS AYUDAS DESTINADAS A LA RECUPERACION Y FORTALECIMIENTO DEL COMERCIO MINORISTA DE CASTILLA-LA MANCHA ANTE LA CRISIS SANITARIA OCASIONADA POR EL COVID-19.")</f>
        <v>JUSTIFICACION DE LAS AYUDAS DESTINADAS A LA RECUPERACION Y FORTALECIMIENTO DEL COMERCIO MINORISTA DE CASTILLA-LA MANCHA ANTE LA CRISIS SANITARIA OCASIONADA POR EL COVID-19.</v>
      </c>
      <c r="J217" s="3" t="s">
        <v>41</v>
      </c>
      <c r="K217" s="3" t="s">
        <v>41</v>
      </c>
      <c r="L217" s="3" t="s">
        <v>42</v>
      </c>
      <c r="M217" s="3" t="s">
        <v>41</v>
      </c>
    </row>
    <row r="218" spans="1:13" ht="114.95">
      <c r="A218" s="22" t="s">
        <v>12</v>
      </c>
      <c r="B218" s="3" t="s">
        <v>738</v>
      </c>
      <c r="C218" s="3" t="s">
        <v>739</v>
      </c>
      <c r="D218" s="3" t="s">
        <v>442</v>
      </c>
      <c r="E218" s="3" t="s">
        <v>46</v>
      </c>
      <c r="F218" s="3" t="s">
        <v>96</v>
      </c>
      <c r="G218" s="3" t="s">
        <v>328</v>
      </c>
      <c r="H218" s="3" t="s">
        <v>740</v>
      </c>
      <c r="I218" s="3" t="str">
        <f>HYPERLINK("http://www.jccm.es/sede/tramite/KJ6","SUBVENCION POR LA FORMALIZACION DE CONTRATOS DE FORMACION EN ALTERNANCIA.")</f>
        <v>SUBVENCION POR LA FORMALIZACION DE CONTRATOS DE FORMACION EN ALTERNANCIA.</v>
      </c>
      <c r="J218" s="3" t="s">
        <v>41</v>
      </c>
      <c r="K218" s="3" t="s">
        <v>41</v>
      </c>
      <c r="L218" s="3" t="s">
        <v>42</v>
      </c>
      <c r="M218" s="3" t="s">
        <v>41</v>
      </c>
    </row>
    <row r="219" spans="1:13" ht="149.44999999999999">
      <c r="A219" s="22" t="s">
        <v>12</v>
      </c>
      <c r="B219" s="3" t="s">
        <v>741</v>
      </c>
      <c r="C219" s="3" t="s">
        <v>742</v>
      </c>
      <c r="D219" s="3" t="s">
        <v>442</v>
      </c>
      <c r="E219" s="3" t="s">
        <v>46</v>
      </c>
      <c r="F219" s="3" t="s">
        <v>96</v>
      </c>
      <c r="G219" s="3" t="s">
        <v>328</v>
      </c>
      <c r="H219" s="3" t="s">
        <v>743</v>
      </c>
      <c r="I219" s="3" t="str">
        <f>HYPERLINK("http://www.jccm.es/sede/tramite/KJ7","SUBVENCION POR LA FORMALIZACION DE CONTRATOS DE FORMACION PARA LA OBTENCION DE LA PRACTICA PROFESIONAL.")</f>
        <v>SUBVENCION POR LA FORMALIZACION DE CONTRATOS DE FORMACION PARA LA OBTENCION DE LA PRACTICA PROFESIONAL.</v>
      </c>
      <c r="J219" s="3" t="s">
        <v>41</v>
      </c>
      <c r="K219" s="3" t="s">
        <v>41</v>
      </c>
      <c r="L219" s="3" t="s">
        <v>42</v>
      </c>
      <c r="M219" s="3" t="s">
        <v>41</v>
      </c>
    </row>
    <row r="220" spans="1:13" ht="114.95">
      <c r="A220" s="22" t="s">
        <v>12</v>
      </c>
      <c r="B220" s="3" t="s">
        <v>744</v>
      </c>
      <c r="C220" s="3" t="s">
        <v>745</v>
      </c>
      <c r="D220" s="3" t="s">
        <v>442</v>
      </c>
      <c r="E220" s="3" t="s">
        <v>46</v>
      </c>
      <c r="F220" s="3" t="s">
        <v>96</v>
      </c>
      <c r="G220" s="3" t="s">
        <v>328</v>
      </c>
      <c r="H220" s="3" t="s">
        <v>746</v>
      </c>
      <c r="I220" s="3" t="str">
        <f>HYPERLINK("http://www.jccm.es/sede/tramite/KOV","SUBVENCION POR LA FORMALIZACION DE CONTRATOS DE RELEVO.")</f>
        <v>SUBVENCION POR LA FORMALIZACION DE CONTRATOS DE RELEVO.</v>
      </c>
      <c r="J220" s="3" t="s">
        <v>41</v>
      </c>
      <c r="K220" s="3" t="s">
        <v>41</v>
      </c>
      <c r="L220" s="3" t="s">
        <v>42</v>
      </c>
      <c r="M220" s="3" t="s">
        <v>41</v>
      </c>
    </row>
    <row r="221" spans="1:13" ht="276">
      <c r="A221" s="22" t="s">
        <v>12</v>
      </c>
      <c r="B221" s="3" t="s">
        <v>747</v>
      </c>
      <c r="C221" s="3" t="s">
        <v>748</v>
      </c>
      <c r="D221" s="3" t="s">
        <v>442</v>
      </c>
      <c r="E221" s="3" t="s">
        <v>46</v>
      </c>
      <c r="F221" s="3" t="s">
        <v>96</v>
      </c>
      <c r="G221" s="3" t="s">
        <v>328</v>
      </c>
      <c r="H221" s="3" t="s">
        <v>749</v>
      </c>
      <c r="I221" s="3" t="str">
        <f>HYPERLINK("http://www.jccm.es/sede/tramite/KJ8","SUBV TRANSFORMACION EN INDEFINIDOS DE CONTRATOS FORMATIVOS Y DE RELEVO Y CONTRATACION INDEFINIDA DE PERSONAS QUE HAYAN FINALIZADO UN CONTRATO FORMATIVO O DE RELEVO EN LOS 6 MESES ANTERIORES")</f>
        <v>SUBV TRANSFORMACION EN INDEFINIDOS DE CONTRATOS FORMATIVOS Y DE RELEVO Y CONTRATACION INDEFINIDA DE PERSONAS QUE HAYAN FINALIZADO UN CONTRATO FORMATIVO O DE RELEVO EN LOS 6 MESES ANTERIORES</v>
      </c>
      <c r="J221" s="3" t="s">
        <v>41</v>
      </c>
      <c r="K221" s="3" t="s">
        <v>41</v>
      </c>
      <c r="L221" s="3" t="s">
        <v>42</v>
      </c>
      <c r="M221" s="3" t="s">
        <v>41</v>
      </c>
    </row>
    <row r="222" spans="1:13" ht="207">
      <c r="A222" s="22" t="s">
        <v>12</v>
      </c>
      <c r="B222" s="3" t="s">
        <v>750</v>
      </c>
      <c r="C222" s="3" t="s">
        <v>751</v>
      </c>
      <c r="D222" s="3" t="s">
        <v>45</v>
      </c>
      <c r="E222" s="3" t="s">
        <v>46</v>
      </c>
      <c r="F222" s="3" t="s">
        <v>96</v>
      </c>
      <c r="G222" s="3" t="s">
        <v>328</v>
      </c>
      <c r="H222" s="3" t="s">
        <v>752</v>
      </c>
      <c r="I222" s="3" t="str">
        <f>HYPERLINK("http://www.jccm.es/sede/tramite/L6R","AYUDAS PARA SUFRAGAR EL SOBRECOSTE DE LOS CONTRATOS DEL PLAN DE EMPLEO 2018, CON MOTIVO DEL INCREMENTO DEL SALARIO MINIMO INTERPROFESIONAL PARA 2019.")</f>
        <v>AYUDAS PARA SUFRAGAR EL SOBRECOSTE DE LOS CONTRATOS DEL PLAN DE EMPLEO 2018, CON MOTIVO DEL INCREMENTO DEL SALARIO MINIMO INTERPROFESIONAL PARA 2019.</v>
      </c>
      <c r="J222" s="3" t="s">
        <v>41</v>
      </c>
      <c r="K222" s="3" t="s">
        <v>41</v>
      </c>
      <c r="L222" s="3" t="s">
        <v>42</v>
      </c>
      <c r="M222" s="3" t="s">
        <v>41</v>
      </c>
    </row>
    <row r="223" spans="1:13" ht="207">
      <c r="A223" s="22" t="s">
        <v>12</v>
      </c>
      <c r="B223" s="3" t="s">
        <v>753</v>
      </c>
      <c r="C223" s="3" t="s">
        <v>754</v>
      </c>
      <c r="D223" s="3" t="s">
        <v>45</v>
      </c>
      <c r="E223" s="3" t="s">
        <v>46</v>
      </c>
      <c r="F223" s="3" t="s">
        <v>96</v>
      </c>
      <c r="G223" s="3" t="s">
        <v>328</v>
      </c>
      <c r="H223" s="3" t="s">
        <v>755</v>
      </c>
      <c r="I223" s="3" t="str">
        <f>HYPERLINK("http://www.jccm.es/sede/tramite/KJC","AYUDAS A ENTIDADES LOCALES PARA  LA CONTRATACION DE PERSONAS DESEMPLEADAS Y EN SITUACION DE EXCLUSION SOCIAL, COFINANCIADA POR EL FONDO SOCIAL EUROPEO.")</f>
        <v>AYUDAS A ENTIDADES LOCALES PARA  LA CONTRATACION DE PERSONAS DESEMPLEADAS Y EN SITUACION DE EXCLUSION SOCIAL, COFINANCIADA POR EL FONDO SOCIAL EUROPEO.</v>
      </c>
      <c r="J223" s="3" t="s">
        <v>41</v>
      </c>
      <c r="K223" s="3" t="s">
        <v>41</v>
      </c>
      <c r="L223" s="3" t="s">
        <v>42</v>
      </c>
      <c r="M223" s="3" t="s">
        <v>41</v>
      </c>
    </row>
    <row r="224" spans="1:13" ht="183.95">
      <c r="A224" s="22" t="s">
        <v>12</v>
      </c>
      <c r="B224" s="3" t="s">
        <v>756</v>
      </c>
      <c r="C224" s="3" t="s">
        <v>757</v>
      </c>
      <c r="D224" s="3" t="s">
        <v>758</v>
      </c>
      <c r="E224" s="3" t="s">
        <v>46</v>
      </c>
      <c r="F224" s="3" t="s">
        <v>96</v>
      </c>
      <c r="G224" s="3" t="s">
        <v>97</v>
      </c>
      <c r="H224" s="3" t="s">
        <v>759</v>
      </c>
      <c r="I224" s="3" t="str">
        <f>HYPERLINK("http://www.jccm.es/sede/tramite/KLG","PREMIOS REGIONALES DE ARTESANIA DE CASTILLA-LA MANCHA PARA 2022.")</f>
        <v>PREMIOS REGIONALES DE ARTESANIA DE CASTILLA-LA MANCHA PARA 2022.</v>
      </c>
      <c r="J224" s="3" t="s">
        <v>41</v>
      </c>
      <c r="K224" s="3" t="s">
        <v>41</v>
      </c>
      <c r="L224" s="3" t="s">
        <v>42</v>
      </c>
      <c r="M224" s="3" t="s">
        <v>41</v>
      </c>
    </row>
    <row r="225" spans="1:13" ht="183.95">
      <c r="A225" s="22" t="s">
        <v>12</v>
      </c>
      <c r="B225" s="3" t="s">
        <v>760</v>
      </c>
      <c r="C225" s="3" t="s">
        <v>761</v>
      </c>
      <c r="D225" s="3" t="s">
        <v>556</v>
      </c>
      <c r="E225" s="3" t="s">
        <v>46</v>
      </c>
      <c r="F225" s="3" t="s">
        <v>96</v>
      </c>
      <c r="G225" s="3" t="s">
        <v>113</v>
      </c>
      <c r="H225" s="3" t="s">
        <v>762</v>
      </c>
      <c r="I225" s="3" t="str">
        <f>HYPERLINK("http://www.jccm.es/sede/tramite/KLQ","SUBVENCIONES PARA PROMOVER INVERSIONES DESTINADAS A MEJORAR LAS CONDICIONES DE SEGURIDAD LABORAL EN EL SECTOR DE LA CONSTRUCCION.")</f>
        <v>SUBVENCIONES PARA PROMOVER INVERSIONES DESTINADAS A MEJORAR LAS CONDICIONES DE SEGURIDAD LABORAL EN EL SECTOR DE LA CONSTRUCCION.</v>
      </c>
      <c r="J225" s="3" t="s">
        <v>41</v>
      </c>
      <c r="K225" s="3" t="s">
        <v>41</v>
      </c>
      <c r="L225" s="3" t="s">
        <v>42</v>
      </c>
      <c r="M225" s="3" t="s">
        <v>41</v>
      </c>
    </row>
    <row r="226" spans="1:13" ht="183.95">
      <c r="A226" s="22" t="s">
        <v>12</v>
      </c>
      <c r="B226" s="3" t="s">
        <v>763</v>
      </c>
      <c r="C226" s="3" t="s">
        <v>764</v>
      </c>
      <c r="D226" s="3" t="s">
        <v>556</v>
      </c>
      <c r="E226" s="3" t="s">
        <v>46</v>
      </c>
      <c r="F226" s="3" t="s">
        <v>96</v>
      </c>
      <c r="G226" s="3" t="s">
        <v>113</v>
      </c>
      <c r="H226" s="3" t="s">
        <v>765</v>
      </c>
      <c r="I226" s="3" t="str">
        <f>HYPERLINK("http://www.jccm.es/sede/tramite/KLR","MEMORIA JUSTIFICATIVA DE LAS INVERSIONES DESTINADAS A MEJORAR LAS CONDICIONES DE SEGURIDAD LABORAL EN EL SECTOR DE LA CONSTRUCCION.")</f>
        <v>MEMORIA JUSTIFICATIVA DE LAS INVERSIONES DESTINADAS A MEJORAR LAS CONDICIONES DE SEGURIDAD LABORAL EN EL SECTOR DE LA CONSTRUCCION.</v>
      </c>
      <c r="J226" s="3" t="s">
        <v>41</v>
      </c>
      <c r="K226" s="3" t="s">
        <v>41</v>
      </c>
      <c r="L226" s="3" t="s">
        <v>42</v>
      </c>
      <c r="M226" s="3" t="s">
        <v>41</v>
      </c>
    </row>
    <row r="227" spans="1:13" ht="218.45">
      <c r="A227" s="22" t="s">
        <v>12</v>
      </c>
      <c r="B227" s="3" t="s">
        <v>766</v>
      </c>
      <c r="C227" s="3" t="s">
        <v>767</v>
      </c>
      <c r="D227" s="3" t="s">
        <v>45</v>
      </c>
      <c r="E227" s="3" t="s">
        <v>46</v>
      </c>
      <c r="F227" s="3" t="s">
        <v>96</v>
      </c>
      <c r="G227" s="3" t="s">
        <v>97</v>
      </c>
      <c r="H227" s="3" t="s">
        <v>768</v>
      </c>
      <c r="I227" s="3" t="str">
        <f>HYPERLINK("http://www.jccm.es/sede/tramite/KLT","JUSTIFICACION DE LAS AYUDAS DESTINADAS A LA PROMOCION DE LA ACTIVIDAD PRODUCTIVA Y COMERCIAL Y A LA DIGITALIZACION DEL SECTOR ARTESANO ANTE LA CRISIS DE LA COVID-19.")</f>
        <v>JUSTIFICACION DE LAS AYUDAS DESTINADAS A LA PROMOCION DE LA ACTIVIDAD PRODUCTIVA Y COMERCIAL Y A LA DIGITALIZACION DEL SECTOR ARTESANO ANTE LA CRISIS DE LA COVID-19.</v>
      </c>
      <c r="J227" s="3" t="s">
        <v>41</v>
      </c>
      <c r="K227" s="3" t="s">
        <v>41</v>
      </c>
      <c r="L227" s="3" t="s">
        <v>42</v>
      </c>
      <c r="M227" s="3" t="s">
        <v>41</v>
      </c>
    </row>
    <row r="228" spans="1:13" ht="207">
      <c r="A228" s="22" t="s">
        <v>12</v>
      </c>
      <c r="B228" s="3" t="s">
        <v>769</v>
      </c>
      <c r="C228" s="3" t="s">
        <v>770</v>
      </c>
      <c r="D228" s="3" t="s">
        <v>45</v>
      </c>
      <c r="E228" s="3" t="s">
        <v>46</v>
      </c>
      <c r="F228" s="3" t="s">
        <v>96</v>
      </c>
      <c r="G228" s="3" t="s">
        <v>97</v>
      </c>
      <c r="H228" s="3" t="s">
        <v>771</v>
      </c>
      <c r="I228" s="3" t="str">
        <f>HYPERLINK("http://www.jccm.es/sede/tramite/KLS","AYUDAS DESTINADAS A LA DIGITALIZACION Y A LA PROMOCION DE LA ACTIVIDAD COMERCIAL Y PRODUCTIVA DEL SECTOR ARTESANO DE CASTILLA-LA MANCHA, PARA EL EJERCICIO 2022.")</f>
        <v>AYUDAS DESTINADAS A LA DIGITALIZACION Y A LA PROMOCION DE LA ACTIVIDAD COMERCIAL Y PRODUCTIVA DEL SECTOR ARTESANO DE CASTILLA-LA MANCHA, PARA EL EJERCICIO 2022.</v>
      </c>
      <c r="J228" s="3" t="s">
        <v>41</v>
      </c>
      <c r="K228" s="3" t="s">
        <v>41</v>
      </c>
      <c r="L228" s="3" t="s">
        <v>42</v>
      </c>
      <c r="M228" s="3" t="s">
        <v>41</v>
      </c>
    </row>
    <row r="229" spans="1:13" ht="92.1">
      <c r="A229" s="22" t="s">
        <v>12</v>
      </c>
      <c r="B229" s="3" t="s">
        <v>772</v>
      </c>
      <c r="C229" s="3" t="s">
        <v>773</v>
      </c>
      <c r="D229" s="3" t="s">
        <v>556</v>
      </c>
      <c r="E229" s="3" t="s">
        <v>46</v>
      </c>
      <c r="F229" s="3" t="s">
        <v>96</v>
      </c>
      <c r="G229" s="3" t="s">
        <v>460</v>
      </c>
      <c r="H229" s="3" t="s">
        <v>774</v>
      </c>
      <c r="I229" s="3" t="str">
        <f>HYPERLINK("http://www.jccm.es/sede/tramite/KMJ","JUSTIFICACION PROGRAMA DE APOYO A LA INNOVACION: INNOVA-ADELANTE.")</f>
        <v>JUSTIFICACION PROGRAMA DE APOYO A LA INNOVACION: INNOVA-ADELANTE.</v>
      </c>
      <c r="J229" s="3" t="s">
        <v>41</v>
      </c>
      <c r="K229" s="3" t="s">
        <v>41</v>
      </c>
      <c r="L229" s="3" t="s">
        <v>42</v>
      </c>
      <c r="M229" s="3" t="s">
        <v>41</v>
      </c>
    </row>
    <row r="230" spans="1:13" ht="172.5">
      <c r="A230" s="22" t="s">
        <v>12</v>
      </c>
      <c r="B230" s="3" t="s">
        <v>775</v>
      </c>
      <c r="C230" s="3" t="s">
        <v>776</v>
      </c>
      <c r="D230" s="3" t="s">
        <v>777</v>
      </c>
      <c r="E230" s="3" t="s">
        <v>46</v>
      </c>
      <c r="F230" s="3" t="s">
        <v>96</v>
      </c>
      <c r="G230" s="3" t="s">
        <v>460</v>
      </c>
      <c r="H230" s="3" t="s">
        <v>778</v>
      </c>
      <c r="I230" s="3" t="str">
        <f>HYPERLINK("http://www.jccm.es/sede/tramite/KOD","SOLICITUD DE ABONO DE LA SUBVENCION DEL PROGRAMA ADELANTE DIGITALIZACION, PARA LA TRANSFORMACION DIGITAL DE LAS PYMES DE CASTILLA-LA MANCHA.")</f>
        <v>SOLICITUD DE ABONO DE LA SUBVENCION DEL PROGRAMA ADELANTE DIGITALIZACION, PARA LA TRANSFORMACION DIGITAL DE LAS PYMES DE CASTILLA-LA MANCHA.</v>
      </c>
      <c r="J230" s="3" t="s">
        <v>41</v>
      </c>
      <c r="K230" s="3" t="s">
        <v>41</v>
      </c>
      <c r="L230" s="3" t="s">
        <v>42</v>
      </c>
      <c r="M230" s="3" t="s">
        <v>41</v>
      </c>
    </row>
    <row r="231" spans="1:13" ht="161.1">
      <c r="A231" s="22" t="s">
        <v>12</v>
      </c>
      <c r="B231" s="3" t="s">
        <v>779</v>
      </c>
      <c r="C231" s="3" t="s">
        <v>780</v>
      </c>
      <c r="D231" s="3" t="s">
        <v>777</v>
      </c>
      <c r="E231" s="3" t="s">
        <v>46</v>
      </c>
      <c r="F231" s="3" t="s">
        <v>96</v>
      </c>
      <c r="G231" s="3" t="s">
        <v>460</v>
      </c>
      <c r="H231" s="3" t="s">
        <v>781</v>
      </c>
      <c r="I231" s="3" t="str">
        <f>HYPERLINK("http://www.jccm.es/sede/tramite/KOC","SOLICITUD DE SUBVENCION DEL PROGRAMA ADELANTE DIGITALIZACION, PARA LA TRANSFORMACION DIGITAL DE LAS PYMES DE CASTILLA-LA MANCHA.")</f>
        <v>SOLICITUD DE SUBVENCION DEL PROGRAMA ADELANTE DIGITALIZACION, PARA LA TRANSFORMACION DIGITAL DE LAS PYMES DE CASTILLA-LA MANCHA.</v>
      </c>
      <c r="J231" s="3" t="s">
        <v>41</v>
      </c>
      <c r="K231" s="3" t="s">
        <v>41</v>
      </c>
      <c r="L231" s="3" t="s">
        <v>42</v>
      </c>
      <c r="M231" s="3" t="s">
        <v>41</v>
      </c>
    </row>
    <row r="232" spans="1:13" ht="172.5">
      <c r="A232" s="22" t="s">
        <v>12</v>
      </c>
      <c r="B232" s="3" t="s">
        <v>782</v>
      </c>
      <c r="C232" s="3" t="s">
        <v>776</v>
      </c>
      <c r="D232" s="3" t="s">
        <v>777</v>
      </c>
      <c r="E232" s="3" t="s">
        <v>46</v>
      </c>
      <c r="F232" s="3" t="s">
        <v>96</v>
      </c>
      <c r="G232" s="3" t="s">
        <v>460</v>
      </c>
      <c r="H232" s="3" t="s">
        <v>783</v>
      </c>
      <c r="I232" s="3" t="str">
        <f>HYPERLINK("http://www.jccm.es/sede/tramite/LPE","SOLICITUD DE ABONO DE LA SUBVENCION DEL PROGRAMA ADELANTE DIGITALIZACION, PARA LA TRANSFORMACION DIGITAL DE LAS PYMES DE CASTILLA-LA MANCHA.")</f>
        <v>SOLICITUD DE ABONO DE LA SUBVENCION DEL PROGRAMA ADELANTE DIGITALIZACION, PARA LA TRANSFORMACION DIGITAL DE LAS PYMES DE CASTILLA-LA MANCHA.</v>
      </c>
      <c r="J232" s="3" t="s">
        <v>41</v>
      </c>
      <c r="K232" s="3" t="s">
        <v>41</v>
      </c>
      <c r="L232" s="3" t="s">
        <v>42</v>
      </c>
      <c r="M232" s="3" t="s">
        <v>41</v>
      </c>
    </row>
    <row r="233" spans="1:13" ht="252.95">
      <c r="A233" s="22" t="s">
        <v>12</v>
      </c>
      <c r="B233" s="3" t="s">
        <v>784</v>
      </c>
      <c r="C233" s="3" t="s">
        <v>785</v>
      </c>
      <c r="D233" s="3" t="s">
        <v>786</v>
      </c>
      <c r="E233" s="3" t="s">
        <v>46</v>
      </c>
      <c r="F233" s="3" t="s">
        <v>96</v>
      </c>
      <c r="G233" s="3" t="s">
        <v>460</v>
      </c>
      <c r="H233" s="3" t="s">
        <v>787</v>
      </c>
      <c r="I233" s="3" t="str">
        <f>HYPERLINK("http://www.jccm.es/sede/tramite/KZK","CONVOCATORIA 2018. SOLICITUD DE ABONO DE LA SUBVENCION PARA EL CRECIMIENTO EN MERCADOS NACIONALES Y PARA LA MEJORA DE LA POSICION COMPETITIVA DE LAS PYMES.")</f>
        <v>CONVOCATORIA 2018. SOLICITUD DE ABONO DE LA SUBVENCION PARA EL CRECIMIENTO EN MERCADOS NACIONALES Y PARA LA MEJORA DE LA POSICION COMPETITIVA DE LAS PYMES.</v>
      </c>
      <c r="J233" s="3" t="s">
        <v>41</v>
      </c>
      <c r="K233" s="3" t="s">
        <v>41</v>
      </c>
      <c r="L233" s="3" t="s">
        <v>42</v>
      </c>
      <c r="M233" s="3" t="s">
        <v>41</v>
      </c>
    </row>
    <row r="234" spans="1:13" ht="252.95">
      <c r="A234" s="22" t="s">
        <v>12</v>
      </c>
      <c r="B234" s="3" t="s">
        <v>788</v>
      </c>
      <c r="C234" s="3" t="s">
        <v>789</v>
      </c>
      <c r="D234" s="3" t="s">
        <v>786</v>
      </c>
      <c r="E234" s="3" t="s">
        <v>46</v>
      </c>
      <c r="F234" s="3" t="s">
        <v>96</v>
      </c>
      <c r="G234" s="3" t="s">
        <v>460</v>
      </c>
      <c r="H234" s="3" t="s">
        <v>790</v>
      </c>
      <c r="I234" s="3" t="str">
        <f>HYPERLINK("http://www.jccm.es/sede/tramite/KOE","SOLICITUD DE SUBVENCION PARA EL CRECIMIENTO EN MERCADOS NACIONALES Y PARA LA MEJORA DE LA POSICION COMPETITIVA DE LAS PYMES (MPC 2023) (DISP 10.7 RESOL. 28/07/2022, CONV 2022)")</f>
        <v>SOLICITUD DE SUBVENCION PARA EL CRECIMIENTO EN MERCADOS NACIONALES Y PARA LA MEJORA DE LA POSICION COMPETITIVA DE LAS PYMES (MPC 2023) (DISP 10.7 RESOL. 28/07/2022, CONV 2022)</v>
      </c>
      <c r="J234" s="3" t="s">
        <v>41</v>
      </c>
      <c r="K234" s="3" t="s">
        <v>41</v>
      </c>
      <c r="L234" s="3" t="s">
        <v>42</v>
      </c>
      <c r="M234" s="3" t="s">
        <v>41</v>
      </c>
    </row>
    <row r="235" spans="1:13" ht="241.5">
      <c r="A235" s="22" t="s">
        <v>12</v>
      </c>
      <c r="B235" s="3" t="s">
        <v>791</v>
      </c>
      <c r="C235" s="3" t="s">
        <v>792</v>
      </c>
      <c r="D235" s="3" t="s">
        <v>45</v>
      </c>
      <c r="E235" s="3" t="s">
        <v>46</v>
      </c>
      <c r="F235" s="3" t="s">
        <v>96</v>
      </c>
      <c r="G235" s="3" t="s">
        <v>328</v>
      </c>
      <c r="H235" s="3" t="s">
        <v>793</v>
      </c>
      <c r="I235" s="3" t="str">
        <f>HYPERLINK("http://www.jccm.es/sede/tramite/KOO","SUBVENCIONES DEL PROGRAMA DE INCLUSION LABORAL DE PERSONAS CON DISCAPACIDAD EN EL MERCADO PROTEGIDO DE CASTILLA-LA MANCHA-LINEA 4-AJUSTE PERSONAL Y SOCIAL A TRAVES DE UNIDADES DE APOYO.")</f>
        <v>SUBVENCIONES DEL PROGRAMA DE INCLUSION LABORAL DE PERSONAS CON DISCAPACIDAD EN EL MERCADO PROTEGIDO DE CASTILLA-LA MANCHA-LINEA 4-AJUSTE PERSONAL Y SOCIAL A TRAVES DE UNIDADES DE APOYO.</v>
      </c>
      <c r="J235" s="3" t="s">
        <v>41</v>
      </c>
      <c r="K235" s="3" t="s">
        <v>41</v>
      </c>
      <c r="L235" s="3" t="s">
        <v>42</v>
      </c>
      <c r="M235" s="3" t="s">
        <v>41</v>
      </c>
    </row>
    <row r="236" spans="1:13" ht="287.45">
      <c r="A236" s="22" t="s">
        <v>12</v>
      </c>
      <c r="B236" s="3" t="s">
        <v>794</v>
      </c>
      <c r="C236" s="3" t="s">
        <v>795</v>
      </c>
      <c r="D236" s="3" t="s">
        <v>45</v>
      </c>
      <c r="E236" s="3" t="s">
        <v>46</v>
      </c>
      <c r="F236" s="3" t="s">
        <v>96</v>
      </c>
      <c r="G236" s="3" t="s">
        <v>130</v>
      </c>
      <c r="H236" s="3" t="s">
        <v>796</v>
      </c>
      <c r="I236" s="3" t="str">
        <f>HYPERLINK("http://www.jccm.es/sede/tramite/KP6","JUSTIFICACION AYUDAS PARA PROSPECCION Y DETECCION NECESIDADES FORMATIVAS; DISEÑO, PROGRAMACION Y DIFUSION OFERTA FORMATIVA DE TRABAJADORES OCUPADOS; Y APOYO PYMES FORMACION DE SUS TRABAJADORES.")</f>
        <v>JUSTIFICACION AYUDAS PARA PROSPECCION Y DETECCION NECESIDADES FORMATIVAS; DISEÑO, PROGRAMACION Y DIFUSION OFERTA FORMATIVA DE TRABAJADORES OCUPADOS; Y APOYO PYMES FORMACION DE SUS TRABAJADORES.</v>
      </c>
      <c r="J236" s="3" t="s">
        <v>41</v>
      </c>
      <c r="K236" s="3" t="s">
        <v>41</v>
      </c>
      <c r="L236" s="3" t="s">
        <v>42</v>
      </c>
      <c r="M236" s="3" t="s">
        <v>41</v>
      </c>
    </row>
    <row r="237" spans="1:13" ht="299.10000000000002">
      <c r="A237" s="22" t="s">
        <v>12</v>
      </c>
      <c r="B237" s="3" t="s">
        <v>797</v>
      </c>
      <c r="C237" s="3" t="s">
        <v>798</v>
      </c>
      <c r="D237" s="3" t="s">
        <v>45</v>
      </c>
      <c r="E237" s="3" t="s">
        <v>46</v>
      </c>
      <c r="F237" s="3" t="s">
        <v>96</v>
      </c>
      <c r="G237" s="3" t="s">
        <v>130</v>
      </c>
      <c r="H237" s="3" t="s">
        <v>799</v>
      </c>
      <c r="I237" s="3" t="str">
        <f>HYPERLINK("http://www.jccm.es/sede/tramite/KP5","SOLICITUD AYUDAS PARA LA PROSPECCION Y DETECCION DE NECESIDADES FORMATIVAS; DISEÑO, PROGRAMACION Y DIFUSION OFERTA FORMATIVA DE TRABAJADORES OCUPADOS; Y APOYO PYMES FORMACION DE SUS TRABAJADORES.")</f>
        <v>SOLICITUD AYUDAS PARA LA PROSPECCION Y DETECCION DE NECESIDADES FORMATIVAS; DISEÑO, PROGRAMACION Y DIFUSION OFERTA FORMATIVA DE TRABAJADORES OCUPADOS; Y APOYO PYMES FORMACION DE SUS TRABAJADORES.</v>
      </c>
      <c r="J237" s="3" t="s">
        <v>41</v>
      </c>
      <c r="K237" s="3" t="s">
        <v>41</v>
      </c>
      <c r="L237" s="3" t="s">
        <v>42</v>
      </c>
      <c r="M237" s="3" t="s">
        <v>41</v>
      </c>
    </row>
    <row r="238" spans="1:13" ht="138">
      <c r="A238" s="22" t="s">
        <v>12</v>
      </c>
      <c r="B238" s="3" t="s">
        <v>800</v>
      </c>
      <c r="C238" s="3" t="s">
        <v>801</v>
      </c>
      <c r="D238" s="3" t="s">
        <v>45</v>
      </c>
      <c r="E238" s="3" t="s">
        <v>46</v>
      </c>
      <c r="F238" s="3" t="s">
        <v>96</v>
      </c>
      <c r="G238" s="3" t="s">
        <v>120</v>
      </c>
      <c r="H238" s="3" t="s">
        <v>802</v>
      </c>
      <c r="I238" s="3" t="str">
        <f>HYPERLINK("http://www.jccm.es/sede/tramite/KQ4","SUBVENCIONES PARA PROMOCION Y DIFUSION  DE COOPERATIVAS Y SOCIEDADES LABORALES EN CASTILLA-LA MANCHA.")</f>
        <v>SUBVENCIONES PARA PROMOCION Y DIFUSION  DE COOPERATIVAS Y SOCIEDADES LABORALES EN CASTILLA-LA MANCHA.</v>
      </c>
      <c r="J238" s="3" t="s">
        <v>41</v>
      </c>
      <c r="K238" s="3" t="s">
        <v>41</v>
      </c>
      <c r="L238" s="3" t="s">
        <v>42</v>
      </c>
      <c r="M238" s="3" t="s">
        <v>41</v>
      </c>
    </row>
    <row r="239" spans="1:13" ht="126.6">
      <c r="A239" s="22" t="s">
        <v>12</v>
      </c>
      <c r="B239" s="3" t="s">
        <v>803</v>
      </c>
      <c r="C239" s="3" t="s">
        <v>804</v>
      </c>
      <c r="D239" s="3" t="s">
        <v>45</v>
      </c>
      <c r="E239" s="3" t="s">
        <v>46</v>
      </c>
      <c r="F239" s="3" t="s">
        <v>96</v>
      </c>
      <c r="G239" s="3" t="s">
        <v>130</v>
      </c>
      <c r="H239" s="3" t="s">
        <v>805</v>
      </c>
      <c r="I239" s="3" t="str">
        <f>HYPERLINK("http://www.jccm.es/sede/tramite/KQZ","AYUDAS PUBLICAS PARA PROYECTOS DE FORMACION Y EMPLEO EN EL SENO DE LA EMPRESA (CREA)")</f>
        <v>AYUDAS PUBLICAS PARA PROYECTOS DE FORMACION Y EMPLEO EN EL SENO DE LA EMPRESA (CREA)</v>
      </c>
      <c r="J239" s="3" t="s">
        <v>41</v>
      </c>
      <c r="K239" s="3" t="s">
        <v>41</v>
      </c>
      <c r="L239" s="3" t="s">
        <v>42</v>
      </c>
      <c r="M239" s="3" t="s">
        <v>41</v>
      </c>
    </row>
    <row r="240" spans="1:13" ht="149.44999999999999">
      <c r="A240" s="22" t="s">
        <v>12</v>
      </c>
      <c r="B240" s="3" t="s">
        <v>806</v>
      </c>
      <c r="C240" s="3" t="s">
        <v>807</v>
      </c>
      <c r="D240" s="3" t="s">
        <v>45</v>
      </c>
      <c r="E240" s="3" t="s">
        <v>46</v>
      </c>
      <c r="F240" s="3" t="s">
        <v>96</v>
      </c>
      <c r="G240" s="3" t="s">
        <v>130</v>
      </c>
      <c r="H240" s="3" t="s">
        <v>808</v>
      </c>
      <c r="I240" s="3" t="str">
        <f>HYPERLINK("http://www.jccm.es/sede/tramite/KR0","JUSTIFICACION DE LAS AYUDAS PUBLICAS PARA PROYECTOS DE FORMACION Y EMPLEO EN EL SENO DE LA EMPRESA (CREA)")</f>
        <v>JUSTIFICACION DE LAS AYUDAS PUBLICAS PARA PROYECTOS DE FORMACION Y EMPLEO EN EL SENO DE LA EMPRESA (CREA)</v>
      </c>
      <c r="J240" s="3" t="s">
        <v>41</v>
      </c>
      <c r="K240" s="3" t="s">
        <v>41</v>
      </c>
      <c r="L240" s="3" t="s">
        <v>42</v>
      </c>
      <c r="M240" s="3" t="s">
        <v>41</v>
      </c>
    </row>
    <row r="241" spans="1:13" ht="149.44999999999999">
      <c r="A241" s="22" t="s">
        <v>12</v>
      </c>
      <c r="B241" s="3" t="s">
        <v>809</v>
      </c>
      <c r="C241" s="3" t="s">
        <v>810</v>
      </c>
      <c r="D241" s="3" t="s">
        <v>45</v>
      </c>
      <c r="E241" s="3" t="s">
        <v>46</v>
      </c>
      <c r="F241" s="3" t="s">
        <v>96</v>
      </c>
      <c r="G241" s="3" t="s">
        <v>328</v>
      </c>
      <c r="H241" s="3" t="s">
        <v>811</v>
      </c>
      <c r="I241" s="3" t="str">
        <f>HYPERLINK("http://www.jccm.es/sede/tramite/KR9","LIQUIDACION DE LA SUBVENCION PARA EL INICIO DE LA ACTIVIDAD EMPRENDEDORA, DENTRO DEL PROGRAMA RETORNO DEL TALENTO.")</f>
        <v>LIQUIDACION DE LA SUBVENCION PARA EL INICIO DE LA ACTIVIDAD EMPRENDEDORA, DENTRO DEL PROGRAMA RETORNO DEL TALENTO.</v>
      </c>
      <c r="J241" s="3" t="s">
        <v>41</v>
      </c>
      <c r="K241" s="3" t="s">
        <v>41</v>
      </c>
      <c r="L241" s="3" t="s">
        <v>42</v>
      </c>
      <c r="M241" s="3" t="s">
        <v>41</v>
      </c>
    </row>
    <row r="242" spans="1:13" ht="138">
      <c r="A242" s="22" t="s">
        <v>12</v>
      </c>
      <c r="B242" s="3" t="s">
        <v>812</v>
      </c>
      <c r="C242" s="3" t="s">
        <v>813</v>
      </c>
      <c r="D242" s="3" t="s">
        <v>45</v>
      </c>
      <c r="E242" s="3" t="s">
        <v>46</v>
      </c>
      <c r="F242" s="3" t="s">
        <v>96</v>
      </c>
      <c r="G242" s="3" t="s">
        <v>113</v>
      </c>
      <c r="H242" s="3" t="s">
        <v>814</v>
      </c>
      <c r="I242" s="3" t="str">
        <f>HYPERLINK("http://www.jccm.es/sede/tramite/KRA","PROGRAMA RETORNO DEL TALENTO: LINEA 3- EMISION DEL PASAPORTE DE VUELTA.")</f>
        <v>PROGRAMA RETORNO DEL TALENTO: LINEA 3- EMISION DEL PASAPORTE DE VUELTA.</v>
      </c>
      <c r="J242" s="3" t="s">
        <v>42</v>
      </c>
      <c r="K242" s="3" t="s">
        <v>41</v>
      </c>
      <c r="L242" s="3" t="s">
        <v>42</v>
      </c>
      <c r="M242" s="3" t="s">
        <v>41</v>
      </c>
    </row>
    <row r="243" spans="1:13" ht="138">
      <c r="A243" s="22" t="s">
        <v>12</v>
      </c>
      <c r="B243" s="3" t="s">
        <v>815</v>
      </c>
      <c r="C243" s="3" t="s">
        <v>816</v>
      </c>
      <c r="D243" s="3" t="s">
        <v>45</v>
      </c>
      <c r="E243" s="3" t="s">
        <v>46</v>
      </c>
      <c r="F243" s="3" t="s">
        <v>96</v>
      </c>
      <c r="G243" s="3" t="s">
        <v>113</v>
      </c>
      <c r="H243" s="3" t="s">
        <v>817</v>
      </c>
      <c r="I243" s="3" t="str">
        <f>HYPERLINK("http://www.jccm.es/sede/tramite/KR7","PROGRAMA RETORNO DEL TALENTO: LINEA 3- SUBVENCIONES DE LA AYUDA ASOCIADA AL PASAPORTE DE VUELTA.")</f>
        <v>PROGRAMA RETORNO DEL TALENTO: LINEA 3- SUBVENCIONES DE LA AYUDA ASOCIADA AL PASAPORTE DE VUELTA.</v>
      </c>
      <c r="J243" s="3" t="s">
        <v>42</v>
      </c>
      <c r="K243" s="3" t="s">
        <v>41</v>
      </c>
      <c r="L243" s="3" t="s">
        <v>42</v>
      </c>
      <c r="M243" s="3" t="s">
        <v>41</v>
      </c>
    </row>
    <row r="244" spans="1:13" ht="138">
      <c r="A244" s="22" t="s">
        <v>12</v>
      </c>
      <c r="B244" s="3" t="s">
        <v>818</v>
      </c>
      <c r="C244" s="3" t="s">
        <v>819</v>
      </c>
      <c r="D244" s="3" t="s">
        <v>45</v>
      </c>
      <c r="E244" s="3" t="s">
        <v>46</v>
      </c>
      <c r="F244" s="3" t="s">
        <v>96</v>
      </c>
      <c r="G244" s="3" t="s">
        <v>120</v>
      </c>
      <c r="H244" s="3" t="s">
        <v>820</v>
      </c>
      <c r="I244" s="3" t="str">
        <f>HYPERLINK("http://www.jccm.es/sede/tramite/KR6","PROGRAMA RETORNO DEL TALENTO: LINEA 2- SUBVENCIONES PARA EL INICIO DE LA ACTIVIDAD EMPRENDEDORA.")</f>
        <v>PROGRAMA RETORNO DEL TALENTO: LINEA 2- SUBVENCIONES PARA EL INICIO DE LA ACTIVIDAD EMPRENDEDORA.</v>
      </c>
      <c r="J244" s="3" t="s">
        <v>41</v>
      </c>
      <c r="K244" s="3" t="s">
        <v>41</v>
      </c>
      <c r="L244" s="3" t="s">
        <v>42</v>
      </c>
      <c r="M244" s="3" t="s">
        <v>41</v>
      </c>
    </row>
    <row r="245" spans="1:13" ht="114.95">
      <c r="A245" s="22" t="s">
        <v>12</v>
      </c>
      <c r="B245" s="3" t="s">
        <v>821</v>
      </c>
      <c r="C245" s="3" t="s">
        <v>822</v>
      </c>
      <c r="D245" s="3" t="s">
        <v>45</v>
      </c>
      <c r="E245" s="3" t="s">
        <v>46</v>
      </c>
      <c r="F245" s="3" t="s">
        <v>96</v>
      </c>
      <c r="G245" s="3" t="s">
        <v>328</v>
      </c>
      <c r="H245" s="3" t="s">
        <v>823</v>
      </c>
      <c r="I245" s="3" t="str">
        <f>HYPERLINK("http://www.jccm.es/sede/tramite/KR8","PROGRAMA RETORNO DEL TALENTO: LINEA 1- SUBVENCIONES PARA LA CONTRATACION INDEFINIDA.")</f>
        <v>PROGRAMA RETORNO DEL TALENTO: LINEA 1- SUBVENCIONES PARA LA CONTRATACION INDEFINIDA.</v>
      </c>
      <c r="J245" s="3" t="s">
        <v>42</v>
      </c>
      <c r="K245" s="3" t="s">
        <v>41</v>
      </c>
      <c r="L245" s="3" t="s">
        <v>42</v>
      </c>
      <c r="M245" s="3" t="s">
        <v>41</v>
      </c>
    </row>
    <row r="246" spans="1:13" ht="264.60000000000002">
      <c r="A246" s="22" t="s">
        <v>12</v>
      </c>
      <c r="B246" s="3" t="s">
        <v>824</v>
      </c>
      <c r="C246" s="3" t="s">
        <v>825</v>
      </c>
      <c r="D246" s="3" t="s">
        <v>327</v>
      </c>
      <c r="E246" s="3" t="s">
        <v>46</v>
      </c>
      <c r="F246" s="3" t="s">
        <v>96</v>
      </c>
      <c r="G246" s="3" t="s">
        <v>130</v>
      </c>
      <c r="H246" s="3" t="s">
        <v>826</v>
      </c>
      <c r="I246" s="3" t="str">
        <f>HYPERLINK("http://www.jccm.es/sede/tramite/KST","JUSTIFICACION  DE SUBVENCIONES PARA LA REALIZACION DE PROYECTOS DE FORMACION PROFESIONAL DUAL EN EMPRESAS, PARA JOVENES INSCRITOS EN EL SISTEMA NACIONAL DE GARANTIA JUVENIL (DUAL-EMPLEO).")</f>
        <v>JUSTIFICACION  DE SUBVENCIONES PARA LA REALIZACION DE PROYECTOS DE FORMACION PROFESIONAL DUAL EN EMPRESAS, PARA JOVENES INSCRITOS EN EL SISTEMA NACIONAL DE GARANTIA JUVENIL (DUAL-EMPLEO).</v>
      </c>
      <c r="J246" s="3" t="s">
        <v>41</v>
      </c>
      <c r="K246" s="3" t="s">
        <v>41</v>
      </c>
      <c r="L246" s="3" t="s">
        <v>42</v>
      </c>
      <c r="M246" s="3" t="s">
        <v>41</v>
      </c>
    </row>
    <row r="247" spans="1:13" ht="138">
      <c r="A247" s="22" t="s">
        <v>12</v>
      </c>
      <c r="B247" s="3" t="s">
        <v>827</v>
      </c>
      <c r="C247" s="3" t="s">
        <v>828</v>
      </c>
      <c r="D247" s="3" t="s">
        <v>327</v>
      </c>
      <c r="E247" s="3" t="s">
        <v>46</v>
      </c>
      <c r="F247" s="3" t="s">
        <v>96</v>
      </c>
      <c r="G247" s="3" t="s">
        <v>130</v>
      </c>
      <c r="H247" s="3" t="s">
        <v>829</v>
      </c>
      <c r="I247" s="3" t="str">
        <f>HYPERLINK("http://www.jccm.es/sede/tramite/KSS","SUBVENCIONES PARA LA REALIZACION DE PROYECTOS DE FORMACION PROFESIONAL Y EMPLEO EN EL SENO DE LA  EMPRESA")</f>
        <v>SUBVENCIONES PARA LA REALIZACION DE PROYECTOS DE FORMACION PROFESIONAL Y EMPLEO EN EL SENO DE LA  EMPRESA</v>
      </c>
      <c r="J247" s="3" t="s">
        <v>41</v>
      </c>
      <c r="K247" s="3" t="s">
        <v>41</v>
      </c>
      <c r="L247" s="3" t="s">
        <v>42</v>
      </c>
      <c r="M247" s="3" t="s">
        <v>41</v>
      </c>
    </row>
    <row r="248" spans="1:13" ht="276">
      <c r="A248" s="22" t="s">
        <v>12</v>
      </c>
      <c r="B248" s="3" t="s">
        <v>830</v>
      </c>
      <c r="C248" s="3" t="s">
        <v>831</v>
      </c>
      <c r="D248" s="3" t="s">
        <v>700</v>
      </c>
      <c r="E248" s="3" t="s">
        <v>46</v>
      </c>
      <c r="F248" s="3" t="s">
        <v>96</v>
      </c>
      <c r="G248" s="3" t="s">
        <v>130</v>
      </c>
      <c r="H248" s="3" t="s">
        <v>832</v>
      </c>
      <c r="I248" s="3" t="str">
        <f>HYPERLINK("http://www.jccm.es/sede/tramite/KTG","JUSTIFICACION  DE SUBVENCIONES PARA LA REALIZACION DE PROYECTOS DE FORMACION Y PRACTICAS PARA JOVENES INSCRITOS EN EL SISTEMA NACIONAL DE GARANIA JUVENIL. (JUSTIFICACION FORMACION Y ORIENTACION)")</f>
        <v>JUSTIFICACION  DE SUBVENCIONES PARA LA REALIZACION DE PROYECTOS DE FORMACION Y PRACTICAS PARA JOVENES INSCRITOS EN EL SISTEMA NACIONAL DE GARANIA JUVENIL. (JUSTIFICACION FORMACION Y ORIENTACION)</v>
      </c>
      <c r="J248" s="3" t="s">
        <v>41</v>
      </c>
      <c r="K248" s="3" t="s">
        <v>41</v>
      </c>
      <c r="L248" s="3" t="s">
        <v>42</v>
      </c>
      <c r="M248" s="3" t="s">
        <v>41</v>
      </c>
    </row>
    <row r="249" spans="1:13" ht="264.60000000000002">
      <c r="A249" s="22" t="s">
        <v>12</v>
      </c>
      <c r="B249" s="3" t="s">
        <v>833</v>
      </c>
      <c r="C249" s="3" t="s">
        <v>834</v>
      </c>
      <c r="D249" s="3" t="s">
        <v>700</v>
      </c>
      <c r="E249" s="3" t="s">
        <v>46</v>
      </c>
      <c r="F249" s="3" t="s">
        <v>96</v>
      </c>
      <c r="G249" s="3" t="s">
        <v>130</v>
      </c>
      <c r="H249" s="3" t="s">
        <v>835</v>
      </c>
      <c r="I249" s="3" t="str">
        <f>HYPERLINK("http://www.jccm.es/sede/tramite/KTH","JUSTIFICACION  DE SUBVENCIONES PARA LA REALIZACION DE PROYECTOS DE FORMACION Y PRACTICAS PARA JOVENES INSCRITOS EN EL SISTEMA NACIONAL DE GARANIA JUVENIL (JUSTIFICACION PRACTICAS NO LABORALES).")</f>
        <v>JUSTIFICACION  DE SUBVENCIONES PARA LA REALIZACION DE PROYECTOS DE FORMACION Y PRACTICAS PARA JOVENES INSCRITOS EN EL SISTEMA NACIONAL DE GARANIA JUVENIL (JUSTIFICACION PRACTICAS NO LABORALES).</v>
      </c>
      <c r="J249" s="3" t="s">
        <v>41</v>
      </c>
      <c r="K249" s="3" t="s">
        <v>41</v>
      </c>
      <c r="L249" s="3" t="s">
        <v>42</v>
      </c>
      <c r="M249" s="3" t="s">
        <v>41</v>
      </c>
    </row>
    <row r="250" spans="1:13" ht="264.60000000000002">
      <c r="A250" s="22" t="s">
        <v>12</v>
      </c>
      <c r="B250" s="3" t="s">
        <v>836</v>
      </c>
      <c r="C250" s="3" t="s">
        <v>837</v>
      </c>
      <c r="D250" s="3" t="s">
        <v>700</v>
      </c>
      <c r="E250" s="3" t="s">
        <v>46</v>
      </c>
      <c r="F250" s="3" t="s">
        <v>96</v>
      </c>
      <c r="G250" s="3" t="s">
        <v>130</v>
      </c>
      <c r="H250" s="3" t="s">
        <v>838</v>
      </c>
      <c r="I250" s="3" t="str">
        <f>HYPERLINK("http://www.jccm.es/sede/tramite/KTC","SUBVENCIONES PARA LA REALIZACION DE PROYECTOS DE FORMACION Y PRACTICAS NO LABORALES PARA JOVENES INSCRITOS EN EL SISTEMA NACIONAL DE GARANTIA JUVENIL (FORMACION PLUS) (SOLICITUD FORMACION)")</f>
        <v>SUBVENCIONES PARA LA REALIZACION DE PROYECTOS DE FORMACION Y PRACTICAS NO LABORALES PARA JOVENES INSCRITOS EN EL SISTEMA NACIONAL DE GARANTIA JUVENIL (FORMACION PLUS) (SOLICITUD FORMACION)</v>
      </c>
      <c r="J250" s="3" t="s">
        <v>41</v>
      </c>
      <c r="K250" s="3" t="s">
        <v>41</v>
      </c>
      <c r="L250" s="3" t="s">
        <v>42</v>
      </c>
      <c r="M250" s="3" t="s">
        <v>41</v>
      </c>
    </row>
    <row r="251" spans="1:13" ht="264.60000000000002">
      <c r="A251" s="22" t="s">
        <v>12</v>
      </c>
      <c r="B251" s="3" t="s">
        <v>839</v>
      </c>
      <c r="C251" s="3" t="s">
        <v>840</v>
      </c>
      <c r="D251" s="3" t="s">
        <v>700</v>
      </c>
      <c r="E251" s="3" t="s">
        <v>46</v>
      </c>
      <c r="F251" s="3" t="s">
        <v>96</v>
      </c>
      <c r="G251" s="3" t="s">
        <v>130</v>
      </c>
      <c r="H251" s="3" t="s">
        <v>841</v>
      </c>
      <c r="I251" s="3" t="str">
        <f>HYPERLINK("http://www.jccm.es/sede/tramite/KTD","SUBVENCIONES PARA LA REALIZACION DE PROYECTOS DE FORMACION Y PRACTICAS NO LABORALES PARA JOVENES INSCRITOS EN EL SISTEMA NACIONAL DE GARANTIA JUVENIL.  (SOLICITUD PRACTICAS NO LABORALES)")</f>
        <v>SUBVENCIONES PARA LA REALIZACION DE PROYECTOS DE FORMACION Y PRACTICAS NO LABORALES PARA JOVENES INSCRITOS EN EL SISTEMA NACIONAL DE GARANTIA JUVENIL.  (SOLICITUD PRACTICAS NO LABORALES)</v>
      </c>
      <c r="J251" s="3" t="s">
        <v>41</v>
      </c>
      <c r="K251" s="3" t="s">
        <v>41</v>
      </c>
      <c r="L251" s="3" t="s">
        <v>42</v>
      </c>
      <c r="M251" s="3" t="s">
        <v>41</v>
      </c>
    </row>
    <row r="252" spans="1:13" ht="161.1">
      <c r="A252" s="22" t="s">
        <v>12</v>
      </c>
      <c r="B252" s="3" t="s">
        <v>842</v>
      </c>
      <c r="C252" s="3" t="s">
        <v>843</v>
      </c>
      <c r="D252" s="3" t="s">
        <v>700</v>
      </c>
      <c r="E252" s="3" t="s">
        <v>46</v>
      </c>
      <c r="F252" s="3" t="s">
        <v>96</v>
      </c>
      <c r="G252" s="3" t="s">
        <v>130</v>
      </c>
      <c r="H252" s="3" t="s">
        <v>844</v>
      </c>
      <c r="I252" s="3" t="str">
        <f>HYPERLINK("http://www.jccm.es/sede/tramite/KTE","SOLICITUD BECA SUBVENCIONES PARA LA REALIZACION DE PROYECTOS DE FORMACION PROFESIONAL Y EMPLEO EN EL SENO DE LA  EMPRESA.")</f>
        <v>SOLICITUD BECA SUBVENCIONES PARA LA REALIZACION DE PROYECTOS DE FORMACION PROFESIONAL Y EMPLEO EN EL SENO DE LA  EMPRESA.</v>
      </c>
      <c r="J252" s="3" t="s">
        <v>42</v>
      </c>
      <c r="K252" s="3" t="s">
        <v>41</v>
      </c>
      <c r="L252" s="3" t="s">
        <v>42</v>
      </c>
      <c r="M252" s="3" t="s">
        <v>41</v>
      </c>
    </row>
    <row r="253" spans="1:13" ht="218.45">
      <c r="A253" s="22" t="s">
        <v>12</v>
      </c>
      <c r="B253" s="3" t="s">
        <v>845</v>
      </c>
      <c r="C253" s="3" t="s">
        <v>846</v>
      </c>
      <c r="D253" s="3" t="s">
        <v>327</v>
      </c>
      <c r="E253" s="3" t="s">
        <v>46</v>
      </c>
      <c r="F253" s="3" t="s">
        <v>96</v>
      </c>
      <c r="G253" s="3" t="s">
        <v>460</v>
      </c>
      <c r="H253" s="3" t="s">
        <v>847</v>
      </c>
      <c r="I253" s="3" t="str">
        <f>HYPERLINK("http://www.jccm.es/sede/tramite/KTK","JUSTIFICACION DE SUBVENCIONES -ADELANTE INVERSION- PARA EL FOMENTO DE LA INVERSION Y LA MEJORA DE LA PRODUCTIVIDAD EMPRESARIAL EN CASTILLA-LA MANCHA (FIE-2017)")</f>
        <v>JUSTIFICACION DE SUBVENCIONES -ADELANTE INVERSION- PARA EL FOMENTO DE LA INVERSION Y LA MEJORA DE LA PRODUCTIVIDAD EMPRESARIAL EN CASTILLA-LA MANCHA (FIE-2017)</v>
      </c>
      <c r="J253" s="3" t="s">
        <v>41</v>
      </c>
      <c r="K253" s="3" t="s">
        <v>41</v>
      </c>
      <c r="L253" s="3" t="s">
        <v>42</v>
      </c>
      <c r="M253" s="3" t="s">
        <v>41</v>
      </c>
    </row>
    <row r="254" spans="1:13" ht="218.45">
      <c r="A254" s="22" t="s">
        <v>12</v>
      </c>
      <c r="B254" s="3" t="s">
        <v>848</v>
      </c>
      <c r="C254" s="3" t="s">
        <v>849</v>
      </c>
      <c r="D254" s="3" t="s">
        <v>327</v>
      </c>
      <c r="E254" s="3" t="s">
        <v>46</v>
      </c>
      <c r="F254" s="3" t="s">
        <v>96</v>
      </c>
      <c r="G254" s="3" t="s">
        <v>460</v>
      </c>
      <c r="H254" s="3" t="s">
        <v>850</v>
      </c>
      <c r="I254" s="3" t="str">
        <f>HYPERLINK("http://www.jccm.es/sede/tramite/L8N","JUSTIFICACION DE SUBVENCIONES -ADELANTE INVERSION- PARA EL FOMENTO DE LA INVERSION Y LA MEJORA DE LA PRODUCTIVIDAD EMPRESARIAL EN CASTILLA-LA MANCHA (FIE 2019)")</f>
        <v>JUSTIFICACION DE SUBVENCIONES -ADELANTE INVERSION- PARA EL FOMENTO DE LA INVERSION Y LA MEJORA DE LA PRODUCTIVIDAD EMPRESARIAL EN CASTILLA-LA MANCHA (FIE 2019)</v>
      </c>
      <c r="J254" s="3" t="s">
        <v>41</v>
      </c>
      <c r="K254" s="3" t="s">
        <v>41</v>
      </c>
      <c r="L254" s="3" t="s">
        <v>42</v>
      </c>
      <c r="M254" s="3" t="s">
        <v>41</v>
      </c>
    </row>
    <row r="255" spans="1:13" ht="195.6">
      <c r="A255" s="22" t="s">
        <v>12</v>
      </c>
      <c r="B255" s="3" t="s">
        <v>851</v>
      </c>
      <c r="C255" s="3" t="s">
        <v>852</v>
      </c>
      <c r="D255" s="3" t="s">
        <v>327</v>
      </c>
      <c r="E255" s="3" t="s">
        <v>46</v>
      </c>
      <c r="F255" s="3" t="s">
        <v>96</v>
      </c>
      <c r="G255" s="3" t="s">
        <v>460</v>
      </c>
      <c r="H255" s="3" t="s">
        <v>853</v>
      </c>
      <c r="I255" s="3" t="str">
        <f>HYPERLINK("http://www.jccm.es/sede/tramite/LKE","SOLICITUD DE SUBVENCIONES -ADELANTE INVERSION- PARA EL FOMENTO DE LA INVERSION Y LA MEJORA DE LA PRODUCTIVIDAD EMPRESARIAL EN CASTILLA-LA MANCHA (FIE-2022)")</f>
        <v>SOLICITUD DE SUBVENCIONES -ADELANTE INVERSION- PARA EL FOMENTO DE LA INVERSION Y LA MEJORA DE LA PRODUCTIVIDAD EMPRESARIAL EN CASTILLA-LA MANCHA (FIE-2022)</v>
      </c>
      <c r="J255" s="3" t="s">
        <v>41</v>
      </c>
      <c r="K255" s="3" t="s">
        <v>41</v>
      </c>
      <c r="L255" s="3" t="s">
        <v>42</v>
      </c>
      <c r="M255" s="3" t="s">
        <v>41</v>
      </c>
    </row>
    <row r="256" spans="1:13" ht="195.6">
      <c r="A256" s="22" t="s">
        <v>12</v>
      </c>
      <c r="B256" s="3" t="s">
        <v>854</v>
      </c>
      <c r="C256" s="3" t="s">
        <v>855</v>
      </c>
      <c r="D256" s="3" t="s">
        <v>327</v>
      </c>
      <c r="E256" s="3" t="s">
        <v>46</v>
      </c>
      <c r="F256" s="3" t="s">
        <v>96</v>
      </c>
      <c r="G256" s="3" t="s">
        <v>460</v>
      </c>
      <c r="H256" s="3" t="s">
        <v>856</v>
      </c>
      <c r="I256" s="3" t="str">
        <f>HYPERLINK("http://www.jccm.es/sede/tramite/KTJ","SUBVENCIONES -ADELANTE INVERSION- PARA EL FOMENTO DE LA INVERSION Y LA MEJORA DE LA PRODUCTIVIDAD EMPRESARIAL EN CASTILLA-LA MANCHA (FIE-2017)")</f>
        <v>SUBVENCIONES -ADELANTE INVERSION- PARA EL FOMENTO DE LA INVERSION Y LA MEJORA DE LA PRODUCTIVIDAD EMPRESARIAL EN CASTILLA-LA MANCHA (FIE-2017)</v>
      </c>
      <c r="J256" s="3" t="s">
        <v>41</v>
      </c>
      <c r="K256" s="3" t="s">
        <v>41</v>
      </c>
      <c r="L256" s="3" t="s">
        <v>42</v>
      </c>
      <c r="M256" s="3" t="s">
        <v>41</v>
      </c>
    </row>
    <row r="257" spans="1:13" ht="218.45">
      <c r="A257" s="22" t="s">
        <v>12</v>
      </c>
      <c r="B257" s="3" t="s">
        <v>857</v>
      </c>
      <c r="C257" s="3" t="s">
        <v>858</v>
      </c>
      <c r="D257" s="3" t="s">
        <v>327</v>
      </c>
      <c r="E257" s="3" t="s">
        <v>46</v>
      </c>
      <c r="F257" s="3" t="s">
        <v>96</v>
      </c>
      <c r="G257" s="3" t="s">
        <v>460</v>
      </c>
      <c r="H257" s="3" t="s">
        <v>859</v>
      </c>
      <c r="I257" s="3" t="str">
        <f>HYPERLINK("http://www.jccm.es/sede/tramite/KWC","SOLICITUD DE SUBVENCIONES -ADELANTE INVERSION- PARA EL FOMENTO DE LA INVERSION Y LA MEJORA DE LA PRODUCTIVIDAD EMPRESARIAL EN CASTILLA-LA MANCHA (FIE 2020)")</f>
        <v>SOLICITUD DE SUBVENCIONES -ADELANTE INVERSION- PARA EL FOMENTO DE LA INVERSION Y LA MEJORA DE LA PRODUCTIVIDAD EMPRESARIAL EN CASTILLA-LA MANCHA (FIE 2020)</v>
      </c>
      <c r="J257" s="3" t="s">
        <v>41</v>
      </c>
      <c r="K257" s="3" t="s">
        <v>41</v>
      </c>
      <c r="L257" s="3" t="s">
        <v>42</v>
      </c>
      <c r="M257" s="3" t="s">
        <v>41</v>
      </c>
    </row>
    <row r="258" spans="1:13" ht="218.45">
      <c r="A258" s="22" t="s">
        <v>12</v>
      </c>
      <c r="B258" s="3" t="s">
        <v>860</v>
      </c>
      <c r="C258" s="3" t="s">
        <v>861</v>
      </c>
      <c r="D258" s="3" t="s">
        <v>327</v>
      </c>
      <c r="E258" s="3" t="s">
        <v>46</v>
      </c>
      <c r="F258" s="3" t="s">
        <v>96</v>
      </c>
      <c r="G258" s="3" t="s">
        <v>460</v>
      </c>
      <c r="H258" s="3" t="s">
        <v>862</v>
      </c>
      <c r="I258" s="3" t="str">
        <f>HYPERLINK("http://www.jccm.es/sede/tramite/LIX","JUSTIFICACION DE SUBVENCIONES -ADELANTE INVERSION- PARA EL FOMENTO DE LA INVERSION Y LA MEJORA DE LA PRODUCTIVIDAD EMPRESARIAL EN CASTILLA-LA MANCHA (FIE 2020)")</f>
        <v>JUSTIFICACION DE SUBVENCIONES -ADELANTE INVERSION- PARA EL FOMENTO DE LA INVERSION Y LA MEJORA DE LA PRODUCTIVIDAD EMPRESARIAL EN CASTILLA-LA MANCHA (FIE 2020)</v>
      </c>
      <c r="J258" s="3" t="s">
        <v>41</v>
      </c>
      <c r="K258" s="3" t="s">
        <v>41</v>
      </c>
      <c r="L258" s="3" t="s">
        <v>42</v>
      </c>
      <c r="M258" s="3" t="s">
        <v>41</v>
      </c>
    </row>
    <row r="259" spans="1:13" ht="149.44999999999999">
      <c r="A259" s="22" t="s">
        <v>12</v>
      </c>
      <c r="B259" s="3" t="s">
        <v>863</v>
      </c>
      <c r="C259" s="3" t="s">
        <v>864</v>
      </c>
      <c r="D259" s="3" t="s">
        <v>45</v>
      </c>
      <c r="E259" s="3" t="s">
        <v>46</v>
      </c>
      <c r="F259" s="3" t="s">
        <v>96</v>
      </c>
      <c r="G259" s="3" t="s">
        <v>113</v>
      </c>
      <c r="H259" s="3" t="s">
        <v>865</v>
      </c>
      <c r="I259" s="3" t="str">
        <f>HYPERLINK("http://www.jccm.es/sede/tramite/KUS","SOLICITUD DE SUBVENCIONES PARA LA REALIZACION DE ACTUACIONES PARA LA MEJORA DE LA EMPLEABILIDAD Y LA INSERCION.")</f>
        <v>SOLICITUD DE SUBVENCIONES PARA LA REALIZACION DE ACTUACIONES PARA LA MEJORA DE LA EMPLEABILIDAD Y LA INSERCION.</v>
      </c>
      <c r="J259" s="3" t="s">
        <v>41</v>
      </c>
      <c r="K259" s="3" t="s">
        <v>41</v>
      </c>
      <c r="L259" s="3" t="s">
        <v>42</v>
      </c>
      <c r="M259" s="3" t="s">
        <v>41</v>
      </c>
    </row>
    <row r="260" spans="1:13" ht="149.44999999999999">
      <c r="A260" s="22" t="s">
        <v>12</v>
      </c>
      <c r="B260" s="3" t="s">
        <v>866</v>
      </c>
      <c r="C260" s="3" t="s">
        <v>867</v>
      </c>
      <c r="D260" s="3" t="s">
        <v>45</v>
      </c>
      <c r="E260" s="3" t="s">
        <v>46</v>
      </c>
      <c r="F260" s="3" t="s">
        <v>96</v>
      </c>
      <c r="G260" s="3" t="s">
        <v>113</v>
      </c>
      <c r="H260" s="3" t="s">
        <v>868</v>
      </c>
      <c r="I260" s="3" t="str">
        <f>HYPERLINK("http://www.jccm.es/sede/tramite/KUT","JUSTIFICACION DE SUBVENCIONES PARA LA REALIZACION DE ACTUACIONES PARA LA MEJORA DE LA EMPLEABILIDAD Y LA INSERCION.")</f>
        <v>JUSTIFICACION DE SUBVENCIONES PARA LA REALIZACION DE ACTUACIONES PARA LA MEJORA DE LA EMPLEABILIDAD Y LA INSERCION.</v>
      </c>
      <c r="J260" s="3" t="s">
        <v>41</v>
      </c>
      <c r="K260" s="3" t="s">
        <v>41</v>
      </c>
      <c r="L260" s="3" t="s">
        <v>42</v>
      </c>
      <c r="M260" s="3" t="s">
        <v>41</v>
      </c>
    </row>
    <row r="261" spans="1:13" ht="114.95">
      <c r="A261" s="22" t="s">
        <v>12</v>
      </c>
      <c r="B261" s="3" t="s">
        <v>869</v>
      </c>
      <c r="C261" s="3" t="s">
        <v>870</v>
      </c>
      <c r="D261" s="3" t="s">
        <v>459</v>
      </c>
      <c r="E261" s="3" t="s">
        <v>46</v>
      </c>
      <c r="F261" s="3" t="s">
        <v>96</v>
      </c>
      <c r="G261" s="3" t="s">
        <v>328</v>
      </c>
      <c r="H261" s="3" t="s">
        <v>871</v>
      </c>
      <c r="I261" s="3" t="str">
        <f>HYPERLINK("http://www.jccm.es/sede/tramite/KV6","AYUDAS PARA EL ESTABLECIMIENTO DE PERSONAS DESEMPLEADAS COMO TRABAJADORAS AUTONOMAS")</f>
        <v>AYUDAS PARA EL ESTABLECIMIENTO DE PERSONAS DESEMPLEADAS COMO TRABAJADORAS AUTONOMAS</v>
      </c>
      <c r="J261" s="3" t="s">
        <v>41</v>
      </c>
      <c r="K261" s="3" t="s">
        <v>41</v>
      </c>
      <c r="L261" s="3" t="s">
        <v>42</v>
      </c>
      <c r="M261" s="3" t="s">
        <v>41</v>
      </c>
    </row>
    <row r="262" spans="1:13" ht="161.1">
      <c r="A262" s="22" t="s">
        <v>12</v>
      </c>
      <c r="B262" s="3" t="s">
        <v>872</v>
      </c>
      <c r="C262" s="3" t="s">
        <v>873</v>
      </c>
      <c r="D262" s="3" t="s">
        <v>459</v>
      </c>
      <c r="E262" s="3" t="s">
        <v>46</v>
      </c>
      <c r="F262" s="3" t="s">
        <v>96</v>
      </c>
      <c r="G262" s="3" t="s">
        <v>328</v>
      </c>
      <c r="H262" s="3" t="s">
        <v>874</v>
      </c>
      <c r="I262" s="3" t="str">
        <f>HYPERLINK("http://www.jccm.es/sede/tramite/KVB","AYUDAS DEL FAMILIAR COLABORADOR QUE CAUSA ALTA EN EL RETA O EN LA MUTUALIDAD DEL COLEGIO PROFESIONAL CORRESPONDIENTE")</f>
        <v>AYUDAS DEL FAMILIAR COLABORADOR QUE CAUSA ALTA EN EL RETA O EN LA MUTUALIDAD DEL COLEGIO PROFESIONAL CORRESPONDIENTE</v>
      </c>
      <c r="J262" s="3" t="s">
        <v>41</v>
      </c>
      <c r="K262" s="3" t="s">
        <v>41</v>
      </c>
      <c r="L262" s="3" t="s">
        <v>42</v>
      </c>
      <c r="M262" s="3" t="s">
        <v>41</v>
      </c>
    </row>
    <row r="263" spans="1:13" ht="114.95">
      <c r="A263" s="22" t="s">
        <v>12</v>
      </c>
      <c r="B263" s="3" t="s">
        <v>875</v>
      </c>
      <c r="C263" s="3" t="s">
        <v>876</v>
      </c>
      <c r="D263" s="3" t="s">
        <v>459</v>
      </c>
      <c r="E263" s="3" t="s">
        <v>46</v>
      </c>
      <c r="F263" s="3" t="s">
        <v>96</v>
      </c>
      <c r="G263" s="3" t="s">
        <v>328</v>
      </c>
      <c r="H263" s="3" t="s">
        <v>877</v>
      </c>
      <c r="I263" s="3" t="str">
        <f>HYPERLINK("http://www.jccm.es/sede/tramite/KV7","AYUDAS PARA LA CONSOLIDACION DE PROYECTOS")</f>
        <v>AYUDAS PARA LA CONSOLIDACION DE PROYECTOS</v>
      </c>
      <c r="J263" s="3" t="s">
        <v>41</v>
      </c>
      <c r="K263" s="3" t="s">
        <v>41</v>
      </c>
      <c r="L263" s="3" t="s">
        <v>42</v>
      </c>
      <c r="M263" s="3" t="s">
        <v>41</v>
      </c>
    </row>
    <row r="264" spans="1:13" ht="161.1">
      <c r="A264" s="22" t="s">
        <v>12</v>
      </c>
      <c r="B264" s="3" t="s">
        <v>878</v>
      </c>
      <c r="C264" s="3" t="s">
        <v>879</v>
      </c>
      <c r="D264" s="3" t="s">
        <v>459</v>
      </c>
      <c r="E264" s="3" t="s">
        <v>46</v>
      </c>
      <c r="F264" s="3" t="s">
        <v>96</v>
      </c>
      <c r="G264" s="3" t="s">
        <v>328</v>
      </c>
      <c r="H264" s="3" t="s">
        <v>880</v>
      </c>
      <c r="I264" s="3" t="str">
        <f>HYPERLINK("http://www.jccm.es/sede/tramite/KV8","AYUDAS PARA FAVORECER LA CONCILIACION DE LA VIDA LABORAL, FAMILIAR Y PERSONAL DEL TITULAR DE LA ACTIVIDAD EMPRENDEDORA")</f>
        <v>AYUDAS PARA FAVORECER LA CONCILIACION DE LA VIDA LABORAL, FAMILIAR Y PERSONAL DEL TITULAR DE LA ACTIVIDAD EMPRENDEDORA</v>
      </c>
      <c r="J264" s="3" t="s">
        <v>41</v>
      </c>
      <c r="K264" s="3" t="s">
        <v>41</v>
      </c>
      <c r="L264" s="3" t="s">
        <v>42</v>
      </c>
      <c r="M264" s="3" t="s">
        <v>41</v>
      </c>
    </row>
    <row r="265" spans="1:13" ht="138">
      <c r="A265" s="22" t="s">
        <v>12</v>
      </c>
      <c r="B265" s="3" t="s">
        <v>881</v>
      </c>
      <c r="C265" s="3" t="s">
        <v>882</v>
      </c>
      <c r="D265" s="3" t="s">
        <v>459</v>
      </c>
      <c r="E265" s="3" t="s">
        <v>46</v>
      </c>
      <c r="F265" s="3" t="s">
        <v>96</v>
      </c>
      <c r="G265" s="3" t="s">
        <v>328</v>
      </c>
      <c r="H265" s="3" t="s">
        <v>883</v>
      </c>
      <c r="I265" s="3" t="str">
        <f>HYPERLINK("http://www.jccm.es/sede/tramite/KV9","AYUDAS DE FOMENTO AL RELEVO GENERACIONAL: SUBVENCION POR TRANSMISION DE LA ACTIVIDAD EMPRESARIAL")</f>
        <v>AYUDAS DE FOMENTO AL RELEVO GENERACIONAL: SUBVENCION POR TRANSMISION DE LA ACTIVIDAD EMPRESARIAL</v>
      </c>
      <c r="J265" s="3" t="s">
        <v>41</v>
      </c>
      <c r="K265" s="3" t="s">
        <v>41</v>
      </c>
      <c r="L265" s="3" t="s">
        <v>42</v>
      </c>
      <c r="M265" s="3" t="s">
        <v>41</v>
      </c>
    </row>
    <row r="266" spans="1:13" ht="207">
      <c r="A266" s="22" t="s">
        <v>12</v>
      </c>
      <c r="B266" s="3" t="s">
        <v>884</v>
      </c>
      <c r="C266" s="3" t="s">
        <v>885</v>
      </c>
      <c r="D266" s="3" t="s">
        <v>459</v>
      </c>
      <c r="E266" s="3" t="s">
        <v>46</v>
      </c>
      <c r="F266" s="3" t="s">
        <v>96</v>
      </c>
      <c r="G266" s="3" t="s">
        <v>328</v>
      </c>
      <c r="H266" s="3" t="s">
        <v>886</v>
      </c>
      <c r="I266" s="3" t="str">
        <f>HYPERLINK("http://www.jccm.es/sede/tramite/KVA","AYUDAS DE FOMENTO AL RELEVO GENERACIONAL: SUBVENCION POR CONTRATACION DE DURACION DETERMINADA DEL RELEVISTA POR EL TITULAR DE LA ACTIVIDAD EMPRESARIAL.")</f>
        <v>AYUDAS DE FOMENTO AL RELEVO GENERACIONAL: SUBVENCION POR CONTRATACION DE DURACION DETERMINADA DEL RELEVISTA POR EL TITULAR DE LA ACTIVIDAD EMPRESARIAL.</v>
      </c>
      <c r="J266" s="3" t="s">
        <v>41</v>
      </c>
      <c r="K266" s="3" t="s">
        <v>41</v>
      </c>
      <c r="L266" s="3" t="s">
        <v>42</v>
      </c>
      <c r="M266" s="3" t="s">
        <v>41</v>
      </c>
    </row>
    <row r="267" spans="1:13" ht="114.95">
      <c r="A267" s="22" t="s">
        <v>12</v>
      </c>
      <c r="B267" s="3" t="s">
        <v>887</v>
      </c>
      <c r="C267" s="3" t="s">
        <v>888</v>
      </c>
      <c r="D267" s="3" t="s">
        <v>459</v>
      </c>
      <c r="E267" s="3" t="s">
        <v>46</v>
      </c>
      <c r="F267" s="3" t="s">
        <v>96</v>
      </c>
      <c r="G267" s="3" t="s">
        <v>328</v>
      </c>
      <c r="H267" s="3" t="s">
        <v>889</v>
      </c>
      <c r="I267" s="3" t="str">
        <f>HYPERLINK("http://www.jccm.es/sede/tramite/KVC","AYUDAS POR LA PRIMERA CONTRATACION INDEFINIDA DE PERSONAS POR CUENTA AJENA")</f>
        <v>AYUDAS POR LA PRIMERA CONTRATACION INDEFINIDA DE PERSONAS POR CUENTA AJENA</v>
      </c>
      <c r="J267" s="3" t="s">
        <v>41</v>
      </c>
      <c r="K267" s="3" t="s">
        <v>41</v>
      </c>
      <c r="L267" s="3" t="s">
        <v>42</v>
      </c>
      <c r="M267" s="3" t="s">
        <v>41</v>
      </c>
    </row>
    <row r="268" spans="1:13" ht="126.6">
      <c r="A268" s="22" t="s">
        <v>12</v>
      </c>
      <c r="B268" s="3" t="s">
        <v>890</v>
      </c>
      <c r="C268" s="3" t="s">
        <v>891</v>
      </c>
      <c r="D268" s="3" t="s">
        <v>892</v>
      </c>
      <c r="E268" s="3" t="s">
        <v>46</v>
      </c>
      <c r="F268" s="3" t="s">
        <v>96</v>
      </c>
      <c r="G268" s="3" t="s">
        <v>97</v>
      </c>
      <c r="H268" s="3" t="s">
        <v>893</v>
      </c>
      <c r="I268" s="3" t="str">
        <f>HYPERLINK("http://www.jccm.es/sede/tramite/KW9","JUSTIFICACION DE LA ACTUACION PROGRAMA CONOCE CASTILLA-LA MANCHA")</f>
        <v>JUSTIFICACION DE LA ACTUACION PROGRAMA CONOCE CASTILLA-LA MANCHA</v>
      </c>
      <c r="J268" s="3" t="s">
        <v>41</v>
      </c>
      <c r="K268" s="3" t="s">
        <v>41</v>
      </c>
      <c r="L268" s="3" t="s">
        <v>42</v>
      </c>
      <c r="M268" s="3" t="s">
        <v>41</v>
      </c>
    </row>
    <row r="269" spans="1:13" ht="126.6">
      <c r="A269" s="22" t="s">
        <v>12</v>
      </c>
      <c r="B269" s="3" t="s">
        <v>894</v>
      </c>
      <c r="C269" s="3" t="s">
        <v>895</v>
      </c>
      <c r="D269" s="3" t="s">
        <v>36</v>
      </c>
      <c r="E269" s="3" t="s">
        <v>46</v>
      </c>
      <c r="F269" s="3" t="s">
        <v>96</v>
      </c>
      <c r="G269" s="3" t="s">
        <v>97</v>
      </c>
      <c r="H269" s="3" t="s">
        <v>896</v>
      </c>
      <c r="I269" s="3" t="str">
        <f>HYPERLINK("http://www.jccm.es/sede/tramite/KW8","AYUDA DEL PROGRAMA CONOCE CASTILLA-LA MANCHA")</f>
        <v>AYUDA DEL PROGRAMA CONOCE CASTILLA-LA MANCHA</v>
      </c>
      <c r="J269" s="3" t="s">
        <v>41</v>
      </c>
      <c r="K269" s="3" t="s">
        <v>41</v>
      </c>
      <c r="L269" s="3" t="s">
        <v>42</v>
      </c>
      <c r="M269" s="3" t="s">
        <v>41</v>
      </c>
    </row>
    <row r="270" spans="1:13" ht="149.44999999999999">
      <c r="A270" s="22" t="s">
        <v>12</v>
      </c>
      <c r="B270" s="3" t="s">
        <v>897</v>
      </c>
      <c r="C270" s="3" t="s">
        <v>898</v>
      </c>
      <c r="D270" s="3" t="s">
        <v>45</v>
      </c>
      <c r="E270" s="3" t="s">
        <v>46</v>
      </c>
      <c r="F270" s="3" t="s">
        <v>96</v>
      </c>
      <c r="G270" s="3" t="s">
        <v>97</v>
      </c>
      <c r="H270" s="3" t="s">
        <v>899</v>
      </c>
      <c r="I270" s="3" t="str">
        <f>HYPERLINK("http://www.jccm.es/sede/tramite/KWX","JUSTIFICACION DE LAS AYUDAS DESTINADAS A PROMOVER LA CELEBRACION DE FERIAS COMERCIALES EN CASTILLA-LA MANCHA.")</f>
        <v>JUSTIFICACION DE LAS AYUDAS DESTINADAS A PROMOVER LA CELEBRACION DE FERIAS COMERCIALES EN CASTILLA-LA MANCHA.</v>
      </c>
      <c r="J270" s="3" t="s">
        <v>41</v>
      </c>
      <c r="K270" s="3" t="s">
        <v>41</v>
      </c>
      <c r="L270" s="3" t="s">
        <v>42</v>
      </c>
      <c r="M270" s="3" t="s">
        <v>41</v>
      </c>
    </row>
    <row r="271" spans="1:13" ht="138">
      <c r="A271" s="22" t="s">
        <v>12</v>
      </c>
      <c r="B271" s="3" t="s">
        <v>900</v>
      </c>
      <c r="C271" s="3" t="s">
        <v>901</v>
      </c>
      <c r="D271" s="3" t="s">
        <v>442</v>
      </c>
      <c r="E271" s="3" t="s">
        <v>46</v>
      </c>
      <c r="F271" s="3" t="s">
        <v>96</v>
      </c>
      <c r="G271" s="3" t="s">
        <v>328</v>
      </c>
      <c r="H271" s="3" t="s">
        <v>902</v>
      </c>
      <c r="I271" s="3" t="str">
        <f>HYPERLINK("http://www.jccm.es/sede/tramite/KZ9","JUSTIFICACION DE LAS SUBVENCIONES DE CARACTER INCENTIVADOR PARA PROYECTOS DINAMIZADORES DEL EMPLEO LOCAL")</f>
        <v>JUSTIFICACION DE LAS SUBVENCIONES DE CARACTER INCENTIVADOR PARA PROYECTOS DINAMIZADORES DEL EMPLEO LOCAL</v>
      </c>
      <c r="J271" s="3" t="s">
        <v>41</v>
      </c>
      <c r="K271" s="3" t="s">
        <v>41</v>
      </c>
      <c r="L271" s="3" t="s">
        <v>42</v>
      </c>
      <c r="M271" s="3" t="s">
        <v>41</v>
      </c>
    </row>
    <row r="272" spans="1:13" ht="114.95">
      <c r="A272" s="22" t="s">
        <v>12</v>
      </c>
      <c r="B272" s="3" t="s">
        <v>903</v>
      </c>
      <c r="C272" s="3" t="s">
        <v>904</v>
      </c>
      <c r="D272" s="3" t="s">
        <v>442</v>
      </c>
      <c r="E272" s="3" t="s">
        <v>46</v>
      </c>
      <c r="F272" s="3" t="s">
        <v>96</v>
      </c>
      <c r="G272" s="3" t="s">
        <v>328</v>
      </c>
      <c r="H272" s="3" t="s">
        <v>905</v>
      </c>
      <c r="I272" s="3" t="str">
        <f>HYPERLINK("http://www.jccm.es/sede/tramite/KZA","SUBVENCIONES DE CARACTER INCENTIVADOR PARA PROYECTOS DINAMIZADORES DEL EMPLEO LOCAL")</f>
        <v>SUBVENCIONES DE CARACTER INCENTIVADOR PARA PROYECTOS DINAMIZADORES DEL EMPLEO LOCAL</v>
      </c>
      <c r="J272" s="3" t="s">
        <v>41</v>
      </c>
      <c r="K272" s="3" t="s">
        <v>41</v>
      </c>
      <c r="L272" s="3" t="s">
        <v>42</v>
      </c>
      <c r="M272" s="3" t="s">
        <v>41</v>
      </c>
    </row>
    <row r="273" spans="1:13" ht="264.60000000000002">
      <c r="A273" s="22" t="s">
        <v>12</v>
      </c>
      <c r="B273" s="3" t="s">
        <v>906</v>
      </c>
      <c r="C273" s="3" t="s">
        <v>907</v>
      </c>
      <c r="D273" s="3" t="s">
        <v>36</v>
      </c>
      <c r="E273" s="3" t="s">
        <v>46</v>
      </c>
      <c r="F273" s="3" t="s">
        <v>96</v>
      </c>
      <c r="G273" s="3" t="s">
        <v>113</v>
      </c>
      <c r="H273" s="3" t="s">
        <v>908</v>
      </c>
      <c r="I273" s="3" t="str">
        <f>HYPERLINK("http://www.jccm.es/sede/tramite/L1W","SUBVENCIONES DESTINADAS A MUNICIPIOS DE CASTILLA- LA MANCHA PARA EL DESARROLLO PROYECTOS EN MATERIA DE SEGURIDAD Y SALUD LABORAL. PROGRAMA I: ACTIVIDADES DE SENSIBILIZACION, DIFUSION Y DIVULGAC.")</f>
        <v>SUBVENCIONES DESTINADAS A MUNICIPIOS DE CASTILLA- LA MANCHA PARA EL DESARROLLO PROYECTOS EN MATERIA DE SEGURIDAD Y SALUD LABORAL. PROGRAMA I: ACTIVIDADES DE SENSIBILIZACION, DIFUSION Y DIVULGAC.</v>
      </c>
      <c r="J273" s="3" t="s">
        <v>41</v>
      </c>
      <c r="K273" s="3" t="s">
        <v>41</v>
      </c>
      <c r="L273" s="3" t="s">
        <v>42</v>
      </c>
      <c r="M273" s="3" t="s">
        <v>41</v>
      </c>
    </row>
    <row r="274" spans="1:13" ht="218.45">
      <c r="A274" s="22" t="s">
        <v>12</v>
      </c>
      <c r="B274" s="3" t="s">
        <v>909</v>
      </c>
      <c r="C274" s="3" t="s">
        <v>910</v>
      </c>
      <c r="D274" s="3" t="s">
        <v>36</v>
      </c>
      <c r="E274" s="3" t="s">
        <v>46</v>
      </c>
      <c r="F274" s="3" t="s">
        <v>96</v>
      </c>
      <c r="G274" s="3" t="s">
        <v>113</v>
      </c>
      <c r="H274" s="3" t="s">
        <v>911</v>
      </c>
      <c r="I274" s="3" t="str">
        <f>HYPERLINK("http://www.jccm.es/sede/tramite/L1X","MEMORIA JUSTIFICATIVA DE LAS INVERSIONES DESTINADAS A DESARROLLAR PROYECTOS EN MATERIA DE SEGURIDAD Y SALUD LABORAL EN MUNICIPIOS DE CASTILLA-LA MANCHA. PROGRAMA I.")</f>
        <v>MEMORIA JUSTIFICATIVA DE LAS INVERSIONES DESTINADAS A DESARROLLAR PROYECTOS EN MATERIA DE SEGURIDAD Y SALUD LABORAL EN MUNICIPIOS DE CASTILLA-LA MANCHA. PROGRAMA I.</v>
      </c>
      <c r="J274" s="3" t="s">
        <v>41</v>
      </c>
      <c r="K274" s="3" t="s">
        <v>41</v>
      </c>
      <c r="L274" s="3" t="s">
        <v>42</v>
      </c>
      <c r="M274" s="3" t="s">
        <v>41</v>
      </c>
    </row>
    <row r="275" spans="1:13" ht="218.45">
      <c r="A275" s="22" t="s">
        <v>12</v>
      </c>
      <c r="B275" s="3" t="s">
        <v>912</v>
      </c>
      <c r="C275" s="3" t="s">
        <v>913</v>
      </c>
      <c r="D275" s="3" t="s">
        <v>36</v>
      </c>
      <c r="E275" s="3" t="s">
        <v>46</v>
      </c>
      <c r="F275" s="3" t="s">
        <v>96</v>
      </c>
      <c r="G275" s="3" t="s">
        <v>113</v>
      </c>
      <c r="H275" s="3" t="s">
        <v>914</v>
      </c>
      <c r="I275" s="3" t="str">
        <f>HYPERLINK("http://www.jccm.es/sede/tramite/L23","MEMORIA JUSTIFICATIVA DE LAS INVERSIONES DESTINADAS A DESARROLLAR PROYECTOS EN MATERIA DE SEGURIDAD Y SALUD LABORAL EN MUNICIPIOS DE CASTILLA-LA MANCHA.   PROGRAMA II")</f>
        <v>MEMORIA JUSTIFICATIVA DE LAS INVERSIONES DESTINADAS A DESARROLLAR PROYECTOS EN MATERIA DE SEGURIDAD Y SALUD LABORAL EN MUNICIPIOS DE CASTILLA-LA MANCHA.   PROGRAMA II</v>
      </c>
      <c r="J275" s="3" t="s">
        <v>41</v>
      </c>
      <c r="K275" s="3" t="s">
        <v>41</v>
      </c>
      <c r="L275" s="3" t="s">
        <v>42</v>
      </c>
      <c r="M275" s="3" t="s">
        <v>41</v>
      </c>
    </row>
    <row r="276" spans="1:13" ht="252.95">
      <c r="A276" s="22" t="s">
        <v>12</v>
      </c>
      <c r="B276" s="3" t="s">
        <v>915</v>
      </c>
      <c r="C276" s="3" t="s">
        <v>916</v>
      </c>
      <c r="D276" s="3" t="s">
        <v>36</v>
      </c>
      <c r="E276" s="3" t="s">
        <v>46</v>
      </c>
      <c r="F276" s="3" t="s">
        <v>96</v>
      </c>
      <c r="G276" s="3" t="s">
        <v>113</v>
      </c>
      <c r="H276" s="3" t="s">
        <v>917</v>
      </c>
      <c r="I276" s="3" t="str">
        <f>HYPERLINK("http://www.jccm.es/sede/tramite/L22","SUBVENCIONES DESTINADAS A MUNICIPIOS DE CASTILLA- LA MANCHA PARA EL DESARROLLO PROYECTOS EN MATERIA DE SEGURIDAD Y SALUD LABORAL. PROGRAMA II:INVERSIONES MEJORA CONDICIONES SEGURIDAD")</f>
        <v>SUBVENCIONES DESTINADAS A MUNICIPIOS DE CASTILLA- LA MANCHA PARA EL DESARROLLO PROYECTOS EN MATERIA DE SEGURIDAD Y SALUD LABORAL. PROGRAMA II:INVERSIONES MEJORA CONDICIONES SEGURIDAD</v>
      </c>
      <c r="J276" s="3" t="s">
        <v>41</v>
      </c>
      <c r="K276" s="3" t="s">
        <v>41</v>
      </c>
      <c r="L276" s="3" t="s">
        <v>42</v>
      </c>
      <c r="M276" s="3" t="s">
        <v>41</v>
      </c>
    </row>
    <row r="277" spans="1:13" ht="138">
      <c r="A277" s="22" t="s">
        <v>12</v>
      </c>
      <c r="B277" s="3" t="s">
        <v>918</v>
      </c>
      <c r="C277" s="3" t="s">
        <v>919</v>
      </c>
      <c r="D277" s="3" t="s">
        <v>45</v>
      </c>
      <c r="E277" s="3" t="s">
        <v>46</v>
      </c>
      <c r="F277" s="3" t="s">
        <v>96</v>
      </c>
      <c r="G277" s="3" t="s">
        <v>460</v>
      </c>
      <c r="H277" s="3" t="s">
        <v>920</v>
      </c>
      <c r="I277" s="3" t="str">
        <f>HYPERLINK("http://www.jccm.es/sede/tramite/L2U","AYUDA NO DINERARIA DEL PROGRAMA DE ASESORAMIENTO A PYMES PARA LA TRANSFORMACION DIGITAL")</f>
        <v>AYUDA NO DINERARIA DEL PROGRAMA DE ASESORAMIENTO A PYMES PARA LA TRANSFORMACION DIGITAL</v>
      </c>
      <c r="J277" s="3" t="s">
        <v>41</v>
      </c>
      <c r="K277" s="3" t="s">
        <v>41</v>
      </c>
      <c r="L277" s="3" t="s">
        <v>42</v>
      </c>
      <c r="M277" s="3" t="s">
        <v>41</v>
      </c>
    </row>
    <row r="278" spans="1:13" ht="161.1">
      <c r="A278" s="22" t="s">
        <v>12</v>
      </c>
      <c r="B278" s="3" t="s">
        <v>921</v>
      </c>
      <c r="C278" s="3" t="s">
        <v>922</v>
      </c>
      <c r="D278" s="3" t="s">
        <v>45</v>
      </c>
      <c r="E278" s="3" t="s">
        <v>46</v>
      </c>
      <c r="F278" s="3" t="s">
        <v>96</v>
      </c>
      <c r="G278" s="3" t="s">
        <v>460</v>
      </c>
      <c r="H278" s="3" t="s">
        <v>923</v>
      </c>
      <c r="I278" s="3" t="str">
        <f>HYPERLINK("http://www.jccm.es/sede/tramite/L2V","JUSTIFICACION AYUDA NO DINERARIA DEL PROGRAMA DE ASESORAMIENTO A PYMES PARA LA TRANSFORMACION DIGITAL")</f>
        <v>JUSTIFICACION AYUDA NO DINERARIA DEL PROGRAMA DE ASESORAMIENTO A PYMES PARA LA TRANSFORMACION DIGITAL</v>
      </c>
      <c r="J278" s="3" t="s">
        <v>41</v>
      </c>
      <c r="K278" s="3" t="s">
        <v>41</v>
      </c>
      <c r="L278" s="3" t="s">
        <v>42</v>
      </c>
      <c r="M278" s="3" t="s">
        <v>41</v>
      </c>
    </row>
    <row r="279" spans="1:13" ht="126.6">
      <c r="A279" s="22" t="s">
        <v>12</v>
      </c>
      <c r="B279" s="3" t="s">
        <v>924</v>
      </c>
      <c r="C279" s="3" t="s">
        <v>925</v>
      </c>
      <c r="D279" s="3" t="s">
        <v>926</v>
      </c>
      <c r="E279" s="3" t="s">
        <v>46</v>
      </c>
      <c r="F279" s="3" t="s">
        <v>96</v>
      </c>
      <c r="G279" s="3" t="s">
        <v>130</v>
      </c>
      <c r="H279" s="3" t="s">
        <v>927</v>
      </c>
      <c r="I279" s="3" t="str">
        <f>HYPERLINK("http://www.jccm.es/sede/tramite/L51","JUSTIFICACION  DE SUBVENCIONES DE PROGRAMAS PARA LA RECUALIFICACION Y EL RECICLAJE PROFESIONAL")</f>
        <v>JUSTIFICACION  DE SUBVENCIONES DE PROGRAMAS PARA LA RECUALIFICACION Y EL RECICLAJE PROFESIONAL</v>
      </c>
      <c r="J279" s="3" t="s">
        <v>41</v>
      </c>
      <c r="K279" s="3" t="s">
        <v>41</v>
      </c>
      <c r="L279" s="3" t="s">
        <v>42</v>
      </c>
      <c r="M279" s="3" t="s">
        <v>41</v>
      </c>
    </row>
    <row r="280" spans="1:13" ht="126.6">
      <c r="A280" s="22" t="s">
        <v>12</v>
      </c>
      <c r="B280" s="3" t="s">
        <v>928</v>
      </c>
      <c r="C280" s="3" t="s">
        <v>929</v>
      </c>
      <c r="D280" s="3" t="s">
        <v>926</v>
      </c>
      <c r="E280" s="3" t="s">
        <v>46</v>
      </c>
      <c r="F280" s="3" t="s">
        <v>96</v>
      </c>
      <c r="G280" s="3" t="s">
        <v>130</v>
      </c>
      <c r="H280" s="3" t="s">
        <v>930</v>
      </c>
      <c r="I280" s="3" t="str">
        <f>HYPERLINK("http://www.jccm.es/sede/tramite/L50","CONVOCATORIA DE PROGRAMAS PARA LA RECUALIFICACION Y EL RECICLAJE PROFESIONAL.")</f>
        <v>CONVOCATORIA DE PROGRAMAS PARA LA RECUALIFICACION Y EL RECICLAJE PROFESIONAL.</v>
      </c>
      <c r="J280" s="3" t="s">
        <v>41</v>
      </c>
      <c r="K280" s="3" t="s">
        <v>41</v>
      </c>
      <c r="L280" s="3" t="s">
        <v>42</v>
      </c>
      <c r="M280" s="3" t="s">
        <v>41</v>
      </c>
    </row>
    <row r="281" spans="1:13" ht="287.45">
      <c r="A281" s="22" t="s">
        <v>12</v>
      </c>
      <c r="B281" s="3" t="s">
        <v>931</v>
      </c>
      <c r="C281" s="3" t="s">
        <v>932</v>
      </c>
      <c r="D281" s="3" t="s">
        <v>933</v>
      </c>
      <c r="E281" s="3" t="s">
        <v>46</v>
      </c>
      <c r="F281" s="3" t="s">
        <v>96</v>
      </c>
      <c r="G281" s="3" t="s">
        <v>460</v>
      </c>
      <c r="H281" s="3" t="s">
        <v>934</v>
      </c>
      <c r="I281" s="3" t="str">
        <f>HYPERLINK("http://www.jccm.es/sede/tramite/L7P","SOLICITUD DE SUBVENCIONES PARA EL PROGRAMA INICIATIVA CRECE EMPRESAS PARA LA ELABORACION DE PLANES ESTRATEGICOS DE CRECIMIENTO EMPRESARIAL Y PROTOCOLOS FAMILIARES")</f>
        <v>SOLICITUD DE SUBVENCIONES PARA EL PROGRAMA INICIATIVA CRECE EMPRESAS PARA LA ELABORACION DE PLANES ESTRATEGICOS DE CRECIMIENTO EMPRESARIAL Y PROTOCOLOS FAMILIARES</v>
      </c>
      <c r="J281" s="3" t="s">
        <v>41</v>
      </c>
      <c r="K281" s="3" t="s">
        <v>41</v>
      </c>
      <c r="L281" s="3" t="s">
        <v>42</v>
      </c>
      <c r="M281" s="3" t="s">
        <v>41</v>
      </c>
    </row>
    <row r="282" spans="1:13" ht="287.45">
      <c r="A282" s="22" t="s">
        <v>12</v>
      </c>
      <c r="B282" s="3" t="s">
        <v>935</v>
      </c>
      <c r="C282" s="3" t="s">
        <v>936</v>
      </c>
      <c r="D282" s="3" t="s">
        <v>933</v>
      </c>
      <c r="E282" s="3" t="s">
        <v>46</v>
      </c>
      <c r="F282" s="3" t="s">
        <v>96</v>
      </c>
      <c r="G282" s="3" t="s">
        <v>460</v>
      </c>
      <c r="H282" s="3" t="s">
        <v>937</v>
      </c>
      <c r="I282" s="3" t="str">
        <f>HYPERLINK("http://www.jccm.es/sede/tramite/L7Q","SOLICITUD DE ABONO DE LA SUBVENCION DEL PROGRAMA INICIATIVA CRECE EMPRESAS PARA LA ELABORACION DE PLANES ESTRATEGICOS DE CRECIMIENTO EMPRESARIAL Y PROTOCOLOS FAMILIARES.")</f>
        <v>SOLICITUD DE ABONO DE LA SUBVENCION DEL PROGRAMA INICIATIVA CRECE EMPRESAS PARA LA ELABORACION DE PLANES ESTRATEGICOS DE CRECIMIENTO EMPRESARIAL Y PROTOCOLOS FAMILIARES.</v>
      </c>
      <c r="J282" s="3" t="s">
        <v>41</v>
      </c>
      <c r="K282" s="3" t="s">
        <v>41</v>
      </c>
      <c r="L282" s="3" t="s">
        <v>42</v>
      </c>
      <c r="M282" s="3" t="s">
        <v>41</v>
      </c>
    </row>
    <row r="283" spans="1:13" ht="230.1">
      <c r="A283" s="22" t="s">
        <v>12</v>
      </c>
      <c r="B283" s="3" t="s">
        <v>938</v>
      </c>
      <c r="C283" s="3" t="s">
        <v>939</v>
      </c>
      <c r="D283" s="3" t="s">
        <v>232</v>
      </c>
      <c r="E283" s="3" t="s">
        <v>46</v>
      </c>
      <c r="F283" s="3" t="s">
        <v>96</v>
      </c>
      <c r="G283" s="3" t="s">
        <v>130</v>
      </c>
      <c r="H283" s="3" t="s">
        <v>940</v>
      </c>
      <c r="I283" s="3" t="str">
        <f>HYPERLINK("http://www.jccm.es/sede/tramite/LJ8","JUSTIFICACION (CUENTA JUSTIFICATIVA ),DE SUBVENCIONES  PARA LA REALIZACION DE ACCIONES DE FORMACION PROFESIONAL PARA EL EMPLEO (MODALIDAD II, CON COMPROMISO DE CONTRATACION)")</f>
        <v>JUSTIFICACION (CUENTA JUSTIFICATIVA ),DE SUBVENCIONES  PARA LA REALIZACION DE ACCIONES DE FORMACION PROFESIONAL PARA EL EMPLEO (MODALIDAD II, CON COMPROMISO DE CONTRATACION)</v>
      </c>
      <c r="J283" s="3" t="s">
        <v>41</v>
      </c>
      <c r="K283" s="3" t="s">
        <v>41</v>
      </c>
      <c r="L283" s="3" t="s">
        <v>42</v>
      </c>
      <c r="M283" s="3" t="s">
        <v>41</v>
      </c>
    </row>
    <row r="284" spans="1:13" ht="126.6">
      <c r="A284" s="22" t="s">
        <v>12</v>
      </c>
      <c r="B284" s="3" t="s">
        <v>941</v>
      </c>
      <c r="C284" s="3" t="s">
        <v>942</v>
      </c>
      <c r="D284" s="3" t="s">
        <v>70</v>
      </c>
      <c r="E284" s="3" t="s">
        <v>46</v>
      </c>
      <c r="F284" s="3" t="s">
        <v>96</v>
      </c>
      <c r="G284" s="3" t="s">
        <v>130</v>
      </c>
      <c r="H284" s="3" t="s">
        <v>943</v>
      </c>
      <c r="I284" s="3" t="str">
        <f>HYPERLINK("http://www.jccm.es/sede/tramite/L8A","SUBVENCIONES PARA LA REALIZACION DE ACCIONES DE FORMACION PROFESIONAL PARA EL EMPLEO, DIRIGIDAS A PERSONAS TRABAJADORAS DESEMPLEADAS (MODALIDAD II), CON COMPROMISO DE CONTRATACION.")</f>
        <v>SUBVENCIONES PARA LA REALIZACION DE ACCIONES DE FORMACION PROFESIONAL PARA EL EMPLEO, DIRIGIDAS A PERSONAS TRABAJADORAS DESEMPLEADAS (MODALIDAD II), CON COMPROMISO DE CONTRATACION.</v>
      </c>
      <c r="J284" s="3" t="s">
        <v>41</v>
      </c>
      <c r="K284" s="3" t="s">
        <v>41</v>
      </c>
      <c r="L284" s="3" t="s">
        <v>42</v>
      </c>
      <c r="M284" s="3" t="s">
        <v>41</v>
      </c>
    </row>
    <row r="285" spans="1:13" ht="114.95">
      <c r="A285" s="22" t="s">
        <v>12</v>
      </c>
      <c r="B285" s="3" t="s">
        <v>944</v>
      </c>
      <c r="C285" s="3" t="s">
        <v>945</v>
      </c>
      <c r="D285" s="3" t="s">
        <v>70</v>
      </c>
      <c r="E285" s="3" t="s">
        <v>46</v>
      </c>
      <c r="F285" s="3" t="s">
        <v>96</v>
      </c>
      <c r="G285" s="3" t="s">
        <v>328</v>
      </c>
      <c r="H285" s="3" t="s">
        <v>946</v>
      </c>
      <c r="I285" s="3" t="str">
        <f>HYPERLINK("http://www.jccm.es/sede/tramite/L8M","JUSTIFICACION AYUDA DE EMPLEO CON APOYO.")</f>
        <v>JUSTIFICACION AYUDA DE EMPLEO CON APOYO.</v>
      </c>
      <c r="J285" s="3" t="s">
        <v>41</v>
      </c>
      <c r="K285" s="3" t="s">
        <v>41</v>
      </c>
      <c r="L285" s="3" t="s">
        <v>42</v>
      </c>
      <c r="M285" s="3" t="s">
        <v>41</v>
      </c>
    </row>
    <row r="286" spans="1:13" ht="114.95">
      <c r="A286" s="22" t="s">
        <v>12</v>
      </c>
      <c r="B286" s="3" t="s">
        <v>947</v>
      </c>
      <c r="C286" s="3" t="s">
        <v>948</v>
      </c>
      <c r="D286" s="3" t="s">
        <v>70</v>
      </c>
      <c r="E286" s="3" t="s">
        <v>46</v>
      </c>
      <c r="F286" s="3" t="s">
        <v>96</v>
      </c>
      <c r="G286" s="3" t="s">
        <v>328</v>
      </c>
      <c r="H286" s="3" t="s">
        <v>949</v>
      </c>
      <c r="I286" s="3" t="str">
        <f>HYPERLINK("http://www.jccm.es/sede/tramite/L8L","SOLICITUD DE AYUDA EMPLEO CON APOYO.")</f>
        <v>SOLICITUD DE AYUDA EMPLEO CON APOYO.</v>
      </c>
      <c r="J286" s="3" t="s">
        <v>41</v>
      </c>
      <c r="K286" s="3" t="s">
        <v>41</v>
      </c>
      <c r="L286" s="3" t="s">
        <v>42</v>
      </c>
      <c r="M286" s="3" t="s">
        <v>41</v>
      </c>
    </row>
    <row r="287" spans="1:13" ht="138">
      <c r="A287" s="22" t="s">
        <v>12</v>
      </c>
      <c r="B287" s="3" t="s">
        <v>950</v>
      </c>
      <c r="C287" s="3" t="s">
        <v>951</v>
      </c>
      <c r="D287" s="3" t="s">
        <v>327</v>
      </c>
      <c r="E287" s="3" t="s">
        <v>46</v>
      </c>
      <c r="F287" s="3" t="s">
        <v>96</v>
      </c>
      <c r="G287" s="3" t="s">
        <v>120</v>
      </c>
      <c r="H287" s="3" t="s">
        <v>952</v>
      </c>
      <c r="I287" s="3" t="str">
        <f>HYPERLINK("http://www.jccm.es/sede/tramite/LBF","JUSTIFICACION DE SUBVENCIONES PARA LA MEJORA DEL DIALOGO SOCIAL Y LA NEGOCIACION COLECTIVA EN CASTILLA-LA MANCHA")</f>
        <v>JUSTIFICACION DE SUBVENCIONES PARA LA MEJORA DEL DIALOGO SOCIAL Y LA NEGOCIACION COLECTIVA EN CASTILLA-LA MANCHA</v>
      </c>
      <c r="J287" s="3" t="s">
        <v>41</v>
      </c>
      <c r="K287" s="3" t="s">
        <v>41</v>
      </c>
      <c r="L287" s="3" t="s">
        <v>42</v>
      </c>
      <c r="M287" s="3" t="s">
        <v>41</v>
      </c>
    </row>
    <row r="288" spans="1:13" ht="138">
      <c r="A288" s="22" t="s">
        <v>12</v>
      </c>
      <c r="B288" s="3" t="s">
        <v>953</v>
      </c>
      <c r="C288" s="3" t="s">
        <v>954</v>
      </c>
      <c r="D288" s="3" t="s">
        <v>327</v>
      </c>
      <c r="E288" s="3" t="s">
        <v>46</v>
      </c>
      <c r="F288" s="3" t="s">
        <v>96</v>
      </c>
      <c r="G288" s="3" t="s">
        <v>120</v>
      </c>
      <c r="H288" s="3" t="s">
        <v>955</v>
      </c>
      <c r="I288" s="3" t="str">
        <f>HYPERLINK("http://www.jccm.es/sede/tramite/LBE","SOLICITUD DE SUBVENCIONES PARA LA MEJORA DEL DIALOGO SOCIAL Y LA NEGOCIACION COLECTIVA EN CASTILLA-LA MANCHA.")</f>
        <v>SOLICITUD DE SUBVENCIONES PARA LA MEJORA DEL DIALOGO SOCIAL Y LA NEGOCIACION COLECTIVA EN CASTILLA-LA MANCHA.</v>
      </c>
      <c r="J288" s="3" t="s">
        <v>41</v>
      </c>
      <c r="K288" s="3" t="s">
        <v>41</v>
      </c>
      <c r="L288" s="3" t="s">
        <v>42</v>
      </c>
      <c r="M288" s="3" t="s">
        <v>41</v>
      </c>
    </row>
    <row r="289" spans="1:13" ht="195.6">
      <c r="A289" s="22" t="s">
        <v>12</v>
      </c>
      <c r="B289" s="3" t="s">
        <v>956</v>
      </c>
      <c r="C289" s="3" t="s">
        <v>957</v>
      </c>
      <c r="D289" s="3" t="s">
        <v>45</v>
      </c>
      <c r="E289" s="3" t="s">
        <v>46</v>
      </c>
      <c r="F289" s="3" t="s">
        <v>96</v>
      </c>
      <c r="G289" s="3" t="s">
        <v>97</v>
      </c>
      <c r="H289" s="3" t="s">
        <v>958</v>
      </c>
      <c r="I289" s="3" t="str">
        <f>HYPERLINK("http://www.jccm.es/sede/tramite/LFT","SOLICITUD AYUDAS DE APOYO A LA MODERNIZACION, INNOVACION E INCREMENTO DE LA COMPETITIVIDAD DEL SECTOR TURISTICO DE CASTILLA-LA MANCHA POR COVID 19")</f>
        <v>SOLICITUD AYUDAS DE APOYO A LA MODERNIZACION, INNOVACION E INCREMENTO DE LA COMPETITIVIDAD DEL SECTOR TURISTICO DE CASTILLA-LA MANCHA POR COVID 19</v>
      </c>
      <c r="J289" s="3" t="s">
        <v>41</v>
      </c>
      <c r="K289" s="3" t="s">
        <v>41</v>
      </c>
      <c r="L289" s="3" t="s">
        <v>42</v>
      </c>
      <c r="M289" s="3" t="s">
        <v>41</v>
      </c>
    </row>
    <row r="290" spans="1:13" ht="207">
      <c r="A290" s="22" t="s">
        <v>12</v>
      </c>
      <c r="B290" s="3" t="s">
        <v>959</v>
      </c>
      <c r="C290" s="3" t="s">
        <v>960</v>
      </c>
      <c r="D290" s="3" t="s">
        <v>45</v>
      </c>
      <c r="E290" s="3" t="s">
        <v>46</v>
      </c>
      <c r="F290" s="3" t="s">
        <v>96</v>
      </c>
      <c r="G290" s="3" t="s">
        <v>97</v>
      </c>
      <c r="H290" s="3" t="s">
        <v>961</v>
      </c>
      <c r="I290" s="3" t="str">
        <f>HYPERLINK("http://www.jccm.es/sede/tramite/LFU","JUSTIFICACION AYUDAS DE APOYO A LA MODERNIZACION, INNOVACION E INCREMENTO DE LA COMPETITIVIDAD DEL SECTOR TURISTICO DE CASTILLA-LA MANCHA POR COVID 19")</f>
        <v>JUSTIFICACION AYUDAS DE APOYO A LA MODERNIZACION, INNOVACION E INCREMENTO DE LA COMPETITIVIDAD DEL SECTOR TURISTICO DE CASTILLA-LA MANCHA POR COVID 19</v>
      </c>
      <c r="J290" s="3" t="s">
        <v>41</v>
      </c>
      <c r="K290" s="3" t="s">
        <v>41</v>
      </c>
      <c r="L290" s="3" t="s">
        <v>42</v>
      </c>
      <c r="M290" s="3" t="s">
        <v>41</v>
      </c>
    </row>
    <row r="291" spans="1:13" ht="172.5">
      <c r="A291" s="22" t="s">
        <v>12</v>
      </c>
      <c r="B291" s="3" t="s">
        <v>962</v>
      </c>
      <c r="C291" s="3" t="s">
        <v>963</v>
      </c>
      <c r="D291" s="3" t="s">
        <v>62</v>
      </c>
      <c r="E291" s="3" t="s">
        <v>46</v>
      </c>
      <c r="F291" s="3" t="s">
        <v>96</v>
      </c>
      <c r="G291" s="3" t="s">
        <v>97</v>
      </c>
      <c r="H291" s="3" t="s">
        <v>964</v>
      </c>
      <c r="I291" s="3" t="str">
        <f>HYPERLINK("http://www.jccm.es/sede/tramite/LGR","SOLICITUD DE SUBVENCIONES PARA EL ESTIMULO AL CONSUMO DE SERVICIOS TURISTICOS CON MOTIVO DEL LA CRISIS SANITARIA DEL COVID-19")</f>
        <v>SOLICITUD DE SUBVENCIONES PARA EL ESTIMULO AL CONSUMO DE SERVICIOS TURISTICOS CON MOTIVO DEL LA CRISIS SANITARIA DEL COVID-19</v>
      </c>
      <c r="J291" s="3" t="s">
        <v>41</v>
      </c>
      <c r="K291" s="3" t="s">
        <v>41</v>
      </c>
      <c r="L291" s="3" t="s">
        <v>42</v>
      </c>
      <c r="M291" s="3" t="s">
        <v>41</v>
      </c>
    </row>
    <row r="292" spans="1:13" ht="172.5">
      <c r="A292" s="22" t="s">
        <v>12</v>
      </c>
      <c r="B292" s="3" t="s">
        <v>965</v>
      </c>
      <c r="C292" s="3" t="s">
        <v>966</v>
      </c>
      <c r="D292" s="3" t="s">
        <v>62</v>
      </c>
      <c r="E292" s="3" t="s">
        <v>46</v>
      </c>
      <c r="F292" s="3" t="s">
        <v>96</v>
      </c>
      <c r="G292" s="3" t="s">
        <v>97</v>
      </c>
      <c r="H292" s="3" t="s">
        <v>967</v>
      </c>
      <c r="I292" s="3" t="str">
        <f>HYPERLINK("http://www.jccm.es/sede/tramite/LGS","JUSTIFICACION DE SUBVENCIONES PARA EL ESTIMULO AL CONSUMO DE SERVICIOS TURISTICOS CON MOTIVO DEL LA CRISIS SANITARIA DEL COVID-19")</f>
        <v>JUSTIFICACION DE SUBVENCIONES PARA EL ESTIMULO AL CONSUMO DE SERVICIOS TURISTICOS CON MOTIVO DEL LA CRISIS SANITARIA DEL COVID-19</v>
      </c>
      <c r="J292" s="3" t="s">
        <v>41</v>
      </c>
      <c r="K292" s="3" t="s">
        <v>41</v>
      </c>
      <c r="L292" s="3" t="s">
        <v>42</v>
      </c>
      <c r="M292" s="3" t="s">
        <v>41</v>
      </c>
    </row>
    <row r="293" spans="1:13" ht="183.95">
      <c r="A293" s="22" t="s">
        <v>12</v>
      </c>
      <c r="B293" s="3" t="s">
        <v>968</v>
      </c>
      <c r="C293" s="3" t="s">
        <v>969</v>
      </c>
      <c r="D293" s="3" t="s">
        <v>45</v>
      </c>
      <c r="E293" s="3" t="s">
        <v>46</v>
      </c>
      <c r="F293" s="3" t="s">
        <v>96</v>
      </c>
      <c r="G293" s="3" t="s">
        <v>113</v>
      </c>
      <c r="H293" s="3" t="s">
        <v>970</v>
      </c>
      <c r="I293" s="3" t="str">
        <f>HYPERLINK("http://www.jccm.es/sede/tramite/LI1","SOLICITUD DE AYUDA. DECRETO PARA PROMOVER EL EJERCICIO SEGURO DE LA ACTIVIDAD ECONOMICA DE LAS PERSONAS TRABAJADORAS AUTONOMAS.")</f>
        <v>SOLICITUD DE AYUDA. DECRETO PARA PROMOVER EL EJERCICIO SEGURO DE LA ACTIVIDAD ECONOMICA DE LAS PERSONAS TRABAJADORAS AUTONOMAS.</v>
      </c>
      <c r="J293" s="3" t="s">
        <v>41</v>
      </c>
      <c r="K293" s="3" t="s">
        <v>41</v>
      </c>
      <c r="L293" s="3" t="s">
        <v>42</v>
      </c>
      <c r="M293" s="3" t="s">
        <v>41</v>
      </c>
    </row>
    <row r="294" spans="1:13" ht="218.45">
      <c r="A294" s="22" t="s">
        <v>12</v>
      </c>
      <c r="B294" s="3" t="s">
        <v>971</v>
      </c>
      <c r="C294" s="3" t="s">
        <v>972</v>
      </c>
      <c r="D294" s="3" t="s">
        <v>700</v>
      </c>
      <c r="E294" s="3" t="s">
        <v>46</v>
      </c>
      <c r="F294" s="3" t="s">
        <v>96</v>
      </c>
      <c r="G294" s="3" t="s">
        <v>97</v>
      </c>
      <c r="H294" s="3" t="s">
        <v>973</v>
      </c>
      <c r="I294" s="3" t="str">
        <f>HYPERLINK("http://www.jccm.es/sede/tramite/LIC","JUSTIFICACION DE SUBVENCIONES PARA EL ESTIMULO AL CONSUMO DE SERVICIOS TURISTICOS Y ALOJAMIENTOS EXTRAHOTELEROS CON MOTIVO DEL LA CRISIS SANITARIA DEL COVID-19.")</f>
        <v>JUSTIFICACION DE SUBVENCIONES PARA EL ESTIMULO AL CONSUMO DE SERVICIOS TURISTICOS Y ALOJAMIENTOS EXTRAHOTELEROS CON MOTIVO DEL LA CRISIS SANITARIA DEL COVID-19.</v>
      </c>
      <c r="J294" s="3" t="s">
        <v>41</v>
      </c>
      <c r="K294" s="3" t="s">
        <v>41</v>
      </c>
      <c r="L294" s="3" t="s">
        <v>42</v>
      </c>
      <c r="M294" s="3" t="s">
        <v>41</v>
      </c>
    </row>
    <row r="295" spans="1:13" ht="218.45">
      <c r="A295" s="22" t="s">
        <v>12</v>
      </c>
      <c r="B295" s="3" t="s">
        <v>974</v>
      </c>
      <c r="C295" s="3" t="s">
        <v>975</v>
      </c>
      <c r="D295" s="3" t="s">
        <v>700</v>
      </c>
      <c r="E295" s="3" t="s">
        <v>46</v>
      </c>
      <c r="F295" s="3" t="s">
        <v>96</v>
      </c>
      <c r="G295" s="3" t="s">
        <v>97</v>
      </c>
      <c r="H295" s="3" t="s">
        <v>976</v>
      </c>
      <c r="I295" s="3" t="str">
        <f>HYPERLINK("http://www.jccm.es/sede/tramite/LIB","SOLICITUD DE SUBVENCIONES PARA EL ESTIMULO AL CONSUMO DE SERVICIOS TURISTICOS Y ALOJAMIENTOS EXTRAHOTELEROS CON MOTIVO DEL LA CRISIS SANITARIA DEL COVID-19.")</f>
        <v>SOLICITUD DE SUBVENCIONES PARA EL ESTIMULO AL CONSUMO DE SERVICIOS TURISTICOS Y ALOJAMIENTOS EXTRAHOTELEROS CON MOTIVO DEL LA CRISIS SANITARIA DEL COVID-19.</v>
      </c>
      <c r="J295" s="3" t="s">
        <v>41</v>
      </c>
      <c r="K295" s="3" t="s">
        <v>41</v>
      </c>
      <c r="L295" s="3" t="s">
        <v>42</v>
      </c>
      <c r="M295" s="3" t="s">
        <v>41</v>
      </c>
    </row>
    <row r="296" spans="1:13" ht="138">
      <c r="A296" s="22" t="s">
        <v>12</v>
      </c>
      <c r="B296" s="3" t="s">
        <v>977</v>
      </c>
      <c r="C296" s="3" t="s">
        <v>978</v>
      </c>
      <c r="D296" s="3" t="s">
        <v>926</v>
      </c>
      <c r="E296" s="3" t="s">
        <v>46</v>
      </c>
      <c r="F296" s="3" t="s">
        <v>96</v>
      </c>
      <c r="G296" s="3" t="s">
        <v>113</v>
      </c>
      <c r="H296" s="3" t="s">
        <v>979</v>
      </c>
      <c r="I296" s="3" t="str">
        <f>HYPERLINK("http://www.jccm.es/sede/tramite/LO1","JUSTIFICACION DE LAS INVERSIONES Y SOLICITUD DE ABONO. LINEA 1 INVERSION PRL")</f>
        <v>JUSTIFICACION DE LAS INVERSIONES Y SOLICITUD DE ABONO. LINEA 1 INVERSION PRL</v>
      </c>
      <c r="J296" s="3" t="s">
        <v>41</v>
      </c>
      <c r="K296" s="3" t="s">
        <v>41</v>
      </c>
      <c r="L296" s="3" t="s">
        <v>42</v>
      </c>
      <c r="M296" s="3" t="s">
        <v>41</v>
      </c>
    </row>
    <row r="297" spans="1:13" ht="138">
      <c r="A297" s="22" t="s">
        <v>12</v>
      </c>
      <c r="B297" s="3" t="s">
        <v>980</v>
      </c>
      <c r="C297" s="3" t="s">
        <v>981</v>
      </c>
      <c r="D297" s="3" t="s">
        <v>926</v>
      </c>
      <c r="E297" s="3" t="s">
        <v>46</v>
      </c>
      <c r="F297" s="3" t="s">
        <v>96</v>
      </c>
      <c r="G297" s="3" t="s">
        <v>113</v>
      </c>
      <c r="H297" s="3" t="s">
        <v>982</v>
      </c>
      <c r="I297" s="3" t="str">
        <f>HYPERLINK("http://www.jccm.es/sede/tramite/LO0","SOLICITUD LINEA 1. PROGRAMA CLM MAS SEGURA.")</f>
        <v>SOLICITUD LINEA 1. PROGRAMA CLM MAS SEGURA.</v>
      </c>
      <c r="J297" s="3" t="s">
        <v>41</v>
      </c>
      <c r="K297" s="3" t="s">
        <v>41</v>
      </c>
      <c r="L297" s="3" t="s">
        <v>42</v>
      </c>
      <c r="M297" s="3" t="s">
        <v>41</v>
      </c>
    </row>
    <row r="298" spans="1:13" ht="207">
      <c r="A298" s="22" t="s">
        <v>12</v>
      </c>
      <c r="B298" s="3" t="s">
        <v>983</v>
      </c>
      <c r="C298" s="3" t="s">
        <v>984</v>
      </c>
      <c r="D298" s="3" t="s">
        <v>985</v>
      </c>
      <c r="E298" s="3" t="s">
        <v>95</v>
      </c>
      <c r="F298" s="3" t="s">
        <v>96</v>
      </c>
      <c r="G298" s="3" t="s">
        <v>113</v>
      </c>
      <c r="H298" s="3" t="s">
        <v>986</v>
      </c>
      <c r="I298" s="3" t="str">
        <f>HYPERLINK("http://www.jccm.es/sede/tramite/LQW","JUSTIFICACION DE SUBVENCIONES PARA LA REALIZACION DE ACTUACIONES PARA LA MEJORA DE LA EMPLEABILIDAD Y LA INSERCION COLECTIVOS VULNERABLES (NEXTGENERATIONEU)")</f>
        <v>JUSTIFICACION DE SUBVENCIONES PARA LA REALIZACION DE ACTUACIONES PARA LA MEJORA DE LA EMPLEABILIDAD Y LA INSERCION COLECTIVOS VULNERABLES (NEXTGENERATIONEU)</v>
      </c>
      <c r="J298" s="3" t="s">
        <v>41</v>
      </c>
      <c r="K298" s="3" t="s">
        <v>41</v>
      </c>
      <c r="L298" s="3" t="s">
        <v>42</v>
      </c>
      <c r="M298" s="3" t="s">
        <v>41</v>
      </c>
    </row>
    <row r="299" spans="1:13" ht="218.45">
      <c r="A299" s="22" t="s">
        <v>12</v>
      </c>
      <c r="B299" s="3" t="s">
        <v>987</v>
      </c>
      <c r="C299" s="3" t="s">
        <v>988</v>
      </c>
      <c r="D299" s="3" t="s">
        <v>985</v>
      </c>
      <c r="E299" s="3" t="s">
        <v>95</v>
      </c>
      <c r="F299" s="3" t="s">
        <v>96</v>
      </c>
      <c r="G299" s="3" t="s">
        <v>113</v>
      </c>
      <c r="H299" s="3" t="s">
        <v>989</v>
      </c>
      <c r="I299" s="3" t="str">
        <f>HYPERLINK("http://www.jccm.es/sede/tramite/LQV","SOLICITUD DE SUBVENCION PARA LA REALIZACION DE ACTUACIONES PARA LA MEJORA DE LA EMPLEABILIDAD Y LA INSERCION DE COLECTIVOS VULNERABLES (NEXTGENERATIONEU)")</f>
        <v>SOLICITUD DE SUBVENCION PARA LA REALIZACION DE ACTUACIONES PARA LA MEJORA DE LA EMPLEABILIDAD Y LA INSERCION DE COLECTIVOS VULNERABLES (NEXTGENERATIONEU)</v>
      </c>
      <c r="J299" s="3" t="s">
        <v>41</v>
      </c>
      <c r="K299" s="3" t="s">
        <v>41</v>
      </c>
      <c r="L299" s="3" t="s">
        <v>42</v>
      </c>
      <c r="M299" s="3" t="s">
        <v>41</v>
      </c>
    </row>
    <row r="300" spans="1:13" ht="161.1">
      <c r="A300" s="22" t="s">
        <v>12</v>
      </c>
      <c r="B300" s="3" t="s">
        <v>990</v>
      </c>
      <c r="C300" s="3" t="s">
        <v>991</v>
      </c>
      <c r="D300" s="3" t="s">
        <v>192</v>
      </c>
      <c r="E300" s="3" t="s">
        <v>46</v>
      </c>
      <c r="F300" s="3" t="s">
        <v>96</v>
      </c>
      <c r="G300" s="3" t="s">
        <v>113</v>
      </c>
      <c r="H300" s="3" t="s">
        <v>992</v>
      </c>
      <c r="I300" s="3" t="str">
        <f>HYPERLINK("http://www.jccm.es/sede/tramite/LR3","SOLICITUD DE SUBVENCION PARA EL PROGRAMA DE APOYO A MUJERES EN LOS AMBITOS RURAL Y URBANO (NEXT GENERATION EU)")</f>
        <v>SOLICITUD DE SUBVENCION PARA EL PROGRAMA DE APOYO A MUJERES EN LOS AMBITOS RURAL Y URBANO (NEXT GENERATION EU)</v>
      </c>
      <c r="J300" s="3" t="s">
        <v>41</v>
      </c>
      <c r="K300" s="3" t="s">
        <v>41</v>
      </c>
      <c r="L300" s="3" t="s">
        <v>42</v>
      </c>
      <c r="M300" s="3" t="s">
        <v>41</v>
      </c>
    </row>
    <row r="301" spans="1:13" ht="172.5">
      <c r="A301" s="22" t="s">
        <v>12</v>
      </c>
      <c r="B301" s="3" t="s">
        <v>993</v>
      </c>
      <c r="C301" s="3" t="s">
        <v>994</v>
      </c>
      <c r="D301" s="3" t="s">
        <v>995</v>
      </c>
      <c r="E301" s="3" t="s">
        <v>46</v>
      </c>
      <c r="F301" s="3" t="s">
        <v>96</v>
      </c>
      <c r="G301" s="3" t="s">
        <v>120</v>
      </c>
      <c r="H301" s="3" t="s">
        <v>996</v>
      </c>
      <c r="I301" s="3" t="str">
        <f>HYPERLINK("http://www.jccm.es/sede/tramite/LRB","SOLICITUD DE SUBVENCION PARA EL INICIO, MANTENIMIENTO Y CONSOLIDACION DE LA ACTIVIDAD DE LAS PERSONAS TRABAJADORAS AUTOMOMAS")</f>
        <v>SOLICITUD DE SUBVENCION PARA EL INICIO, MANTENIMIENTO Y CONSOLIDACION DE LA ACTIVIDAD DE LAS PERSONAS TRABAJADORAS AUTOMOMAS</v>
      </c>
      <c r="J301" s="3" t="s">
        <v>41</v>
      </c>
      <c r="K301" s="3" t="s">
        <v>41</v>
      </c>
      <c r="L301" s="3" t="s">
        <v>42</v>
      </c>
      <c r="M301" s="3" t="s">
        <v>41</v>
      </c>
    </row>
    <row r="302" spans="1:13" ht="126.6">
      <c r="A302" s="22" t="s">
        <v>12</v>
      </c>
      <c r="B302" s="3" t="s">
        <v>997</v>
      </c>
      <c r="C302" s="3" t="s">
        <v>998</v>
      </c>
      <c r="D302" s="3" t="s">
        <v>700</v>
      </c>
      <c r="E302" s="3" t="s">
        <v>46</v>
      </c>
      <c r="F302" s="3" t="s">
        <v>96</v>
      </c>
      <c r="G302" s="3" t="s">
        <v>97</v>
      </c>
      <c r="H302" s="3" t="s">
        <v>999</v>
      </c>
      <c r="I302" s="3" t="str">
        <f>HYPERLINK("http://www.jccm.es/sede/tramite/LRZ","AYUDAS PROGRAMA MICE")</f>
        <v>AYUDAS PROGRAMA MICE</v>
      </c>
      <c r="J302" s="3" t="s">
        <v>41</v>
      </c>
      <c r="K302" s="3" t="s">
        <v>41</v>
      </c>
      <c r="L302" s="3" t="s">
        <v>42</v>
      </c>
      <c r="M302" s="3" t="s">
        <v>41</v>
      </c>
    </row>
    <row r="303" spans="1:13" ht="126.6">
      <c r="A303" s="22" t="s">
        <v>12</v>
      </c>
      <c r="B303" s="3" t="s">
        <v>1000</v>
      </c>
      <c r="C303" s="3" t="s">
        <v>1001</v>
      </c>
      <c r="D303" s="3" t="s">
        <v>700</v>
      </c>
      <c r="E303" s="3" t="s">
        <v>46</v>
      </c>
      <c r="F303" s="3" t="s">
        <v>96</v>
      </c>
      <c r="G303" s="3" t="s">
        <v>97</v>
      </c>
      <c r="H303" s="3" t="s">
        <v>1002</v>
      </c>
      <c r="I303" s="3" t="str">
        <f>HYPERLINK("http://www.jccm.es/sede/tramite/LS0","JUSTIFICACION AYUDAS PROGRAMA MICE 2022")</f>
        <v>JUSTIFICACION AYUDAS PROGRAMA MICE 2022</v>
      </c>
      <c r="J303" s="3" t="s">
        <v>41</v>
      </c>
      <c r="K303" s="3" t="s">
        <v>41</v>
      </c>
      <c r="L303" s="3" t="s">
        <v>42</v>
      </c>
      <c r="M303" s="3" t="s">
        <v>41</v>
      </c>
    </row>
    <row r="304" spans="1:13" ht="276">
      <c r="A304" s="22" t="s">
        <v>12</v>
      </c>
      <c r="B304" s="3" t="s">
        <v>1003</v>
      </c>
      <c r="C304" s="3" t="s">
        <v>1004</v>
      </c>
      <c r="D304" s="3" t="s">
        <v>618</v>
      </c>
      <c r="E304" s="3" t="s">
        <v>46</v>
      </c>
      <c r="F304" s="3" t="s">
        <v>96</v>
      </c>
      <c r="G304" s="3" t="s">
        <v>96</v>
      </c>
      <c r="H304" s="3" t="s">
        <v>1005</v>
      </c>
      <c r="I304" s="3" t="str">
        <f>HYPERLINK("http://www.jccm.es/sede/tramite/LWG","LINEA 1. SUBVENCION PARA LA PROMOCION DE LAS COOPERATIVAS Y SOCIEDADES LABORALES")</f>
        <v>LINEA 1. SUBVENCION PARA LA PROMOCION DE LAS COOPERATIVAS Y SOCIEDADES LABORALES</v>
      </c>
      <c r="J304" s="3" t="s">
        <v>41</v>
      </c>
      <c r="K304" s="3" t="s">
        <v>41</v>
      </c>
      <c r="L304" s="3" t="s">
        <v>42</v>
      </c>
      <c r="M304" s="3" t="s">
        <v>41</v>
      </c>
    </row>
    <row r="305" spans="1:13" ht="126.6">
      <c r="A305" s="22" t="s">
        <v>12</v>
      </c>
      <c r="B305" s="3" t="s">
        <v>1006</v>
      </c>
      <c r="C305" s="3" t="s">
        <v>1007</v>
      </c>
      <c r="D305" s="3" t="s">
        <v>51</v>
      </c>
      <c r="E305" s="3" t="s">
        <v>37</v>
      </c>
      <c r="F305" s="3" t="s">
        <v>96</v>
      </c>
      <c r="G305" s="3" t="s">
        <v>97</v>
      </c>
      <c r="H305" s="3" t="s">
        <v>1008</v>
      </c>
      <c r="I305" s="3" t="str">
        <f>HYPERLINK("http://www.jccm.es/sede/tramite/432","SOLICITUD DECLARACION ZONA DE GRAN AFLUENCIA TURISTICA")</f>
        <v>SOLICITUD DECLARACION ZONA DE GRAN AFLUENCIA TURISTICA</v>
      </c>
      <c r="J305" s="3" t="s">
        <v>42</v>
      </c>
      <c r="K305" s="3" t="s">
        <v>41</v>
      </c>
      <c r="L305" s="3" t="s">
        <v>42</v>
      </c>
      <c r="M305" s="3" t="s">
        <v>41</v>
      </c>
    </row>
    <row r="306" spans="1:13" ht="126.6">
      <c r="A306" s="22" t="s">
        <v>12</v>
      </c>
      <c r="B306" s="3" t="s">
        <v>1009</v>
      </c>
      <c r="C306" s="3" t="s">
        <v>1010</v>
      </c>
      <c r="D306" s="3" t="s">
        <v>327</v>
      </c>
      <c r="E306" s="3" t="s">
        <v>37</v>
      </c>
      <c r="F306" s="3" t="s">
        <v>96</v>
      </c>
      <c r="G306" s="3" t="s">
        <v>97</v>
      </c>
      <c r="H306" s="3" t="s">
        <v>1011</v>
      </c>
      <c r="I306" s="3" t="str">
        <f>HYPERLINK("http://www.jccm.es/sede/tramite/429","DECLARACION DE FIESTA DE INTERES TURISTICO REGIONAL DE CASTILLA-LA MANCHA")</f>
        <v>DECLARACION DE FIESTA DE INTERES TURISTICO REGIONAL DE CASTILLA-LA MANCHA</v>
      </c>
      <c r="J306" s="3" t="s">
        <v>42</v>
      </c>
      <c r="K306" s="3" t="s">
        <v>41</v>
      </c>
      <c r="L306" s="3" t="s">
        <v>42</v>
      </c>
      <c r="M306" s="3" t="s">
        <v>41</v>
      </c>
    </row>
    <row r="307" spans="1:13" ht="218.45">
      <c r="A307" s="22" t="s">
        <v>12</v>
      </c>
      <c r="B307" s="3" t="s">
        <v>1012</v>
      </c>
      <c r="C307" s="3" t="s">
        <v>1013</v>
      </c>
      <c r="D307" s="3" t="s">
        <v>1014</v>
      </c>
      <c r="E307" s="3" t="s">
        <v>46</v>
      </c>
      <c r="F307" s="3" t="s">
        <v>96</v>
      </c>
      <c r="G307" s="3" t="s">
        <v>113</v>
      </c>
      <c r="H307" s="3" t="s">
        <v>1015</v>
      </c>
      <c r="I307" s="3" t="str">
        <f>HYPERLINK("http://www.jccm.es/sede/tramite/IJK","ACREDITACION DE ENTIDADES ESPECIALIZADAS COMO SERVICIOS DE PREVENCION AJENOS A LAS EMPRESAS")</f>
        <v>ACREDITACION DE ENTIDADES ESPECIALIZADAS COMO SERVICIOS DE PREVENCION AJENOS A LAS EMPRESAS</v>
      </c>
      <c r="J307" s="3" t="s">
        <v>41</v>
      </c>
      <c r="K307" s="3" t="s">
        <v>41</v>
      </c>
      <c r="L307" s="3" t="s">
        <v>42</v>
      </c>
      <c r="M307" s="3" t="s">
        <v>42</v>
      </c>
    </row>
    <row r="308" spans="1:13" ht="126.6">
      <c r="A308" s="22" t="s">
        <v>12</v>
      </c>
      <c r="B308" s="3" t="s">
        <v>1016</v>
      </c>
      <c r="C308" s="3" t="s">
        <v>1017</v>
      </c>
      <c r="D308" s="3" t="s">
        <v>95</v>
      </c>
      <c r="E308" s="3" t="s">
        <v>95</v>
      </c>
      <c r="F308" s="3" t="s">
        <v>96</v>
      </c>
      <c r="G308" s="3" t="s">
        <v>130</v>
      </c>
      <c r="H308" s="3" t="s">
        <v>1018</v>
      </c>
      <c r="I308" s="3" t="str">
        <f>HYPERLINK("http://www.jccm.es/sede/tramite/JLK","RECONOCIMIENTO DE LAS COMPETENCIAS PROFESIONALES ADQUIRIDAS MEDIANTE EXPERIENCIA LABORAL")</f>
        <v>RECONOCIMIENTO DE LAS COMPETENCIAS PROFESIONALES ADQUIRIDAS MEDIANTE EXPERIENCIA LABORAL</v>
      </c>
      <c r="J308" s="3" t="s">
        <v>42</v>
      </c>
      <c r="K308" s="3" t="s">
        <v>41</v>
      </c>
      <c r="L308" s="3" t="s">
        <v>42</v>
      </c>
      <c r="M308" s="3" t="s">
        <v>41</v>
      </c>
    </row>
    <row r="309" spans="1:13" ht="126.6">
      <c r="A309" s="22" t="s">
        <v>12</v>
      </c>
      <c r="B309" s="3" t="s">
        <v>1019</v>
      </c>
      <c r="C309" s="3" t="s">
        <v>1020</v>
      </c>
      <c r="D309" s="3" t="s">
        <v>51</v>
      </c>
      <c r="E309" s="3" t="s">
        <v>37</v>
      </c>
      <c r="F309" s="3" t="s">
        <v>96</v>
      </c>
      <c r="G309" s="3" t="s">
        <v>97</v>
      </c>
      <c r="H309" s="3" t="s">
        <v>1021</v>
      </c>
      <c r="I309" s="3" t="str">
        <f>HYPERLINK("http://www.jccm.es/sede/tramite/JB1","RENOVACION DEL TITULO DE EMPRESA ARTESANA")</f>
        <v>RENOVACION DEL TITULO DE EMPRESA ARTESANA</v>
      </c>
      <c r="J309" s="3" t="s">
        <v>42</v>
      </c>
      <c r="K309" s="3" t="s">
        <v>41</v>
      </c>
      <c r="L309" s="3" t="s">
        <v>42</v>
      </c>
      <c r="M309" s="3" t="s">
        <v>41</v>
      </c>
    </row>
    <row r="310" spans="1:13" ht="126.6">
      <c r="A310" s="22" t="s">
        <v>12</v>
      </c>
      <c r="B310" s="3" t="s">
        <v>1022</v>
      </c>
      <c r="C310" s="3" t="s">
        <v>1023</v>
      </c>
      <c r="D310" s="3" t="s">
        <v>45</v>
      </c>
      <c r="E310" s="3" t="s">
        <v>37</v>
      </c>
      <c r="F310" s="3" t="s">
        <v>96</v>
      </c>
      <c r="G310" s="3" t="s">
        <v>97</v>
      </c>
      <c r="H310" s="3" t="s">
        <v>1024</v>
      </c>
      <c r="I310" s="3" t="str">
        <f>HYPERLINK("http://www.jccm.es/sede/tramite/JSB","CERTIFICADO DE TIENDA DE CONVENIENCIA")</f>
        <v>CERTIFICADO DE TIENDA DE CONVENIENCIA</v>
      </c>
      <c r="J310" s="3" t="s">
        <v>42</v>
      </c>
      <c r="K310" s="3" t="s">
        <v>41</v>
      </c>
      <c r="L310" s="3" t="s">
        <v>42</v>
      </c>
      <c r="M310" s="3" t="s">
        <v>41</v>
      </c>
    </row>
    <row r="311" spans="1:13" ht="126.6">
      <c r="A311" s="22" t="s">
        <v>12</v>
      </c>
      <c r="B311" s="3" t="s">
        <v>1025</v>
      </c>
      <c r="C311" s="3" t="s">
        <v>1026</v>
      </c>
      <c r="D311" s="3" t="s">
        <v>36</v>
      </c>
      <c r="E311" s="3" t="s">
        <v>37</v>
      </c>
      <c r="F311" s="3" t="s">
        <v>96</v>
      </c>
      <c r="G311" s="3" t="s">
        <v>97</v>
      </c>
      <c r="H311" s="3" t="s">
        <v>1027</v>
      </c>
      <c r="I311" s="3" t="str">
        <f>HYPERLINK("http://www.jccm.es/sede/tramite/JV2","RECONOCIMIENTO DE EVENTO DE INTERES ARTESANO")</f>
        <v>RECONOCIMIENTO DE EVENTO DE INTERES ARTESANO</v>
      </c>
      <c r="J311" s="3" t="s">
        <v>42</v>
      </c>
      <c r="K311" s="3" t="s">
        <v>41</v>
      </c>
      <c r="L311" s="3" t="s">
        <v>42</v>
      </c>
      <c r="M311" s="3" t="s">
        <v>41</v>
      </c>
    </row>
    <row r="312" spans="1:13" ht="126.6">
      <c r="A312" s="22" t="s">
        <v>12</v>
      </c>
      <c r="B312" s="3" t="s">
        <v>1028</v>
      </c>
      <c r="C312" s="3" t="s">
        <v>1029</v>
      </c>
      <c r="D312" s="3" t="s">
        <v>36</v>
      </c>
      <c r="E312" s="3" t="s">
        <v>37</v>
      </c>
      <c r="F312" s="3" t="s">
        <v>96</v>
      </c>
      <c r="G312" s="3" t="s">
        <v>97</v>
      </c>
      <c r="H312" s="3" t="s">
        <v>1030</v>
      </c>
      <c r="I312" s="3" t="str">
        <f>HYPERLINK("http://www.jccm.es/sede/tramite/324","CONCESION DEL CARNE ARTESANO")</f>
        <v>CONCESION DEL CARNE ARTESANO</v>
      </c>
      <c r="J312" s="3" t="s">
        <v>42</v>
      </c>
      <c r="K312" s="3" t="s">
        <v>41</v>
      </c>
      <c r="L312" s="3" t="s">
        <v>42</v>
      </c>
      <c r="M312" s="3" t="s">
        <v>42</v>
      </c>
    </row>
    <row r="313" spans="1:13" ht="126.6">
      <c r="A313" s="22" t="s">
        <v>12</v>
      </c>
      <c r="B313" s="3" t="s">
        <v>1031</v>
      </c>
      <c r="C313" s="3" t="s">
        <v>1032</v>
      </c>
      <c r="D313" s="3" t="s">
        <v>36</v>
      </c>
      <c r="E313" s="3" t="s">
        <v>37</v>
      </c>
      <c r="F313" s="3" t="s">
        <v>96</v>
      </c>
      <c r="G313" s="3" t="s">
        <v>97</v>
      </c>
      <c r="H313" s="3" t="s">
        <v>1033</v>
      </c>
      <c r="I313" s="3" t="str">
        <f>HYPERLINK("http://www.jccm.es/sede/tramite/310","CONCESION DEL TITULO DE EMPRESA ARTESANA")</f>
        <v>CONCESION DEL TITULO DE EMPRESA ARTESANA</v>
      </c>
      <c r="J313" s="3" t="s">
        <v>42</v>
      </c>
      <c r="K313" s="3" t="s">
        <v>41</v>
      </c>
      <c r="L313" s="3" t="s">
        <v>42</v>
      </c>
      <c r="M313" s="3" t="s">
        <v>42</v>
      </c>
    </row>
    <row r="314" spans="1:13" ht="126.6">
      <c r="A314" s="22" t="s">
        <v>12</v>
      </c>
      <c r="B314" s="3" t="s">
        <v>1034</v>
      </c>
      <c r="C314" s="3" t="s">
        <v>1035</v>
      </c>
      <c r="D314" s="3" t="s">
        <v>51</v>
      </c>
      <c r="E314" s="3" t="s">
        <v>37</v>
      </c>
      <c r="F314" s="3" t="s">
        <v>96</v>
      </c>
      <c r="G314" s="3" t="s">
        <v>97</v>
      </c>
      <c r="H314" s="3" t="s">
        <v>1036</v>
      </c>
      <c r="I314" s="3" t="str">
        <f>HYPERLINK("http://www.jccm.es/sede/tramite/JB0","RENOVACION DEL CARNE ARTESANO")</f>
        <v>RENOVACION DEL CARNE ARTESANO</v>
      </c>
      <c r="J314" s="3" t="s">
        <v>42</v>
      </c>
      <c r="K314" s="3" t="s">
        <v>41</v>
      </c>
      <c r="L314" s="3" t="s">
        <v>42</v>
      </c>
      <c r="M314" s="3" t="s">
        <v>41</v>
      </c>
    </row>
    <row r="315" spans="1:13" ht="126.6">
      <c r="A315" s="22" t="s">
        <v>12</v>
      </c>
      <c r="B315" s="3" t="s">
        <v>1037</v>
      </c>
      <c r="C315" s="3" t="s">
        <v>1038</v>
      </c>
      <c r="D315" s="3" t="s">
        <v>45</v>
      </c>
      <c r="E315" s="3" t="s">
        <v>37</v>
      </c>
      <c r="F315" s="3" t="s">
        <v>96</v>
      </c>
      <c r="G315" s="3" t="s">
        <v>97</v>
      </c>
      <c r="H315" s="3" t="s">
        <v>1039</v>
      </c>
      <c r="I315" s="3" t="str">
        <f>HYPERLINK("http://www.jccm.es/sede/tramite/KAB","COMUNICACION DE MODIFICACION EN LA ACTIVIDAD PRODUCTIVA DE LA EMPRESA ARTESANA")</f>
        <v>COMUNICACION DE MODIFICACION EN LA ACTIVIDAD PRODUCTIVA DE LA EMPRESA ARTESANA</v>
      </c>
      <c r="J315" s="3" t="s">
        <v>42</v>
      </c>
      <c r="K315" s="3" t="s">
        <v>41</v>
      </c>
      <c r="L315" s="3" t="s">
        <v>42</v>
      </c>
      <c r="M315" s="3" t="s">
        <v>41</v>
      </c>
    </row>
    <row r="316" spans="1:13" ht="126.6">
      <c r="A316" s="22" t="s">
        <v>12</v>
      </c>
      <c r="B316" s="3" t="s">
        <v>1040</v>
      </c>
      <c r="C316" s="3" t="s">
        <v>1041</v>
      </c>
      <c r="D316" s="3" t="s">
        <v>45</v>
      </c>
      <c r="E316" s="3" t="s">
        <v>37</v>
      </c>
      <c r="F316" s="3" t="s">
        <v>96</v>
      </c>
      <c r="G316" s="3" t="s">
        <v>97</v>
      </c>
      <c r="H316" s="3" t="s">
        <v>1042</v>
      </c>
      <c r="I316" s="3" t="str">
        <f>HYPERLINK("http://www.jccm.es/sede/tramite/JB2","CAMBIO DE NOMBRE COMERCIAL O DE TITULARIDAD DE LA EMPRESA ARTESANA")</f>
        <v>CAMBIO DE NOMBRE COMERCIAL O DE TITULARIDAD DE LA EMPRESA ARTESANA</v>
      </c>
      <c r="J316" s="3" t="s">
        <v>41</v>
      </c>
      <c r="K316" s="3" t="s">
        <v>41</v>
      </c>
      <c r="L316" s="3" t="s">
        <v>42</v>
      </c>
      <c r="M316" s="3" t="s">
        <v>42</v>
      </c>
    </row>
    <row r="317" spans="1:13" ht="126.6">
      <c r="A317" s="22" t="s">
        <v>12</v>
      </c>
      <c r="B317" s="3" t="s">
        <v>1043</v>
      </c>
      <c r="C317" s="3" t="s">
        <v>1044</v>
      </c>
      <c r="D317" s="3" t="s">
        <v>36</v>
      </c>
      <c r="E317" s="3" t="s">
        <v>37</v>
      </c>
      <c r="F317" s="3" t="s">
        <v>96</v>
      </c>
      <c r="G317" s="3" t="s">
        <v>97</v>
      </c>
      <c r="H317" s="3" t="s">
        <v>1045</v>
      </c>
      <c r="I317" s="3" t="str">
        <f>HYPERLINK("http://www.jccm.es/sede/tramite/JHZ","RECONOCIMIENTO DE TIENDA ARTESANA E INTEGRACION EN LA RED DE TIENDAS ARTESANAS DE CASTILLA-LA MANCHA")</f>
        <v>RECONOCIMIENTO DE TIENDA ARTESANA E INTEGRACION EN LA RED DE TIENDAS ARTESANAS DE CASTILLA-LA MANCHA</v>
      </c>
      <c r="J317" s="3" t="s">
        <v>42</v>
      </c>
      <c r="K317" s="3" t="s">
        <v>41</v>
      </c>
      <c r="L317" s="3" t="s">
        <v>42</v>
      </c>
      <c r="M317" s="3" t="s">
        <v>41</v>
      </c>
    </row>
    <row r="318" spans="1:13" ht="172.5">
      <c r="A318" s="22" t="s">
        <v>12</v>
      </c>
      <c r="B318" s="3" t="s">
        <v>1046</v>
      </c>
      <c r="C318" s="3" t="s">
        <v>1047</v>
      </c>
      <c r="D318" s="3" t="s">
        <v>327</v>
      </c>
      <c r="E318" s="3" t="s">
        <v>37</v>
      </c>
      <c r="F318" s="3" t="s">
        <v>96</v>
      </c>
      <c r="G318" s="3" t="s">
        <v>97</v>
      </c>
      <c r="H318" s="3" t="s">
        <v>1048</v>
      </c>
      <c r="I318" s="3" t="str">
        <f>HYPERLINK("http://www.jccm.es/sede/tramite/JGW","RECONOCIMIENTO/MODIFICACION DE AREA DE ESPECIAL INTERES ARTESANAL DE CASTILLA-LA MANCHA // TALLER DE ESPECIAL INTERES ARTESANAL DE CASTILLA- LA MANCHA")</f>
        <v>RECONOCIMIENTO/MODIFICACION DE AREA DE ESPECIAL INTERES ARTESANAL DE CASTILLA-LA MANCHA // TALLER DE ESPECIAL INTERES ARTESANAL DE CASTILLA- LA MANCHA</v>
      </c>
      <c r="J318" s="3" t="s">
        <v>42</v>
      </c>
      <c r="K318" s="3" t="s">
        <v>41</v>
      </c>
      <c r="L318" s="3" t="s">
        <v>42</v>
      </c>
      <c r="M318" s="3" t="s">
        <v>41</v>
      </c>
    </row>
    <row r="319" spans="1:13" ht="183.95">
      <c r="A319" s="22" t="s">
        <v>12</v>
      </c>
      <c r="B319" s="3" t="s">
        <v>1049</v>
      </c>
      <c r="C319" s="3" t="s">
        <v>1050</v>
      </c>
      <c r="D319" s="3" t="s">
        <v>45</v>
      </c>
      <c r="E319" s="3" t="s">
        <v>37</v>
      </c>
      <c r="F319" s="3" t="s">
        <v>96</v>
      </c>
      <c r="G319" s="3" t="s">
        <v>97</v>
      </c>
      <c r="H319" s="3" t="s">
        <v>1051</v>
      </c>
      <c r="I319" s="3" t="str">
        <f>HYPERLINK("http://www.jccm.es/sede/tramite/KAC","RENOVACION DEL RECONOCIMIENTO DE AREA DE ESPECIAL INTERES ARTESANAL DE CASTILLA-LA MANCHA // TALLER DE ESPECIAL INTERES ARTESANAL DE CASTILLA- LA MANCHA")</f>
        <v>RENOVACION DEL RECONOCIMIENTO DE AREA DE ESPECIAL INTERES ARTESANAL DE CASTILLA-LA MANCHA // TALLER DE ESPECIAL INTERES ARTESANAL DE CASTILLA- LA MANCHA</v>
      </c>
      <c r="J319" s="3" t="s">
        <v>42</v>
      </c>
      <c r="K319" s="3" t="s">
        <v>41</v>
      </c>
      <c r="L319" s="3" t="s">
        <v>42</v>
      </c>
      <c r="M319" s="3" t="s">
        <v>41</v>
      </c>
    </row>
    <row r="320" spans="1:13" ht="138">
      <c r="A320" s="22" t="s">
        <v>12</v>
      </c>
      <c r="B320" s="3" t="s">
        <v>1052</v>
      </c>
      <c r="C320" s="3" t="s">
        <v>1053</v>
      </c>
      <c r="D320" s="3" t="s">
        <v>95</v>
      </c>
      <c r="E320" s="3" t="s">
        <v>46</v>
      </c>
      <c r="F320" s="3" t="s">
        <v>96</v>
      </c>
      <c r="G320" s="3" t="s">
        <v>113</v>
      </c>
      <c r="H320" s="3" t="s">
        <v>1054</v>
      </c>
      <c r="I320" s="3" t="str">
        <f>HYPERLINK("http://www.jccm.es/sede/tramite/KG6","SOLICITUD DE CREDENCIALES DE ACCESO A LA OFICINA VIRTUAL DE LA CONSEJERIA DE EMPLEO Y ECONOMIA PARA PERSONAS FISICAS, JURIDICAS Y AUTONOMOS")</f>
        <v>SOLICITUD DE CREDENCIALES DE ACCESO A LA OFICINA VIRTUAL DE LA CONSEJERIA DE EMPLEO Y ECONOMIA PARA PERSONAS FISICAS, JURIDICAS Y AUTONOMOS</v>
      </c>
      <c r="J320" s="3" t="s">
        <v>42</v>
      </c>
      <c r="K320" s="3" t="s">
        <v>41</v>
      </c>
      <c r="L320" s="3" t="s">
        <v>41</v>
      </c>
      <c r="M320" s="3" t="s">
        <v>41</v>
      </c>
    </row>
    <row r="321" spans="1:13" ht="149.44999999999999">
      <c r="A321" s="22" t="s">
        <v>12</v>
      </c>
      <c r="B321" s="3" t="s">
        <v>1055</v>
      </c>
      <c r="C321" s="3" t="s">
        <v>1056</v>
      </c>
      <c r="D321" s="3" t="s">
        <v>1057</v>
      </c>
      <c r="E321" s="3" t="s">
        <v>37</v>
      </c>
      <c r="F321" s="3" t="s">
        <v>96</v>
      </c>
      <c r="G321" s="3" t="s">
        <v>113</v>
      </c>
      <c r="H321" s="3" t="s">
        <v>1058</v>
      </c>
      <c r="I321" s="3" t="str">
        <f>HYPERLINK("http://www.jccm.es/sede/tramite/KJR","CERTIFICADO DE INSCRIPCION EN REGISTRO DE EMPRESAS ACREDITADAS EN EL SECTOR DE LA CONSTRUCCION (REA)")</f>
        <v>CERTIFICADO DE INSCRIPCION EN REGISTRO DE EMPRESAS ACREDITADAS EN EL SECTOR DE LA CONSTRUCCION (REA)</v>
      </c>
      <c r="J321" s="3" t="s">
        <v>41</v>
      </c>
      <c r="K321" s="3" t="s">
        <v>41</v>
      </c>
      <c r="L321" s="3" t="s">
        <v>42</v>
      </c>
      <c r="M321" s="3" t="s">
        <v>41</v>
      </c>
    </row>
    <row r="322" spans="1:13" ht="390.95">
      <c r="A322" s="22" t="s">
        <v>12</v>
      </c>
      <c r="B322" s="3" t="s">
        <v>1059</v>
      </c>
      <c r="C322" s="3" t="s">
        <v>1060</v>
      </c>
      <c r="D322" s="3" t="s">
        <v>1061</v>
      </c>
      <c r="E322" s="3" t="s">
        <v>95</v>
      </c>
      <c r="F322" s="3" t="s">
        <v>96</v>
      </c>
      <c r="G322" s="3" t="s">
        <v>130</v>
      </c>
      <c r="H322" s="3" t="s">
        <v>1062</v>
      </c>
      <c r="I322" s="3" t="str">
        <f>HYPERLINK("http://www.jccm.es/sede/tramite/L8J","SUBVENCION A LA FUNDACION ESCUELA DE ORGANIZACION INDUSTRIAL (EOI), PARA EL DESARROLLO DE PROYECTOS DE FORMACION.")</f>
        <v>SUBVENCION A LA FUNDACION ESCUELA DE ORGANIZACION INDUSTRIAL (EOI), PARA EL DESARROLLO DE PROYECTOS DE FORMACION.</v>
      </c>
      <c r="J322" s="3" t="s">
        <v>41</v>
      </c>
      <c r="K322" s="3" t="s">
        <v>41</v>
      </c>
      <c r="L322" s="3" t="s">
        <v>42</v>
      </c>
      <c r="M322" s="3" t="s">
        <v>41</v>
      </c>
    </row>
    <row r="323" spans="1:13" ht="80.45">
      <c r="A323" s="22" t="s">
        <v>12</v>
      </c>
      <c r="B323" s="3" t="s">
        <v>1063</v>
      </c>
      <c r="C323" s="3" t="s">
        <v>1064</v>
      </c>
      <c r="D323" s="3" t="s">
        <v>45</v>
      </c>
      <c r="E323" s="3" t="s">
        <v>46</v>
      </c>
      <c r="F323" s="3" t="s">
        <v>96</v>
      </c>
      <c r="G323" s="3" t="s">
        <v>96</v>
      </c>
      <c r="H323" s="3" t="s">
        <v>1065</v>
      </c>
      <c r="I323" s="3" t="str">
        <f>HYPERLINK("http://www.jccm.es/sede/tramite/LFY","DECLARACION DE PROYECTOS PRIORITARIOS CLM")</f>
        <v>DECLARACION DE PROYECTOS PRIORITARIOS CLM</v>
      </c>
      <c r="J323" s="3" t="s">
        <v>41</v>
      </c>
      <c r="K323" s="3" t="s">
        <v>41</v>
      </c>
      <c r="L323" s="3" t="s">
        <v>42</v>
      </c>
      <c r="M323" s="3" t="s">
        <v>41</v>
      </c>
    </row>
    <row r="324" spans="1:13" ht="172.5">
      <c r="A324" s="22" t="s">
        <v>12</v>
      </c>
      <c r="B324" s="3" t="s">
        <v>1066</v>
      </c>
      <c r="C324" s="3" t="s">
        <v>1067</v>
      </c>
      <c r="D324" s="3" t="s">
        <v>95</v>
      </c>
      <c r="E324" s="3" t="s">
        <v>95</v>
      </c>
      <c r="F324" s="3" t="s">
        <v>96</v>
      </c>
      <c r="G324" s="3" t="s">
        <v>113</v>
      </c>
      <c r="H324" s="3" t="s">
        <v>1068</v>
      </c>
      <c r="I324" s="3" t="str">
        <f>HYPERLINK("http://www.jccm.es/sede/tramite/KGM","ACREDITACION DE LA BUSQUEDA ACTIVA DE EMPLEO DE TRABAJADORES Y DE LOS SOLICITANTES Y BENEFICIARIOS DE PRESTACIONES POR DESEMPLEO")</f>
        <v>ACREDITACION DE LA BUSQUEDA ACTIVA DE EMPLEO DE TRABAJADORES Y DE LOS SOLICITANTES Y BENEFICIARIOS DE PRESTACIONES POR DESEMPLEO</v>
      </c>
      <c r="J324" s="3" t="s">
        <v>42</v>
      </c>
      <c r="K324" s="3" t="s">
        <v>41</v>
      </c>
      <c r="L324" s="3" t="s">
        <v>42</v>
      </c>
      <c r="M324" s="3" t="s">
        <v>41</v>
      </c>
    </row>
    <row r="325" spans="1:13" ht="149.44999999999999">
      <c r="A325" s="22" t="s">
        <v>12</v>
      </c>
      <c r="B325" s="3" t="s">
        <v>1069</v>
      </c>
      <c r="C325" s="3" t="s">
        <v>1070</v>
      </c>
      <c r="D325" s="3" t="s">
        <v>95</v>
      </c>
      <c r="E325" s="3" t="s">
        <v>95</v>
      </c>
      <c r="F325" s="3" t="s">
        <v>96</v>
      </c>
      <c r="G325" s="3" t="s">
        <v>113</v>
      </c>
      <c r="H325" s="3" t="s">
        <v>1071</v>
      </c>
      <c r="I325" s="3" t="str">
        <f>HYPERLINK("http://www.jccm.es/sede/tramite/KGR","COMUNICACION DE COLOCACIONES DE LOS DEMANDANTES BENEFICIARIOS DEL PROGRAMA DE ACTIVACION PARA EL EMPLEO")</f>
        <v>COMUNICACION DE COLOCACIONES DE LOS DEMANDANTES BENEFICIARIOS DEL PROGRAMA DE ACTIVACION PARA EL EMPLEO</v>
      </c>
      <c r="J325" s="3" t="s">
        <v>42</v>
      </c>
      <c r="K325" s="3" t="s">
        <v>41</v>
      </c>
      <c r="L325" s="3" t="s">
        <v>42</v>
      </c>
      <c r="M325" s="3" t="s">
        <v>41</v>
      </c>
    </row>
    <row r="326" spans="1:13" ht="126.6">
      <c r="A326" s="22" t="s">
        <v>12</v>
      </c>
      <c r="B326" s="3" t="s">
        <v>1072</v>
      </c>
      <c r="C326" s="3" t="s">
        <v>1073</v>
      </c>
      <c r="D326" s="3" t="s">
        <v>95</v>
      </c>
      <c r="E326" s="3" t="s">
        <v>95</v>
      </c>
      <c r="F326" s="3" t="s">
        <v>96</v>
      </c>
      <c r="G326" s="3" t="s">
        <v>97</v>
      </c>
      <c r="H326" s="3" t="s">
        <v>1074</v>
      </c>
      <c r="I326" s="3" t="str">
        <f>HYPERLINK("http://www.jccm.es/sede/tramite/IJM","INICIO DE ACTIVIDAD COMO EMPRESA DE RESTAURACION")</f>
        <v>INICIO DE ACTIVIDAD COMO EMPRESA DE RESTAURACION</v>
      </c>
      <c r="J326" s="3" t="s">
        <v>42</v>
      </c>
      <c r="K326" s="3" t="s">
        <v>41</v>
      </c>
      <c r="L326" s="3" t="s">
        <v>42</v>
      </c>
      <c r="M326" s="3" t="s">
        <v>42</v>
      </c>
    </row>
    <row r="327" spans="1:13" ht="126.6">
      <c r="A327" s="22" t="s">
        <v>12</v>
      </c>
      <c r="B327" s="3" t="s">
        <v>1075</v>
      </c>
      <c r="C327" s="3" t="s">
        <v>1076</v>
      </c>
      <c r="D327" s="3" t="s">
        <v>95</v>
      </c>
      <c r="E327" s="3" t="s">
        <v>95</v>
      </c>
      <c r="F327" s="3" t="s">
        <v>96</v>
      </c>
      <c r="G327" s="3" t="s">
        <v>97</v>
      </c>
      <c r="H327" s="3" t="s">
        <v>1077</v>
      </c>
      <c r="I327" s="3" t="str">
        <f>HYPERLINK("http://www.jccm.es/sede/tramite/KPM","MODIFICACION DE LA CAPACIDAD/CAMBIO EN LA CLASIFICACION DE LA EMPRESA DE RESTAURACION")</f>
        <v>MODIFICACION DE LA CAPACIDAD/CAMBIO EN LA CLASIFICACION DE LA EMPRESA DE RESTAURACION</v>
      </c>
      <c r="J327" s="3" t="s">
        <v>42</v>
      </c>
      <c r="K327" s="3" t="s">
        <v>41</v>
      </c>
      <c r="L327" s="3" t="s">
        <v>42</v>
      </c>
      <c r="M327" s="3" t="s">
        <v>41</v>
      </c>
    </row>
    <row r="328" spans="1:13" ht="126.6">
      <c r="A328" s="22" t="s">
        <v>12</v>
      </c>
      <c r="B328" s="3" t="s">
        <v>1078</v>
      </c>
      <c r="C328" s="3" t="s">
        <v>1079</v>
      </c>
      <c r="D328" s="3" t="s">
        <v>95</v>
      </c>
      <c r="E328" s="3" t="s">
        <v>95</v>
      </c>
      <c r="F328" s="3" t="s">
        <v>96</v>
      </c>
      <c r="G328" s="3" t="s">
        <v>97</v>
      </c>
      <c r="H328" s="3" t="s">
        <v>1080</v>
      </c>
      <c r="I328" s="3" t="str">
        <f>HYPERLINK("http://www.jccm.es/sede/tramite/KPN","CAMBIO DE TITULARIDAD, CAMBIO DE DENOMINACION O CESE DE ACTIVIDAD COMO EMPRESA DE RESTAURACION")</f>
        <v>CAMBIO DE TITULARIDAD, CAMBIO DE DENOMINACION O CESE DE ACTIVIDAD COMO EMPRESA DE RESTAURACION</v>
      </c>
      <c r="J328" s="3" t="s">
        <v>42</v>
      </c>
      <c r="K328" s="3" t="s">
        <v>41</v>
      </c>
      <c r="L328" s="3" t="s">
        <v>42</v>
      </c>
      <c r="M328" s="3" t="s">
        <v>41</v>
      </c>
    </row>
    <row r="329" spans="1:13" ht="138">
      <c r="A329" s="22" t="s">
        <v>12</v>
      </c>
      <c r="B329" s="3" t="s">
        <v>1081</v>
      </c>
      <c r="C329" s="3" t="s">
        <v>1082</v>
      </c>
      <c r="D329" s="3" t="s">
        <v>95</v>
      </c>
      <c r="E329" s="3" t="s">
        <v>95</v>
      </c>
      <c r="F329" s="3" t="s">
        <v>96</v>
      </c>
      <c r="G329" s="3" t="s">
        <v>120</v>
      </c>
      <c r="H329" s="3" t="s">
        <v>1083</v>
      </c>
      <c r="I329" s="3" t="str">
        <f>HYPERLINK("http://www.jccm.es/sede/tramite/KA4","PAPELETA DE CONCILIACION INDIVIDUAL PREVIA A LA VIA JUDICIAL LABORAL")</f>
        <v>PAPELETA DE CONCILIACION INDIVIDUAL PREVIA A LA VIA JUDICIAL LABORAL</v>
      </c>
      <c r="J329" s="3" t="s">
        <v>42</v>
      </c>
      <c r="K329" s="3" t="s">
        <v>41</v>
      </c>
      <c r="L329" s="3" t="s">
        <v>42</v>
      </c>
      <c r="M329" s="3" t="s">
        <v>41</v>
      </c>
    </row>
    <row r="330" spans="1:13" ht="276">
      <c r="A330" s="22" t="s">
        <v>12</v>
      </c>
      <c r="B330" s="3" t="s">
        <v>1084</v>
      </c>
      <c r="C330" s="3" t="s">
        <v>1085</v>
      </c>
      <c r="D330" s="3" t="s">
        <v>1086</v>
      </c>
      <c r="E330" s="3" t="s">
        <v>95</v>
      </c>
      <c r="F330" s="3" t="s">
        <v>96</v>
      </c>
      <c r="G330" s="3" t="s">
        <v>120</v>
      </c>
      <c r="H330" s="3" t="s">
        <v>1087</v>
      </c>
      <c r="I330" s="3" t="str">
        <f>HYPERLINK("http://www.jccm.es/sede/tramite/KER","PROCEDIMIENTO PARA LA SOLUCION DE DISCREPANCIAS SURGIDAS POR FALTA DE ACUERDO EN LOS PROCEDIMIENTOS DE INAPLICACION DE LAS CONDICIONES DE TRABAJO PREVISTAS EN EL CONVENIO COLECTIVO DE APLICACION")</f>
        <v>PROCEDIMIENTO PARA LA SOLUCION DE DISCREPANCIAS SURGIDAS POR FALTA DE ACUERDO EN LOS PROCEDIMIENTOS DE INAPLICACION DE LAS CONDICIONES DE TRABAJO PREVISTAS EN EL CONVENIO COLECTIVO DE APLICACION</v>
      </c>
      <c r="J330" s="3" t="s">
        <v>41</v>
      </c>
      <c r="K330" s="3" t="s">
        <v>41</v>
      </c>
      <c r="L330" s="3" t="s">
        <v>42</v>
      </c>
      <c r="M330" s="3" t="s">
        <v>41</v>
      </c>
    </row>
    <row r="331" spans="1:13" ht="138">
      <c r="A331" s="22" t="s">
        <v>12</v>
      </c>
      <c r="B331" s="3" t="s">
        <v>1088</v>
      </c>
      <c r="C331" s="3" t="s">
        <v>1089</v>
      </c>
      <c r="D331" s="3" t="s">
        <v>1061</v>
      </c>
      <c r="E331" s="3" t="s">
        <v>46</v>
      </c>
      <c r="F331" s="3" t="s">
        <v>96</v>
      </c>
      <c r="G331" s="3" t="s">
        <v>113</v>
      </c>
      <c r="H331" s="3" t="s">
        <v>1090</v>
      </c>
      <c r="I331" s="3" t="str">
        <f>HYPERLINK("http://www.jccm.es/sede/tramite/KGS","GESTION DE OFERTAS DE EMPLEO DE ENTIDADES PUBLICAS Y PRIVADAS")</f>
        <v>GESTION DE OFERTAS DE EMPLEO DE ENTIDADES PUBLICAS Y PRIVADAS</v>
      </c>
      <c r="J331" s="3" t="s">
        <v>42</v>
      </c>
      <c r="K331" s="3" t="s">
        <v>41</v>
      </c>
      <c r="L331" s="3" t="s">
        <v>42</v>
      </c>
      <c r="M331" s="3" t="s">
        <v>41</v>
      </c>
    </row>
    <row r="332" spans="1:13" ht="138">
      <c r="A332" s="22" t="s">
        <v>12</v>
      </c>
      <c r="B332" s="3" t="s">
        <v>1091</v>
      </c>
      <c r="C332" s="3" t="s">
        <v>1092</v>
      </c>
      <c r="D332" s="3" t="s">
        <v>1093</v>
      </c>
      <c r="E332" s="3" t="s">
        <v>95</v>
      </c>
      <c r="F332" s="3" t="s">
        <v>96</v>
      </c>
      <c r="G332" s="3" t="s">
        <v>120</v>
      </c>
      <c r="H332" s="3" t="s">
        <v>1094</v>
      </c>
      <c r="I332" s="3" t="str">
        <f>HYPERLINK("http://www.jccm.es/sede/tramite/L7W","COOPERATIVAS Y SOCIEDADES LABORALES: ARBITRAJE, CONCILIACION Y MEDIACION.")</f>
        <v>COOPERATIVAS Y SOCIEDADES LABORALES: ARBITRAJE, CONCILIACION Y MEDIACION.</v>
      </c>
      <c r="J332" s="3" t="s">
        <v>42</v>
      </c>
      <c r="K332" s="3" t="s">
        <v>41</v>
      </c>
      <c r="L332" s="3" t="s">
        <v>42</v>
      </c>
      <c r="M332" s="3" t="s">
        <v>41</v>
      </c>
    </row>
    <row r="333" spans="1:13" ht="138">
      <c r="A333" s="22" t="s">
        <v>12</v>
      </c>
      <c r="B333" s="3" t="s">
        <v>1095</v>
      </c>
      <c r="C333" s="3" t="s">
        <v>1096</v>
      </c>
      <c r="D333" s="3" t="s">
        <v>95</v>
      </c>
      <c r="E333" s="3" t="s">
        <v>95</v>
      </c>
      <c r="F333" s="3" t="s">
        <v>96</v>
      </c>
      <c r="G333" s="3" t="s">
        <v>120</v>
      </c>
      <c r="H333" s="3" t="s">
        <v>1097</v>
      </c>
      <c r="I333" s="3" t="str">
        <f>HYPERLINK("http://www.jccm.es/sede/tramite/K0M","SUSCRIPCION DE CONVENIOS PARA EL DESARROLLO DE PRACTICAS NO LABORALES EN EMPRESAS")</f>
        <v>SUSCRIPCION DE CONVENIOS PARA EL DESARROLLO DE PRACTICAS NO LABORALES EN EMPRESAS</v>
      </c>
      <c r="J333" s="3" t="s">
        <v>42</v>
      </c>
      <c r="K333" s="3" t="s">
        <v>41</v>
      </c>
      <c r="L333" s="3" t="s">
        <v>42</v>
      </c>
      <c r="M333" s="3" t="s">
        <v>41</v>
      </c>
    </row>
    <row r="334" spans="1:13" ht="183.95">
      <c r="A334" s="22" t="s">
        <v>12</v>
      </c>
      <c r="B334" s="3" t="s">
        <v>1098</v>
      </c>
      <c r="C334" s="3" t="s">
        <v>1099</v>
      </c>
      <c r="D334" s="3" t="s">
        <v>95</v>
      </c>
      <c r="E334" s="3" t="s">
        <v>95</v>
      </c>
      <c r="F334" s="3" t="s">
        <v>96</v>
      </c>
      <c r="G334" s="3" t="s">
        <v>113</v>
      </c>
      <c r="H334" s="3" t="s">
        <v>1100</v>
      </c>
      <c r="I334" s="3" t="str">
        <f>HYPERLINK("http://www.jccm.es/sede/tramite/JVI","ENVIO DEL DOCUMENTO DE SOLICITUDES DE RENOVACION DE DEMANDA DE EMPLEO DE LAS UNIDADES LOCALES DE GESTION DE EMPLEO A LAS OFICINAS DE EMPLEO")</f>
        <v>ENVIO DEL DOCUMENTO DE SOLICITUDES DE RENOVACION DE DEMANDA DE EMPLEO DE LAS UNIDADES LOCALES DE GESTION DE EMPLEO A LAS OFICINAS DE EMPLEO</v>
      </c>
      <c r="J334" s="3" t="s">
        <v>42</v>
      </c>
      <c r="K334" s="3" t="s">
        <v>41</v>
      </c>
      <c r="L334" s="3" t="s">
        <v>42</v>
      </c>
      <c r="M334" s="3" t="s">
        <v>41</v>
      </c>
    </row>
    <row r="335" spans="1:13" ht="252.95">
      <c r="A335" s="22" t="s">
        <v>12</v>
      </c>
      <c r="B335" s="3" t="s">
        <v>1101</v>
      </c>
      <c r="C335" s="3" t="s">
        <v>1102</v>
      </c>
      <c r="D335" s="3" t="s">
        <v>95</v>
      </c>
      <c r="E335" s="3" t="s">
        <v>95</v>
      </c>
      <c r="F335" s="3" t="s">
        <v>96</v>
      </c>
      <c r="G335" s="3" t="s">
        <v>113</v>
      </c>
      <c r="H335" s="3" t="s">
        <v>1103</v>
      </c>
      <c r="I335" s="3" t="str">
        <f>HYPERLINK("http://www.jccm.es/sede/tramite/JVF","SOLICITUD DE SUSCRIPCION DE CONVENIOS DE COLABORACION PARA LA CREACION DE UNIDADES LOCALES DE GESTION DE EMPLEO ENTRE AYUNTAMIENTOS Y LA CONSEJERIA DE ECONOMIA, EMPRESAS Y EMPLEO")</f>
        <v>SOLICITUD DE SUSCRIPCION DE CONVENIOS DE COLABORACION PARA LA CREACION DE UNIDADES LOCALES DE GESTION DE EMPLEO ENTRE AYUNTAMIENTOS Y LA CONSEJERIA DE ECONOMIA, EMPRESAS Y EMPLEO</v>
      </c>
      <c r="J335" s="3" t="s">
        <v>41</v>
      </c>
      <c r="K335" s="3" t="s">
        <v>41</v>
      </c>
      <c r="L335" s="3" t="s">
        <v>42</v>
      </c>
      <c r="M335" s="3" t="s">
        <v>41</v>
      </c>
    </row>
    <row r="336" spans="1:13" ht="241.5">
      <c r="A336" s="22" t="s">
        <v>12</v>
      </c>
      <c r="B336" s="3" t="s">
        <v>1104</v>
      </c>
      <c r="C336" s="3" t="s">
        <v>1105</v>
      </c>
      <c r="D336" s="3" t="s">
        <v>95</v>
      </c>
      <c r="E336" s="3" t="s">
        <v>95</v>
      </c>
      <c r="F336" s="3" t="s">
        <v>96</v>
      </c>
      <c r="G336" s="3" t="s">
        <v>328</v>
      </c>
      <c r="H336" s="3" t="s">
        <v>1106</v>
      </c>
      <c r="I336" s="3" t="str">
        <f>HYPERLINK("http://www.jccm.es/sede/tramite/KY8","SOLICITUD DE CONVENIO PARA LA REALIZACION DE ACTIVIDADES DE ASESORAMIENTO PARA EL AUTOEMPLEO Y EL EMPRENDIMIENTO, MEDIANTE LA CREACION DE LOS  ESPACIOS ADELANTE AUTOEMPLEO ")</f>
        <v xml:space="preserve">SOLICITUD DE CONVENIO PARA LA REALIZACION DE ACTIVIDADES DE ASESORAMIENTO PARA EL AUTOEMPLEO Y EL EMPRENDIMIENTO, MEDIANTE LA CREACION DE LOS  ESPACIOS ADELANTE AUTOEMPLEO </v>
      </c>
      <c r="J336" s="3" t="s">
        <v>41</v>
      </c>
      <c r="K336" s="3" t="s">
        <v>41</v>
      </c>
      <c r="L336" s="3" t="s">
        <v>42</v>
      </c>
      <c r="M336" s="3" t="s">
        <v>41</v>
      </c>
    </row>
    <row r="337" spans="1:13" ht="172.5">
      <c r="A337" s="22" t="s">
        <v>12</v>
      </c>
      <c r="B337" s="3" t="s">
        <v>1107</v>
      </c>
      <c r="C337" s="3" t="s">
        <v>1108</v>
      </c>
      <c r="D337" s="3" t="s">
        <v>51</v>
      </c>
      <c r="E337" s="3" t="s">
        <v>46</v>
      </c>
      <c r="F337" s="3" t="s">
        <v>96</v>
      </c>
      <c r="G337" s="3" t="s">
        <v>1109</v>
      </c>
      <c r="H337" s="3" t="s">
        <v>1110</v>
      </c>
      <c r="I337" s="3" t="str">
        <f>HYPERLINK("http://www.jccm.es/sede/tramite/JZS","PROVISION DE PUESTOS DE TRABAJO POR EL PROCEDIMIENTO DE LIBRE DESIGNACION (ECONOMIA, EMPRESAS Y EMPLEO).")</f>
        <v>PROVISION DE PUESTOS DE TRABAJO POR EL PROCEDIMIENTO DE LIBRE DESIGNACION (ECONOMIA, EMPRESAS Y EMPLEO).</v>
      </c>
      <c r="J337" s="3" t="s">
        <v>41</v>
      </c>
      <c r="K337" s="3" t="s">
        <v>41</v>
      </c>
      <c r="L337" s="3" t="s">
        <v>42</v>
      </c>
      <c r="M337" s="3" t="s">
        <v>41</v>
      </c>
    </row>
    <row r="338" spans="1:13" ht="114.95">
      <c r="A338" s="22" t="s">
        <v>12</v>
      </c>
      <c r="B338" s="3" t="s">
        <v>1111</v>
      </c>
      <c r="C338" s="3" t="s">
        <v>1112</v>
      </c>
      <c r="D338" s="3" t="s">
        <v>45</v>
      </c>
      <c r="E338" s="3" t="s">
        <v>46</v>
      </c>
      <c r="F338" s="3" t="s">
        <v>96</v>
      </c>
      <c r="G338" s="3" t="s">
        <v>1109</v>
      </c>
      <c r="H338" s="3" t="s">
        <v>1113</v>
      </c>
      <c r="I338" s="3" t="str">
        <f>HYPERLINK("http://www.jccm.es/sede/tramite/LT8","CESION GRATUITA DE VEHICULOS.")</f>
        <v>CESION GRATUITA DE VEHICULOS.</v>
      </c>
      <c r="J338" s="3" t="s">
        <v>42</v>
      </c>
      <c r="K338" s="3" t="s">
        <v>41</v>
      </c>
      <c r="L338" s="3" t="s">
        <v>42</v>
      </c>
      <c r="M338" s="3" t="s">
        <v>41</v>
      </c>
    </row>
    <row r="339" spans="1:13" ht="218.45">
      <c r="A339" s="22" t="s">
        <v>17</v>
      </c>
      <c r="B339" s="3" t="s">
        <v>1114</v>
      </c>
      <c r="C339" s="3" t="s">
        <v>1115</v>
      </c>
      <c r="D339" s="3" t="s">
        <v>45</v>
      </c>
      <c r="E339" s="3" t="s">
        <v>37</v>
      </c>
      <c r="F339" s="3" t="s">
        <v>1116</v>
      </c>
      <c r="G339" s="3" t="s">
        <v>1117</v>
      </c>
      <c r="H339" s="3" t="s">
        <v>1118</v>
      </c>
      <c r="I339" s="3" t="str">
        <f>HYPERLINK("http://www.jccm.es/sede/tramite/JO0","AUTORIZACION PREVIA AL PROTECTORADO (FUNDACIONES)")</f>
        <v>AUTORIZACION PREVIA AL PROTECTORADO (FUNDACIONES)</v>
      </c>
      <c r="J339" s="3" t="s">
        <v>42</v>
      </c>
      <c r="K339" s="3" t="s">
        <v>41</v>
      </c>
      <c r="L339" s="3" t="s">
        <v>42</v>
      </c>
      <c r="M339" s="3" t="s">
        <v>41</v>
      </c>
    </row>
    <row r="340" spans="1:13" ht="183.95">
      <c r="A340" s="22" t="s">
        <v>17</v>
      </c>
      <c r="B340" s="3" t="s">
        <v>1119</v>
      </c>
      <c r="C340" s="3" t="s">
        <v>1120</v>
      </c>
      <c r="D340" s="3" t="s">
        <v>327</v>
      </c>
      <c r="E340" s="3" t="s">
        <v>37</v>
      </c>
      <c r="F340" s="3" t="s">
        <v>1116</v>
      </c>
      <c r="G340" s="3" t="s">
        <v>1117</v>
      </c>
      <c r="H340" s="3" t="s">
        <v>1121</v>
      </c>
      <c r="I340" s="3" t="str">
        <f>HYPERLINK("http://www.jccm.es/sede/tramite/J8D","AUTORIZACION DE ADJUDICACION EN PUBLICA SUBASTA, MEDIANTE PRECIO, DEL APROVECHAMIENTO DE BIENES COMUNALES DE LAS CORPORACIONES LOCALES")</f>
        <v>AUTORIZACION DE ADJUDICACION EN PUBLICA SUBASTA, MEDIANTE PRECIO, DEL APROVECHAMIENTO DE BIENES COMUNALES DE LAS CORPORACIONES LOCALES</v>
      </c>
      <c r="J340" s="3" t="s">
        <v>42</v>
      </c>
      <c r="K340" s="3" t="s">
        <v>41</v>
      </c>
      <c r="L340" s="3" t="s">
        <v>42</v>
      </c>
      <c r="M340" s="3" t="s">
        <v>41</v>
      </c>
    </row>
    <row r="341" spans="1:13" ht="230.1">
      <c r="A341" s="22" t="s">
        <v>17</v>
      </c>
      <c r="B341" s="3" t="s">
        <v>1122</v>
      </c>
      <c r="C341" s="3" t="s">
        <v>1123</v>
      </c>
      <c r="D341" s="3" t="s">
        <v>1124</v>
      </c>
      <c r="E341" s="3" t="s">
        <v>37</v>
      </c>
      <c r="F341" s="3" t="s">
        <v>1116</v>
      </c>
      <c r="G341" s="3" t="s">
        <v>1125</v>
      </c>
      <c r="H341" s="3" t="s">
        <v>1126</v>
      </c>
      <c r="I341" s="3" t="str">
        <f>HYPERLINK("http://www.jccm.es/sede/tramite/J70","AUTORIZACION DE ACTIVIDADES RECREATIVAS O PRUEBAS DEPORTIVAS A REALIZAR POR EL TERRITORIO DE DOS O MAS PROVINCIAS.")</f>
        <v>AUTORIZACION DE ACTIVIDADES RECREATIVAS O PRUEBAS DEPORTIVAS A REALIZAR POR EL TERRITORIO DE DOS O MAS PROVINCIAS.</v>
      </c>
      <c r="J341" s="3" t="s">
        <v>42</v>
      </c>
      <c r="K341" s="3" t="s">
        <v>41</v>
      </c>
      <c r="L341" s="3" t="s">
        <v>42</v>
      </c>
      <c r="M341" s="3" t="s">
        <v>41</v>
      </c>
    </row>
    <row r="342" spans="1:13" ht="230.1">
      <c r="A342" s="22" t="s">
        <v>17</v>
      </c>
      <c r="B342" s="3" t="s">
        <v>1127</v>
      </c>
      <c r="C342" s="3" t="s">
        <v>1128</v>
      </c>
      <c r="D342" s="3" t="s">
        <v>1129</v>
      </c>
      <c r="E342" s="3" t="s">
        <v>37</v>
      </c>
      <c r="F342" s="3" t="s">
        <v>1116</v>
      </c>
      <c r="G342" s="3" t="s">
        <v>1125</v>
      </c>
      <c r="H342" s="3" t="s">
        <v>1130</v>
      </c>
      <c r="I342" s="3" t="str">
        <f>HYPERLINK("http://www.jccm.es/sede/tramite/F79","AUTORIZACION DE ACTIVIDADES RECREATIVAS O PRUEBAS DEPORTIVAS A REALIZAR POR EL TERRITORIO DE UNA SOLA PROVINCIA")</f>
        <v>AUTORIZACION DE ACTIVIDADES RECREATIVAS O PRUEBAS DEPORTIVAS A REALIZAR POR EL TERRITORIO DE UNA SOLA PROVINCIA</v>
      </c>
      <c r="J342" s="3" t="s">
        <v>42</v>
      </c>
      <c r="K342" s="3" t="s">
        <v>41</v>
      </c>
      <c r="L342" s="3" t="s">
        <v>42</v>
      </c>
      <c r="M342" s="3" t="s">
        <v>41</v>
      </c>
    </row>
    <row r="343" spans="1:13" ht="230.1">
      <c r="A343" s="22" t="s">
        <v>17</v>
      </c>
      <c r="B343" s="3" t="s">
        <v>1131</v>
      </c>
      <c r="C343" s="3" t="s">
        <v>1132</v>
      </c>
      <c r="D343" s="3" t="s">
        <v>45</v>
      </c>
      <c r="E343" s="3" t="s">
        <v>37</v>
      </c>
      <c r="F343" s="3" t="s">
        <v>1116</v>
      </c>
      <c r="G343" s="3" t="s">
        <v>1125</v>
      </c>
      <c r="H343" s="3" t="s">
        <v>1133</v>
      </c>
      <c r="I343" s="3" t="str">
        <f>HYPERLINK("http://www.jccm.es/sede/tramite/J6Z","AUTORIZACION  DE HORARIOS PERMANENTES Y ESPECIALES")</f>
        <v>AUTORIZACION  DE HORARIOS PERMANENTES Y ESPECIALES</v>
      </c>
      <c r="J343" s="3" t="s">
        <v>42</v>
      </c>
      <c r="K343" s="3" t="s">
        <v>41</v>
      </c>
      <c r="L343" s="3" t="s">
        <v>42</v>
      </c>
      <c r="M343" s="3" t="s">
        <v>41</v>
      </c>
    </row>
    <row r="344" spans="1:13" ht="230.1">
      <c r="A344" s="22" t="s">
        <v>17</v>
      </c>
      <c r="B344" s="3" t="s">
        <v>1134</v>
      </c>
      <c r="C344" s="3" t="s">
        <v>1135</v>
      </c>
      <c r="D344" s="3" t="s">
        <v>1136</v>
      </c>
      <c r="E344" s="3" t="s">
        <v>37</v>
      </c>
      <c r="F344" s="3" t="s">
        <v>1116</v>
      </c>
      <c r="G344" s="3" t="s">
        <v>1125</v>
      </c>
      <c r="H344" s="3" t="s">
        <v>1137</v>
      </c>
      <c r="I344" s="3" t="str">
        <f>HYPERLINK("http://www.jccm.es/sede/tramite/F78","COMUNICACION DE ESPECTACULOS TAURINOS EN PLAZA DE TOROS PERMANENTE.")</f>
        <v>COMUNICACION DE ESPECTACULOS TAURINOS EN PLAZA DE TOROS PERMANENTE.</v>
      </c>
      <c r="J344" s="3" t="s">
        <v>41</v>
      </c>
      <c r="K344" s="3" t="s">
        <v>41</v>
      </c>
      <c r="L344" s="3" t="s">
        <v>42</v>
      </c>
      <c r="M344" s="3" t="s">
        <v>41</v>
      </c>
    </row>
    <row r="345" spans="1:13" ht="230.1">
      <c r="A345" s="22" t="s">
        <v>17</v>
      </c>
      <c r="B345" s="3" t="s">
        <v>1138</v>
      </c>
      <c r="C345" s="3" t="s">
        <v>1139</v>
      </c>
      <c r="D345" s="3" t="s">
        <v>1136</v>
      </c>
      <c r="E345" s="3" t="s">
        <v>37</v>
      </c>
      <c r="F345" s="3" t="s">
        <v>1116</v>
      </c>
      <c r="G345" s="3" t="s">
        <v>1125</v>
      </c>
      <c r="H345" s="3" t="s">
        <v>1140</v>
      </c>
      <c r="I345" s="3" t="str">
        <f>HYPERLINK("http://www.jccm.es/sede/tramite/F77","AUTORIZACION DE ESPECTACULOS TAURINOS EN PLAZA DE TOROS NO PERMANENTE O PORTATIL.")</f>
        <v>AUTORIZACION DE ESPECTACULOS TAURINOS EN PLAZA DE TOROS NO PERMANENTE O PORTATIL.</v>
      </c>
      <c r="J345" s="3" t="s">
        <v>41</v>
      </c>
      <c r="K345" s="3" t="s">
        <v>41</v>
      </c>
      <c r="L345" s="3" t="s">
        <v>42</v>
      </c>
      <c r="M345" s="3" t="s">
        <v>41</v>
      </c>
    </row>
    <row r="346" spans="1:13" ht="230.1">
      <c r="A346" s="22" t="s">
        <v>17</v>
      </c>
      <c r="B346" s="3" t="s">
        <v>1141</v>
      </c>
      <c r="C346" s="3" t="s">
        <v>1142</v>
      </c>
      <c r="D346" s="3" t="s">
        <v>1143</v>
      </c>
      <c r="E346" s="3" t="s">
        <v>37</v>
      </c>
      <c r="F346" s="3" t="s">
        <v>1116</v>
      </c>
      <c r="G346" s="3" t="s">
        <v>1125</v>
      </c>
      <c r="H346" s="3" t="s">
        <v>1144</v>
      </c>
      <c r="I346" s="3" t="str">
        <f>HYPERLINK("http://www.jccm.es/sede/tramite/E59","AUTORIZACION DE FESTEJOS TAURINOS POPULARES.")</f>
        <v>AUTORIZACION DE FESTEJOS TAURINOS POPULARES.</v>
      </c>
      <c r="J346" s="3" t="s">
        <v>41</v>
      </c>
      <c r="K346" s="3" t="s">
        <v>41</v>
      </c>
      <c r="L346" s="3" t="s">
        <v>42</v>
      </c>
      <c r="M346" s="3" t="s">
        <v>41</v>
      </c>
    </row>
    <row r="347" spans="1:13" ht="230.1">
      <c r="A347" s="22" t="s">
        <v>17</v>
      </c>
      <c r="B347" s="3" t="s">
        <v>1145</v>
      </c>
      <c r="C347" s="3" t="s">
        <v>1146</v>
      </c>
      <c r="D347" s="3" t="s">
        <v>1147</v>
      </c>
      <c r="E347" s="3" t="s">
        <v>37</v>
      </c>
      <c r="F347" s="3" t="s">
        <v>1116</v>
      </c>
      <c r="G347" s="3" t="s">
        <v>1125</v>
      </c>
      <c r="H347" s="3" t="s">
        <v>1148</v>
      </c>
      <c r="I347" s="3" t="str">
        <f>HYPERLINK("http://www.jccm.es/sede/tramite/JGF","CREACION / RENOVACION DE ESCUELA TAURINA")</f>
        <v>CREACION / RENOVACION DE ESCUELA TAURINA</v>
      </c>
      <c r="J347" s="3" t="s">
        <v>41</v>
      </c>
      <c r="K347" s="3" t="s">
        <v>41</v>
      </c>
      <c r="L347" s="3" t="s">
        <v>42</v>
      </c>
      <c r="M347" s="3" t="s">
        <v>42</v>
      </c>
    </row>
    <row r="348" spans="1:13" ht="172.5">
      <c r="A348" s="22" t="s">
        <v>17</v>
      </c>
      <c r="B348" s="3" t="s">
        <v>1149</v>
      </c>
      <c r="C348" s="3" t="s">
        <v>1150</v>
      </c>
      <c r="D348" s="3" t="s">
        <v>95</v>
      </c>
      <c r="E348" s="3" t="s">
        <v>95</v>
      </c>
      <c r="F348" s="3" t="s">
        <v>1116</v>
      </c>
      <c r="G348" s="3" t="s">
        <v>1117</v>
      </c>
      <c r="H348" s="3" t="s">
        <v>1151</v>
      </c>
      <c r="I348" s="3" t="str">
        <f>HYPERLINK("http://www.jccm.es/sede/tramite/JL4","AUTORIZACION DE CONSULTA DE DOCUMENTOS DEL ARCHIVO DE CASTILLA-LA MANCHA")</f>
        <v>AUTORIZACION DE CONSULTA DE DOCUMENTOS DEL ARCHIVO DE CASTILLA-LA MANCHA</v>
      </c>
      <c r="J348" s="3" t="s">
        <v>42</v>
      </c>
      <c r="K348" s="3" t="s">
        <v>41</v>
      </c>
      <c r="L348" s="3" t="s">
        <v>42</v>
      </c>
      <c r="M348" s="3" t="s">
        <v>41</v>
      </c>
    </row>
    <row r="349" spans="1:13" ht="172.5">
      <c r="A349" s="22" t="s">
        <v>17</v>
      </c>
      <c r="B349" s="3" t="s">
        <v>1152</v>
      </c>
      <c r="C349" s="3" t="s">
        <v>1153</v>
      </c>
      <c r="D349" s="3" t="s">
        <v>45</v>
      </c>
      <c r="E349" s="3" t="s">
        <v>37</v>
      </c>
      <c r="F349" s="3" t="s">
        <v>1116</v>
      </c>
      <c r="G349" s="3" t="s">
        <v>1117</v>
      </c>
      <c r="H349" s="3" t="s">
        <v>1154</v>
      </c>
      <c r="I349" s="3" t="str">
        <f>HYPERLINK("http://www.jccm.es/sede/tramite/JVB","AUTORIZACION DE LA COMUNIDAD AUTONOMA PARA CAMBIAR EL USO DE LOS BIENES COMUNALES")</f>
        <v>AUTORIZACION DE LA COMUNIDAD AUTONOMA PARA CAMBIAR EL USO DE LOS BIENES COMUNALES</v>
      </c>
      <c r="J349" s="3" t="s">
        <v>42</v>
      </c>
      <c r="K349" s="3" t="s">
        <v>41</v>
      </c>
      <c r="L349" s="3" t="s">
        <v>42</v>
      </c>
      <c r="M349" s="3" t="s">
        <v>41</v>
      </c>
    </row>
    <row r="350" spans="1:13" ht="172.5">
      <c r="A350" s="22" t="s">
        <v>17</v>
      </c>
      <c r="B350" s="3" t="s">
        <v>1155</v>
      </c>
      <c r="C350" s="3" t="s">
        <v>1156</v>
      </c>
      <c r="D350" s="3" t="s">
        <v>327</v>
      </c>
      <c r="E350" s="3" t="s">
        <v>46</v>
      </c>
      <c r="F350" s="3" t="s">
        <v>1116</v>
      </c>
      <c r="G350" s="3" t="s">
        <v>1117</v>
      </c>
      <c r="H350" s="3" t="s">
        <v>1157</v>
      </c>
      <c r="I350" s="3" t="str">
        <f>HYPERLINK("http://www.jccm.es/sede/tramite/JX2","ALTERACIONES DE TERMINOS MUNICIPALES")</f>
        <v>ALTERACIONES DE TERMINOS MUNICIPALES</v>
      </c>
      <c r="J350" s="3" t="s">
        <v>42</v>
      </c>
      <c r="K350" s="3" t="s">
        <v>41</v>
      </c>
      <c r="L350" s="3" t="s">
        <v>42</v>
      </c>
      <c r="M350" s="3" t="s">
        <v>41</v>
      </c>
    </row>
    <row r="351" spans="1:13" ht="172.5">
      <c r="A351" s="22" t="s">
        <v>17</v>
      </c>
      <c r="B351" s="3" t="s">
        <v>1158</v>
      </c>
      <c r="C351" s="3" t="s">
        <v>1159</v>
      </c>
      <c r="D351" s="3" t="s">
        <v>327</v>
      </c>
      <c r="E351" s="3" t="s">
        <v>37</v>
      </c>
      <c r="F351" s="3" t="s">
        <v>1116</v>
      </c>
      <c r="G351" s="3" t="s">
        <v>1117</v>
      </c>
      <c r="H351" s="3" t="s">
        <v>1160</v>
      </c>
      <c r="I351" s="3" t="str">
        <f>HYPERLINK("http://www.jccm.es/sede/tramite/JX3","CONSTITUCION DEL REGIMEN ESPECIAL DE CONCEJO ABIERTO")</f>
        <v>CONSTITUCION DEL REGIMEN ESPECIAL DE CONCEJO ABIERTO</v>
      </c>
      <c r="J351" s="3" t="s">
        <v>42</v>
      </c>
      <c r="K351" s="3" t="s">
        <v>41</v>
      </c>
      <c r="L351" s="3" t="s">
        <v>42</v>
      </c>
      <c r="M351" s="3" t="s">
        <v>41</v>
      </c>
    </row>
    <row r="352" spans="1:13" ht="172.5">
      <c r="A352" s="22" t="s">
        <v>17</v>
      </c>
      <c r="B352" s="3" t="s">
        <v>1161</v>
      </c>
      <c r="C352" s="3" t="s">
        <v>1162</v>
      </c>
      <c r="D352" s="3" t="s">
        <v>327</v>
      </c>
      <c r="E352" s="3" t="s">
        <v>37</v>
      </c>
      <c r="F352" s="3" t="s">
        <v>1116</v>
      </c>
      <c r="G352" s="3" t="s">
        <v>1117</v>
      </c>
      <c r="H352" s="3" t="s">
        <v>1163</v>
      </c>
      <c r="I352" s="3" t="str">
        <f>HYPERLINK("http://www.jccm.es/sede/tramite/JX4","ALTERACION DEL NOMBRE Y CAPITALIDAD DEL MUNICIPIO")</f>
        <v>ALTERACION DEL NOMBRE Y CAPITALIDAD DEL MUNICIPIO</v>
      </c>
      <c r="J352" s="3" t="s">
        <v>42</v>
      </c>
      <c r="K352" s="3" t="s">
        <v>41</v>
      </c>
      <c r="L352" s="3" t="s">
        <v>42</v>
      </c>
      <c r="M352" s="3" t="s">
        <v>41</v>
      </c>
    </row>
    <row r="353" spans="1:13" ht="172.5">
      <c r="A353" s="22" t="s">
        <v>17</v>
      </c>
      <c r="B353" s="3" t="s">
        <v>1164</v>
      </c>
      <c r="C353" s="3" t="s">
        <v>1165</v>
      </c>
      <c r="D353" s="3" t="s">
        <v>45</v>
      </c>
      <c r="E353" s="3" t="s">
        <v>37</v>
      </c>
      <c r="F353" s="3" t="s">
        <v>1116</v>
      </c>
      <c r="G353" s="3" t="s">
        <v>1117</v>
      </c>
      <c r="H353" s="3" t="s">
        <v>1166</v>
      </c>
      <c r="I353" s="3" t="str">
        <f>HYPERLINK("http://www.jccm.es/sede/tramite/K0X","RATIFICACION EXTINCION FUNDACION")</f>
        <v>RATIFICACION EXTINCION FUNDACION</v>
      </c>
      <c r="J353" s="3" t="s">
        <v>42</v>
      </c>
      <c r="K353" s="3" t="s">
        <v>41</v>
      </c>
      <c r="L353" s="3" t="s">
        <v>42</v>
      </c>
      <c r="M353" s="3" t="s">
        <v>41</v>
      </c>
    </row>
    <row r="354" spans="1:13" ht="138">
      <c r="A354" s="22" t="s">
        <v>17</v>
      </c>
      <c r="B354" s="3" t="s">
        <v>1167</v>
      </c>
      <c r="C354" s="3" t="s">
        <v>1168</v>
      </c>
      <c r="D354" s="3" t="s">
        <v>62</v>
      </c>
      <c r="E354" s="3" t="s">
        <v>37</v>
      </c>
      <c r="F354" s="3" t="s">
        <v>1116</v>
      </c>
      <c r="G354" s="3" t="s">
        <v>1169</v>
      </c>
      <c r="H354" s="3" t="s">
        <v>1170</v>
      </c>
      <c r="I354" s="3" t="str">
        <f>HYPERLINK("http://www.jccm.es/sede/tramite/K3U","AUTORIZACION DE ACTIVIDADES DE PUBLICIDAD, PATROCINIO Y PROMOCION DE JUEGOS Y LAS APUESTAS.")</f>
        <v>AUTORIZACION DE ACTIVIDADES DE PUBLICIDAD, PATROCINIO Y PROMOCION DE JUEGOS Y LAS APUESTAS.</v>
      </c>
      <c r="J354" s="3" t="s">
        <v>42</v>
      </c>
      <c r="K354" s="3" t="s">
        <v>41</v>
      </c>
      <c r="L354" s="3" t="s">
        <v>42</v>
      </c>
      <c r="M354" s="3" t="s">
        <v>41</v>
      </c>
    </row>
    <row r="355" spans="1:13" ht="138">
      <c r="A355" s="22" t="s">
        <v>17</v>
      </c>
      <c r="B355" s="3" t="s">
        <v>1171</v>
      </c>
      <c r="C355" s="3" t="s">
        <v>1172</v>
      </c>
      <c r="D355" s="3" t="s">
        <v>1173</v>
      </c>
      <c r="E355" s="3" t="s">
        <v>46</v>
      </c>
      <c r="F355" s="3" t="s">
        <v>1116</v>
      </c>
      <c r="G355" s="3" t="s">
        <v>1169</v>
      </c>
      <c r="H355" s="3" t="s">
        <v>1174</v>
      </c>
      <c r="I355" s="3" t="str">
        <f>HYPERLINK("http://www.jccm.es/sede/tramite/K3W","AUTORIZACION DE RIFAS O TOMBOLAS")</f>
        <v>AUTORIZACION DE RIFAS O TOMBOLAS</v>
      </c>
      <c r="J355" s="3" t="s">
        <v>42</v>
      </c>
      <c r="K355" s="3" t="s">
        <v>41</v>
      </c>
      <c r="L355" s="3" t="s">
        <v>42</v>
      </c>
      <c r="M355" s="3" t="s">
        <v>41</v>
      </c>
    </row>
    <row r="356" spans="1:13" ht="172.5">
      <c r="A356" s="22" t="s">
        <v>17</v>
      </c>
      <c r="B356" s="3" t="s">
        <v>1175</v>
      </c>
      <c r="C356" s="3" t="s">
        <v>1176</v>
      </c>
      <c r="D356" s="3" t="s">
        <v>45</v>
      </c>
      <c r="E356" s="3" t="s">
        <v>46</v>
      </c>
      <c r="F356" s="3" t="s">
        <v>1116</v>
      </c>
      <c r="G356" s="3" t="s">
        <v>1169</v>
      </c>
      <c r="H356" s="3" t="s">
        <v>1177</v>
      </c>
      <c r="I356" s="3" t="str">
        <f>HYPERLINK("http://www.jccm.es/sede/tramite/K44","AUTORIZACION DE ACTIVIDADES DE JUEGOS ESPORADICOS POR CANALES ELECTRONICOS, INFORMATICOS, TELEMATICOS O INTERACTIVOS.")</f>
        <v>AUTORIZACION DE ACTIVIDADES DE JUEGOS ESPORADICOS POR CANALES ELECTRONICOS, INFORMATICOS, TELEMATICOS O INTERACTIVOS.</v>
      </c>
      <c r="J356" s="3" t="s">
        <v>42</v>
      </c>
      <c r="K356" s="3" t="s">
        <v>41</v>
      </c>
      <c r="L356" s="3" t="s">
        <v>42</v>
      </c>
      <c r="M356" s="3" t="s">
        <v>41</v>
      </c>
    </row>
    <row r="357" spans="1:13" ht="183.95">
      <c r="A357" s="22" t="s">
        <v>17</v>
      </c>
      <c r="B357" s="3" t="s">
        <v>1178</v>
      </c>
      <c r="C357" s="3" t="s">
        <v>1179</v>
      </c>
      <c r="D357" s="3" t="s">
        <v>45</v>
      </c>
      <c r="E357" s="3" t="s">
        <v>46</v>
      </c>
      <c r="F357" s="3" t="s">
        <v>1116</v>
      </c>
      <c r="G357" s="3" t="s">
        <v>1169</v>
      </c>
      <c r="H357" s="3" t="s">
        <v>1180</v>
      </c>
      <c r="I357" s="3" t="str">
        <f>HYPERLINK("http://www.jccm.es/sede/tramite/K45","TRANSMISION DE LA AUTORIZACION DE JUEGOS PERMANENTES POR CANALES ELECTRONICOS, INFORMATICOS, TELEMATICOS O INTERACTIVOS.")</f>
        <v>TRANSMISION DE LA AUTORIZACION DE JUEGOS PERMANENTES POR CANALES ELECTRONICOS, INFORMATICOS, TELEMATICOS O INTERACTIVOS.</v>
      </c>
      <c r="J357" s="3" t="s">
        <v>42</v>
      </c>
      <c r="K357" s="3" t="s">
        <v>41</v>
      </c>
      <c r="L357" s="3" t="s">
        <v>42</v>
      </c>
      <c r="M357" s="3" t="s">
        <v>41</v>
      </c>
    </row>
    <row r="358" spans="1:13" ht="138">
      <c r="A358" s="22" t="s">
        <v>17</v>
      </c>
      <c r="B358" s="3" t="s">
        <v>1181</v>
      </c>
      <c r="C358" s="3" t="s">
        <v>1182</v>
      </c>
      <c r="D358" s="3" t="s">
        <v>327</v>
      </c>
      <c r="E358" s="3" t="s">
        <v>46</v>
      </c>
      <c r="F358" s="3" t="s">
        <v>1116</v>
      </c>
      <c r="G358" s="3" t="s">
        <v>1169</v>
      </c>
      <c r="H358" s="3" t="s">
        <v>1183</v>
      </c>
      <c r="I358" s="3" t="str">
        <f>HYPERLINK("http://www.jccm.es/sede/tramite/K46","HOMOLOGACION, CONVALIDACION, MODIFICACION SUSTANCIAL DE LOS SISTEMAS TECNICOS DE JUEGO.")</f>
        <v>HOMOLOGACION, CONVALIDACION, MODIFICACION SUSTANCIAL DE LOS SISTEMAS TECNICOS DE JUEGO.</v>
      </c>
      <c r="J358" s="3" t="s">
        <v>42</v>
      </c>
      <c r="K358" s="3" t="s">
        <v>41</v>
      </c>
      <c r="L358" s="3" t="s">
        <v>42</v>
      </c>
      <c r="M358" s="3" t="s">
        <v>41</v>
      </c>
    </row>
    <row r="359" spans="1:13" ht="138">
      <c r="A359" s="22" t="s">
        <v>17</v>
      </c>
      <c r="B359" s="3" t="s">
        <v>1184</v>
      </c>
      <c r="C359" s="3" t="s">
        <v>1185</v>
      </c>
      <c r="D359" s="3" t="s">
        <v>327</v>
      </c>
      <c r="E359" s="3" t="s">
        <v>46</v>
      </c>
      <c r="F359" s="3" t="s">
        <v>1116</v>
      </c>
      <c r="G359" s="3" t="s">
        <v>1169</v>
      </c>
      <c r="H359" s="3" t="s">
        <v>1186</v>
      </c>
      <c r="I359" s="3" t="str">
        <f>HYPERLINK("http://www.jccm.es/sede/tramite/K4I","AUTORIZACION  DE INSTALACION  ZONAS DE APUESTAS.")</f>
        <v>AUTORIZACION  DE INSTALACION  ZONAS DE APUESTAS.</v>
      </c>
      <c r="J359" s="3" t="s">
        <v>42</v>
      </c>
      <c r="K359" s="3" t="s">
        <v>41</v>
      </c>
      <c r="L359" s="3" t="s">
        <v>42</v>
      </c>
      <c r="M359" s="3" t="s">
        <v>41</v>
      </c>
    </row>
    <row r="360" spans="1:13" ht="138">
      <c r="A360" s="22" t="s">
        <v>17</v>
      </c>
      <c r="B360" s="3" t="s">
        <v>1187</v>
      </c>
      <c r="C360" s="3" t="s">
        <v>1188</v>
      </c>
      <c r="D360" s="3" t="s">
        <v>45</v>
      </c>
      <c r="E360" s="3" t="s">
        <v>46</v>
      </c>
      <c r="F360" s="3" t="s">
        <v>1116</v>
      </c>
      <c r="G360" s="3" t="s">
        <v>1169</v>
      </c>
      <c r="H360" s="3" t="s">
        <v>1189</v>
      </c>
      <c r="I360" s="3" t="str">
        <f>HYPERLINK("http://www.jccm.es/sede/tramite/K4S","AUTORIZACION DE SISTEMAS DE INTERCONEXIONADO.")</f>
        <v>AUTORIZACION DE SISTEMAS DE INTERCONEXIONADO.</v>
      </c>
      <c r="J360" s="3" t="s">
        <v>42</v>
      </c>
      <c r="K360" s="3" t="s">
        <v>41</v>
      </c>
      <c r="L360" s="3" t="s">
        <v>42</v>
      </c>
      <c r="M360" s="3" t="s">
        <v>41</v>
      </c>
    </row>
    <row r="361" spans="1:13" ht="138">
      <c r="A361" s="22" t="s">
        <v>17</v>
      </c>
      <c r="B361" s="3" t="s">
        <v>1190</v>
      </c>
      <c r="C361" s="3" t="s">
        <v>1191</v>
      </c>
      <c r="D361" s="3" t="s">
        <v>45</v>
      </c>
      <c r="E361" s="3" t="s">
        <v>46</v>
      </c>
      <c r="F361" s="3" t="s">
        <v>1116</v>
      </c>
      <c r="G361" s="3" t="s">
        <v>1169</v>
      </c>
      <c r="H361" s="3" t="s">
        <v>1192</v>
      </c>
      <c r="I361" s="3" t="str">
        <f>HYPERLINK("http://www.jccm.es/sede/tramite/K59","TRANSMISION DE LA AUTORIZACION  DE INSTALACION  DE CASINOS DE JUEGO Y  ESTABLECIMIENTOS DE JUEGO.")</f>
        <v>TRANSMISION DE LA AUTORIZACION  DE INSTALACION  DE CASINOS DE JUEGO Y  ESTABLECIMIENTOS DE JUEGO.</v>
      </c>
      <c r="J361" s="3" t="s">
        <v>42</v>
      </c>
      <c r="K361" s="3" t="s">
        <v>41</v>
      </c>
      <c r="L361" s="3" t="s">
        <v>42</v>
      </c>
      <c r="M361" s="3" t="s">
        <v>41</v>
      </c>
    </row>
    <row r="362" spans="1:13" ht="195.6">
      <c r="A362" s="22" t="s">
        <v>17</v>
      </c>
      <c r="B362" s="3" t="s">
        <v>1193</v>
      </c>
      <c r="C362" s="3" t="s">
        <v>1194</v>
      </c>
      <c r="D362" s="3" t="s">
        <v>45</v>
      </c>
      <c r="E362" s="3" t="s">
        <v>37</v>
      </c>
      <c r="F362" s="3" t="s">
        <v>1116</v>
      </c>
      <c r="G362" s="3" t="s">
        <v>1169</v>
      </c>
      <c r="H362" s="3" t="s">
        <v>1195</v>
      </c>
      <c r="I362" s="3" t="str">
        <f>HYPERLINK("http://www.jccm.es/sede/tramite/K5G","SOLICITUD DE CLAVES DE ACCESO A LA TRAMITACION TELEMATICA JUEGO Y  A LA APLICACION DEL CONTROL ACCESO DE LOS ESTABLECIMIENTOS DE JUEGO")</f>
        <v>SOLICITUD DE CLAVES DE ACCESO A LA TRAMITACION TELEMATICA JUEGO Y  A LA APLICACION DEL CONTROL ACCESO DE LOS ESTABLECIMIENTOS DE JUEGO</v>
      </c>
      <c r="J362" s="3" t="s">
        <v>42</v>
      </c>
      <c r="K362" s="3" t="s">
        <v>41</v>
      </c>
      <c r="L362" s="3" t="s">
        <v>42</v>
      </c>
      <c r="M362" s="3" t="s">
        <v>41</v>
      </c>
    </row>
    <row r="363" spans="1:13" ht="172.5">
      <c r="A363" s="22" t="s">
        <v>17</v>
      </c>
      <c r="B363" s="3" t="s">
        <v>1196</v>
      </c>
      <c r="C363" s="3" t="s">
        <v>1197</v>
      </c>
      <c r="D363" s="3" t="s">
        <v>327</v>
      </c>
      <c r="E363" s="3" t="s">
        <v>37</v>
      </c>
      <c r="F363" s="3" t="s">
        <v>1116</v>
      </c>
      <c r="G363" s="3" t="s">
        <v>1117</v>
      </c>
      <c r="H363" s="3" t="s">
        <v>1198</v>
      </c>
      <c r="I363" s="3" t="str">
        <f>HYPERLINK("http://www.jccm.es/sede/tramite/K9K","CREACION DE UN COLEGIO PROFESIONAL/ CONSEJO DE COLEGIOS PROFESIONALES")</f>
        <v>CREACION DE UN COLEGIO PROFESIONAL/ CONSEJO DE COLEGIOS PROFESIONALES</v>
      </c>
      <c r="J363" s="3" t="s">
        <v>42</v>
      </c>
      <c r="K363" s="3" t="s">
        <v>41</v>
      </c>
      <c r="L363" s="3" t="s">
        <v>42</v>
      </c>
      <c r="M363" s="3" t="s">
        <v>41</v>
      </c>
    </row>
    <row r="364" spans="1:13" ht="114.95">
      <c r="A364" s="22" t="s">
        <v>17</v>
      </c>
      <c r="B364" s="3" t="s">
        <v>1199</v>
      </c>
      <c r="C364" s="3" t="s">
        <v>1200</v>
      </c>
      <c r="D364" s="3" t="s">
        <v>36</v>
      </c>
      <c r="E364" s="3" t="s">
        <v>46</v>
      </c>
      <c r="F364" s="3" t="s">
        <v>1116</v>
      </c>
      <c r="G364" s="3" t="s">
        <v>1201</v>
      </c>
      <c r="H364" s="3" t="s">
        <v>1202</v>
      </c>
      <c r="I364" s="3" t="str">
        <f>HYPERLINK("http://www.jccm.es/sede/tramite/F69","AUTORIZACION DE COMPATIBILIDAD PARA EL EJERCICIO DE ACTIVIDADES PUBLICAS")</f>
        <v>AUTORIZACION DE COMPATIBILIDAD PARA EL EJERCICIO DE ACTIVIDADES PUBLICAS</v>
      </c>
      <c r="J364" s="3" t="s">
        <v>41</v>
      </c>
      <c r="K364" s="3" t="s">
        <v>41</v>
      </c>
      <c r="L364" s="3" t="s">
        <v>42</v>
      </c>
      <c r="M364" s="3" t="s">
        <v>41</v>
      </c>
    </row>
    <row r="365" spans="1:13" ht="172.5">
      <c r="A365" s="22" t="s">
        <v>17</v>
      </c>
      <c r="B365" s="3" t="s">
        <v>1203</v>
      </c>
      <c r="C365" s="3" t="s">
        <v>1204</v>
      </c>
      <c r="D365" s="3" t="s">
        <v>95</v>
      </c>
      <c r="E365" s="3" t="s">
        <v>37</v>
      </c>
      <c r="F365" s="3" t="s">
        <v>1116</v>
      </c>
      <c r="G365" s="3" t="s">
        <v>1117</v>
      </c>
      <c r="H365" s="3" t="s">
        <v>1205</v>
      </c>
      <c r="I365" s="3" t="str">
        <f>HYPERLINK("http://www.jccm.es/sede/tramite/KTT","OBTENCION DE PUBLICIDAD REGISTRAL SOBRE COLEGIOS PROFESIONALES")</f>
        <v>OBTENCION DE PUBLICIDAD REGISTRAL SOBRE COLEGIOS PROFESIONALES</v>
      </c>
      <c r="J365" s="3" t="s">
        <v>42</v>
      </c>
      <c r="K365" s="3" t="s">
        <v>41</v>
      </c>
      <c r="L365" s="3" t="s">
        <v>42</v>
      </c>
      <c r="M365" s="3" t="s">
        <v>41</v>
      </c>
    </row>
    <row r="366" spans="1:13" ht="138">
      <c r="A366" s="22" t="s">
        <v>17</v>
      </c>
      <c r="B366" s="3" t="s">
        <v>1206</v>
      </c>
      <c r="C366" s="3" t="s">
        <v>1207</v>
      </c>
      <c r="D366" s="3" t="s">
        <v>45</v>
      </c>
      <c r="E366" s="3" t="s">
        <v>37</v>
      </c>
      <c r="F366" s="3" t="s">
        <v>1116</v>
      </c>
      <c r="G366" s="3" t="s">
        <v>1169</v>
      </c>
      <c r="H366" s="3" t="s">
        <v>1208</v>
      </c>
      <c r="I366" s="3" t="str">
        <f>HYPERLINK("http://www.jccm.es/sede/tramite/KUZ","SOLICITUD GENERAL EN MATERIA DE JUEGOS Y APUESTAS.")</f>
        <v>SOLICITUD GENERAL EN MATERIA DE JUEGOS Y APUESTAS.</v>
      </c>
      <c r="J366" s="3" t="s">
        <v>42</v>
      </c>
      <c r="K366" s="3" t="s">
        <v>41</v>
      </c>
      <c r="L366" s="3" t="s">
        <v>42</v>
      </c>
      <c r="M366" s="3" t="s">
        <v>41</v>
      </c>
    </row>
    <row r="367" spans="1:13" ht="230.1">
      <c r="A367" s="22" t="s">
        <v>17</v>
      </c>
      <c r="B367" s="3" t="s">
        <v>1209</v>
      </c>
      <c r="C367" s="3" t="s">
        <v>1210</v>
      </c>
      <c r="D367" s="3" t="s">
        <v>45</v>
      </c>
      <c r="E367" s="3" t="s">
        <v>37</v>
      </c>
      <c r="F367" s="3" t="s">
        <v>1116</v>
      </c>
      <c r="G367" s="3" t="s">
        <v>1125</v>
      </c>
      <c r="H367" s="3" t="s">
        <v>1211</v>
      </c>
      <c r="I367" s="3" t="str">
        <f>HYPERLINK("http://www.jccm.es/sede/tramite/L9R","AUTORIZACION O COMUNICACION DE MODIFICACION DE HORARIOS GENERALES")</f>
        <v>AUTORIZACION O COMUNICACION DE MODIFICACION DE HORARIOS GENERALES</v>
      </c>
      <c r="J367" s="3" t="s">
        <v>41</v>
      </c>
      <c r="K367" s="3" t="s">
        <v>41</v>
      </c>
      <c r="L367" s="3" t="s">
        <v>42</v>
      </c>
      <c r="M367" s="3" t="s">
        <v>41</v>
      </c>
    </row>
    <row r="368" spans="1:13" ht="138">
      <c r="A368" s="22" t="s">
        <v>17</v>
      </c>
      <c r="B368" s="3" t="s">
        <v>1212</v>
      </c>
      <c r="C368" s="3" t="s">
        <v>1213</v>
      </c>
      <c r="D368" s="3" t="s">
        <v>327</v>
      </c>
      <c r="E368" s="3" t="s">
        <v>46</v>
      </c>
      <c r="F368" s="3" t="s">
        <v>1116</v>
      </c>
      <c r="G368" s="3" t="s">
        <v>1169</v>
      </c>
      <c r="H368" s="3" t="s">
        <v>1214</v>
      </c>
      <c r="I368" s="3" t="str">
        <f>HYPERLINK("http://www.jccm.es/sede/tramite/LQ1","RENOVACION DE LA AUTORIZACION  DE INSTALACION  DE CASINOS DE JUEGO Y ESTABLECIMIENTOS DE JUEGO.")</f>
        <v>RENOVACION DE LA AUTORIZACION  DE INSTALACION  DE CASINOS DE JUEGO Y ESTABLECIMIENTOS DE JUEGO.</v>
      </c>
      <c r="J368" s="3" t="s">
        <v>42</v>
      </c>
      <c r="K368" s="3" t="s">
        <v>41</v>
      </c>
      <c r="L368" s="3" t="s">
        <v>42</v>
      </c>
      <c r="M368" s="3" t="s">
        <v>41</v>
      </c>
    </row>
    <row r="369" spans="1:13" ht="138">
      <c r="A369" s="22" t="s">
        <v>17</v>
      </c>
      <c r="B369" s="3" t="s">
        <v>1215</v>
      </c>
      <c r="C369" s="3" t="s">
        <v>1216</v>
      </c>
      <c r="D369" s="3" t="s">
        <v>1217</v>
      </c>
      <c r="E369" s="3" t="s">
        <v>46</v>
      </c>
      <c r="F369" s="3" t="s">
        <v>1116</v>
      </c>
      <c r="G369" s="3" t="s">
        <v>1169</v>
      </c>
      <c r="H369" s="3" t="s">
        <v>1218</v>
      </c>
      <c r="I369" s="3" t="str">
        <f>HYPERLINK("http://www.jccm.es/sede/tramite/LQ2","RENOVACION DE LA AUTORIZACION DE  ESTABLECIMIENTOS DE HOSTELERIA O SIMILAR.")</f>
        <v>RENOVACION DE LA AUTORIZACION DE  ESTABLECIMIENTOS DE HOSTELERIA O SIMILAR.</v>
      </c>
      <c r="J369" s="3" t="s">
        <v>42</v>
      </c>
      <c r="K369" s="3" t="s">
        <v>41</v>
      </c>
      <c r="L369" s="3" t="s">
        <v>42</v>
      </c>
      <c r="M369" s="3" t="s">
        <v>41</v>
      </c>
    </row>
    <row r="370" spans="1:13" ht="195.6">
      <c r="A370" s="22" t="s">
        <v>17</v>
      </c>
      <c r="B370" s="3" t="s">
        <v>1219</v>
      </c>
      <c r="C370" s="3" t="s">
        <v>1220</v>
      </c>
      <c r="D370" s="3" t="s">
        <v>327</v>
      </c>
      <c r="E370" s="3" t="s">
        <v>37</v>
      </c>
      <c r="F370" s="3" t="s">
        <v>1116</v>
      </c>
      <c r="G370" s="3" t="s">
        <v>1117</v>
      </c>
      <c r="H370" s="3" t="s">
        <v>1221</v>
      </c>
      <c r="I370" s="3" t="str">
        <f>HYPERLINK("http://www.jccm.es/sede/tramite/J8E","AUTORIZACION DE PERMUTA DE BIENES INMUEBLES PATRIMONIALES CUANDO SUPEREN EL 25 POR 100 DE LOS RECURSOS ORDINARIOS DEL PRESUPUESTO DE LA CORPORACION LOCAL")</f>
        <v>AUTORIZACION DE PERMUTA DE BIENES INMUEBLES PATRIMONIALES CUANDO SUPEREN EL 25 POR 100 DE LOS RECURSOS ORDINARIOS DEL PRESUPUESTO DE LA CORPORACION LOCAL</v>
      </c>
      <c r="J370" s="3" t="s">
        <v>42</v>
      </c>
      <c r="K370" s="3" t="s">
        <v>41</v>
      </c>
      <c r="L370" s="3" t="s">
        <v>42</v>
      </c>
      <c r="M370" s="3" t="s">
        <v>41</v>
      </c>
    </row>
    <row r="371" spans="1:13" ht="207">
      <c r="A371" s="22" t="s">
        <v>17</v>
      </c>
      <c r="B371" s="3" t="s">
        <v>1222</v>
      </c>
      <c r="C371" s="3" t="s">
        <v>1223</v>
      </c>
      <c r="D371" s="3" t="s">
        <v>327</v>
      </c>
      <c r="E371" s="3" t="s">
        <v>37</v>
      </c>
      <c r="F371" s="3" t="s">
        <v>1116</v>
      </c>
      <c r="G371" s="3" t="s">
        <v>1117</v>
      </c>
      <c r="H371" s="3" t="s">
        <v>1224</v>
      </c>
      <c r="I371" s="3" t="str">
        <f>HYPERLINK("http://www.jccm.es/sede/tramite/J8C","AUTORIZACION DE ENAJENACION DE BIENES Y DERECHOS CUYA CUANTIA SUPERE EL 25 POR 100 DE LOS RECURSOS ORDINARIOS DEL PRESUPUESTO DE LA CORPORACION LOCAL.")</f>
        <v>AUTORIZACION DE ENAJENACION DE BIENES Y DERECHOS CUYA CUANTIA SUPERE EL 25 POR 100 DE LOS RECURSOS ORDINARIOS DEL PRESUPUESTO DE LA CORPORACION LOCAL.</v>
      </c>
      <c r="J371" s="3" t="s">
        <v>42</v>
      </c>
      <c r="K371" s="3" t="s">
        <v>41</v>
      </c>
      <c r="L371" s="3" t="s">
        <v>42</v>
      </c>
      <c r="M371" s="3" t="s">
        <v>41</v>
      </c>
    </row>
    <row r="372" spans="1:13" ht="230.1">
      <c r="A372" s="22" t="s">
        <v>17</v>
      </c>
      <c r="B372" s="3" t="s">
        <v>1225</v>
      </c>
      <c r="C372" s="3" t="s">
        <v>1226</v>
      </c>
      <c r="D372" s="3" t="s">
        <v>1227</v>
      </c>
      <c r="E372" s="3" t="s">
        <v>37</v>
      </c>
      <c r="F372" s="3" t="s">
        <v>1116</v>
      </c>
      <c r="G372" s="3" t="s">
        <v>1125</v>
      </c>
      <c r="H372" s="3" t="s">
        <v>1228</v>
      </c>
      <c r="I372" s="3" t="str">
        <f>HYPERLINK("http://www.jccm.es/sede/tramite/L0D","CLASE PRACTICA DE ESCUELA TAURINA DENTRO DE SU SEDE")</f>
        <v>CLASE PRACTICA DE ESCUELA TAURINA DENTRO DE SU SEDE</v>
      </c>
      <c r="J372" s="3" t="s">
        <v>41</v>
      </c>
      <c r="K372" s="3" t="s">
        <v>41</v>
      </c>
      <c r="L372" s="3" t="s">
        <v>42</v>
      </c>
      <c r="M372" s="3" t="s">
        <v>41</v>
      </c>
    </row>
    <row r="373" spans="1:13" ht="230.1">
      <c r="A373" s="22" t="s">
        <v>17</v>
      </c>
      <c r="B373" s="3" t="s">
        <v>1229</v>
      </c>
      <c r="C373" s="3" t="s">
        <v>1230</v>
      </c>
      <c r="D373" s="3" t="s">
        <v>1227</v>
      </c>
      <c r="E373" s="3" t="s">
        <v>37</v>
      </c>
      <c r="F373" s="3" t="s">
        <v>1116</v>
      </c>
      <c r="G373" s="3" t="s">
        <v>1125</v>
      </c>
      <c r="H373" s="3" t="s">
        <v>1231</v>
      </c>
      <c r="I373" s="3" t="str">
        <f>HYPERLINK("http://www.jccm.es/sede/tramite/JGE","CLASE PRACTICA DE ESCUELA TAURINA FUERA DE SU SEDE.")</f>
        <v>CLASE PRACTICA DE ESCUELA TAURINA FUERA DE SU SEDE.</v>
      </c>
      <c r="J373" s="3" t="s">
        <v>41</v>
      </c>
      <c r="K373" s="3" t="s">
        <v>41</v>
      </c>
      <c r="L373" s="3" t="s">
        <v>42</v>
      </c>
      <c r="M373" s="3" t="s">
        <v>41</v>
      </c>
    </row>
    <row r="374" spans="1:13" ht="276">
      <c r="A374" s="22" t="s">
        <v>17</v>
      </c>
      <c r="B374" s="3" t="s">
        <v>1232</v>
      </c>
      <c r="C374" s="3" t="s">
        <v>1233</v>
      </c>
      <c r="D374" s="3" t="s">
        <v>1234</v>
      </c>
      <c r="E374" s="3" t="s">
        <v>46</v>
      </c>
      <c r="F374" s="3" t="s">
        <v>1116</v>
      </c>
      <c r="G374" s="3" t="s">
        <v>1169</v>
      </c>
      <c r="H374" s="3" t="s">
        <v>1235</v>
      </c>
      <c r="I374" s="3" t="str">
        <f>HYPERLINK("http://www.jccm.es/sede/tramite/K40","COMUNICACION PREVIA MODIFICACIONES NO ESENCIALES QUE SE PRETENDAN REALIZAR DURANTE EL EJERCICIO DE SU ACTIVIDAD DE JUEGO REALIZADOS POR CANALES ELECTRONICOS, INFORMATICOS, TELEMATICOS O INTERACTIVOS.")</f>
        <v>COMUNICACION PREVIA MODIFICACIONES NO ESENCIALES QUE SE PRETENDAN REALIZAR DURANTE EL EJERCICIO DE SU ACTIVIDAD DE JUEGO REALIZADOS POR CANALES ELECTRONICOS, INFORMATICOS, TELEMATICOS O INTERACTIVOS.</v>
      </c>
      <c r="J374" s="3" t="s">
        <v>42</v>
      </c>
      <c r="K374" s="3" t="s">
        <v>41</v>
      </c>
      <c r="L374" s="3" t="s">
        <v>42</v>
      </c>
      <c r="M374" s="3" t="s">
        <v>41</v>
      </c>
    </row>
    <row r="375" spans="1:13" ht="172.5">
      <c r="A375" s="22" t="s">
        <v>17</v>
      </c>
      <c r="B375" s="3" t="s">
        <v>1236</v>
      </c>
      <c r="C375" s="3" t="s">
        <v>1237</v>
      </c>
      <c r="D375" s="3" t="s">
        <v>327</v>
      </c>
      <c r="E375" s="3" t="s">
        <v>46</v>
      </c>
      <c r="F375" s="3" t="s">
        <v>1116</v>
      </c>
      <c r="G375" s="3" t="s">
        <v>1169</v>
      </c>
      <c r="H375" s="3" t="s">
        <v>1238</v>
      </c>
      <c r="I375" s="3" t="str">
        <f>HYPERLINK("http://www.jccm.es/sede/tramite/K42","AUTORIZACION DE ACTIVIDADES DE JUEGOS PERMANENTES POR CANALES ELECTRONICOS, INFORMATICOS, TELEMATICOS O INTERACTIVOS.")</f>
        <v>AUTORIZACION DE ACTIVIDADES DE JUEGOS PERMANENTES POR CANALES ELECTRONICOS, INFORMATICOS, TELEMATICOS O INTERACTIVOS.</v>
      </c>
      <c r="J375" s="3" t="s">
        <v>42</v>
      </c>
      <c r="K375" s="3" t="s">
        <v>41</v>
      </c>
      <c r="L375" s="3" t="s">
        <v>42</v>
      </c>
      <c r="M375" s="3" t="s">
        <v>41</v>
      </c>
    </row>
    <row r="376" spans="1:13" ht="230.1">
      <c r="A376" s="22" t="s">
        <v>17</v>
      </c>
      <c r="B376" s="3" t="s">
        <v>1239</v>
      </c>
      <c r="C376" s="3" t="s">
        <v>1240</v>
      </c>
      <c r="D376" s="3" t="s">
        <v>327</v>
      </c>
      <c r="E376" s="3" t="s">
        <v>46</v>
      </c>
      <c r="F376" s="3" t="s">
        <v>1116</v>
      </c>
      <c r="G376" s="3" t="s">
        <v>1169</v>
      </c>
      <c r="H376" s="3" t="s">
        <v>1241</v>
      </c>
      <c r="I376" s="3" t="str">
        <f>HYPERLINK("http://www.jccm.es/sede/tramite/K43","AUTORIZACION DE MODIFICACIONES ESENCIALES DE LA AUTORIZACION DE JUEGOS PERMANENTES POR CANALES ELECTRONICOS, INFORMATICOS, TELEMATICOS O INTERACTIVOS.")</f>
        <v>AUTORIZACION DE MODIFICACIONES ESENCIALES DE LA AUTORIZACION DE JUEGOS PERMANENTES POR CANALES ELECTRONICOS, INFORMATICOS, TELEMATICOS O INTERACTIVOS.</v>
      </c>
      <c r="J376" s="3" t="s">
        <v>42</v>
      </c>
      <c r="K376" s="3" t="s">
        <v>41</v>
      </c>
      <c r="L376" s="3" t="s">
        <v>42</v>
      </c>
      <c r="M376" s="3" t="s">
        <v>41</v>
      </c>
    </row>
    <row r="377" spans="1:13" ht="138">
      <c r="A377" s="22" t="s">
        <v>17</v>
      </c>
      <c r="B377" s="3" t="s">
        <v>1242</v>
      </c>
      <c r="C377" s="3" t="s">
        <v>1243</v>
      </c>
      <c r="D377" s="3" t="s">
        <v>327</v>
      </c>
      <c r="E377" s="3" t="s">
        <v>46</v>
      </c>
      <c r="F377" s="3" t="s">
        <v>1116</v>
      </c>
      <c r="G377" s="3" t="s">
        <v>1169</v>
      </c>
      <c r="H377" s="3" t="s">
        <v>1244</v>
      </c>
      <c r="I377" s="3" t="str">
        <f>HYPERLINK("http://www.jccm.es/sede/tramite/K4G","AUTORIZACION  DE INSTALACION  DE CASINOS DE JUEGO Y  ESTABLECIMIENTOS DE JUEGO.")</f>
        <v>AUTORIZACION  DE INSTALACION  DE CASINOS DE JUEGO Y  ESTABLECIMIENTOS DE JUEGO.</v>
      </c>
      <c r="J377" s="3" t="s">
        <v>42</v>
      </c>
      <c r="K377" s="3" t="s">
        <v>41</v>
      </c>
      <c r="L377" s="3" t="s">
        <v>42</v>
      </c>
      <c r="M377" s="3" t="s">
        <v>41</v>
      </c>
    </row>
    <row r="378" spans="1:13" ht="138">
      <c r="A378" s="22" t="s">
        <v>17</v>
      </c>
      <c r="B378" s="3" t="s">
        <v>1245</v>
      </c>
      <c r="C378" s="3" t="s">
        <v>1246</v>
      </c>
      <c r="D378" s="3" t="s">
        <v>327</v>
      </c>
      <c r="E378" s="3" t="s">
        <v>46</v>
      </c>
      <c r="F378" s="3" t="s">
        <v>1116</v>
      </c>
      <c r="G378" s="3" t="s">
        <v>1169</v>
      </c>
      <c r="H378" s="3" t="s">
        <v>1247</v>
      </c>
      <c r="I378" s="3" t="str">
        <f>HYPERLINK("http://www.jccm.es/sede/tramite/K4H","MODIFICACION SUSTANCIAL AUTORIZACION  DE INSTALACION  DE CASINOS DE JUEGO Y  ESTABLECIMIENTOS DE JUEGO.")</f>
        <v>MODIFICACION SUSTANCIAL AUTORIZACION  DE INSTALACION  DE CASINOS DE JUEGO Y  ESTABLECIMIENTOS DE JUEGO.</v>
      </c>
      <c r="J378" s="3" t="s">
        <v>42</v>
      </c>
      <c r="K378" s="3" t="s">
        <v>41</v>
      </c>
      <c r="L378" s="3" t="s">
        <v>42</v>
      </c>
      <c r="M378" s="3" t="s">
        <v>41</v>
      </c>
    </row>
    <row r="379" spans="1:13" ht="138">
      <c r="A379" s="22" t="s">
        <v>17</v>
      </c>
      <c r="B379" s="3" t="s">
        <v>1248</v>
      </c>
      <c r="C379" s="3" t="s">
        <v>1249</v>
      </c>
      <c r="D379" s="3" t="s">
        <v>45</v>
      </c>
      <c r="E379" s="3" t="s">
        <v>46</v>
      </c>
      <c r="F379" s="3" t="s">
        <v>1116</v>
      </c>
      <c r="G379" s="3" t="s">
        <v>1169</v>
      </c>
      <c r="H379" s="3" t="s">
        <v>1250</v>
      </c>
      <c r="I379" s="3" t="str">
        <f>HYPERLINK("http://www.jccm.es/sede/tramite/K4K","RENUNCIA DE MUTUO ACUERDO A LA AUTORIZACION DE INSTALACION DE ESTABLECIMIENTOS DE HOSTELERIA O SIMILAR.")</f>
        <v>RENUNCIA DE MUTUO ACUERDO A LA AUTORIZACION DE INSTALACION DE ESTABLECIMIENTOS DE HOSTELERIA O SIMILAR.</v>
      </c>
      <c r="J379" s="3" t="s">
        <v>42</v>
      </c>
      <c r="K379" s="3" t="s">
        <v>41</v>
      </c>
      <c r="L379" s="3" t="s">
        <v>42</v>
      </c>
      <c r="M379" s="3" t="s">
        <v>41</v>
      </c>
    </row>
    <row r="380" spans="1:13" ht="138">
      <c r="A380" s="22" t="s">
        <v>17</v>
      </c>
      <c r="B380" s="3" t="s">
        <v>1251</v>
      </c>
      <c r="C380" s="3" t="s">
        <v>1252</v>
      </c>
      <c r="D380" s="3" t="s">
        <v>45</v>
      </c>
      <c r="E380" s="3" t="s">
        <v>46</v>
      </c>
      <c r="F380" s="3" t="s">
        <v>1116</v>
      </c>
      <c r="G380" s="3" t="s">
        <v>1169</v>
      </c>
      <c r="H380" s="3" t="s">
        <v>1253</v>
      </c>
      <c r="I380" s="3" t="str">
        <f>HYPERLINK("http://www.jccm.es/sede/tramite/K4J","AUTORIZACION DE INSTALACION DE ESTABLECIMIENTOS DE HOSTELERIA O SIMILAR")</f>
        <v>AUTORIZACION DE INSTALACION DE ESTABLECIMIENTOS DE HOSTELERIA O SIMILAR</v>
      </c>
      <c r="J380" s="3" t="s">
        <v>42</v>
      </c>
      <c r="K380" s="3" t="s">
        <v>41</v>
      </c>
      <c r="L380" s="3" t="s">
        <v>42</v>
      </c>
      <c r="M380" s="3" t="s">
        <v>41</v>
      </c>
    </row>
    <row r="381" spans="1:13" ht="138">
      <c r="A381" s="22" t="s">
        <v>17</v>
      </c>
      <c r="B381" s="3" t="s">
        <v>1254</v>
      </c>
      <c r="C381" s="3" t="s">
        <v>1255</v>
      </c>
      <c r="D381" s="3" t="s">
        <v>45</v>
      </c>
      <c r="E381" s="3" t="s">
        <v>46</v>
      </c>
      <c r="F381" s="3" t="s">
        <v>1116</v>
      </c>
      <c r="G381" s="3" t="s">
        <v>1169</v>
      </c>
      <c r="H381" s="3" t="s">
        <v>1256</v>
      </c>
      <c r="I381" s="3" t="str">
        <f>HYPERLINK("http://www.jccm.es/sede/tramite/K4L","AUTORIZACION DE INICIO DE ACTIVIDAD DE EMPRESAS DE JUEGO Y APUESTAS.")</f>
        <v>AUTORIZACION DE INICIO DE ACTIVIDAD DE EMPRESAS DE JUEGO Y APUESTAS.</v>
      </c>
      <c r="J381" s="3" t="s">
        <v>42</v>
      </c>
      <c r="K381" s="3" t="s">
        <v>41</v>
      </c>
      <c r="L381" s="3" t="s">
        <v>42</v>
      </c>
      <c r="M381" s="3" t="s">
        <v>41</v>
      </c>
    </row>
    <row r="382" spans="1:13" ht="138">
      <c r="A382" s="22" t="s">
        <v>17</v>
      </c>
      <c r="B382" s="3" t="s">
        <v>1257</v>
      </c>
      <c r="C382" s="3" t="s">
        <v>1258</v>
      </c>
      <c r="D382" s="3" t="s">
        <v>45</v>
      </c>
      <c r="E382" s="3" t="s">
        <v>46</v>
      </c>
      <c r="F382" s="3" t="s">
        <v>1116</v>
      </c>
      <c r="G382" s="3" t="s">
        <v>1169</v>
      </c>
      <c r="H382" s="3" t="s">
        <v>1259</v>
      </c>
      <c r="I382" s="3" t="str">
        <f>HYPERLINK("http://www.jccm.es/sede/tramite/K4M","MODIFICACION SUSTANCIAL INICIO DE ACTIVIDAD EMPRESAS DE JUEGO")</f>
        <v>MODIFICACION SUSTANCIAL INICIO DE ACTIVIDAD EMPRESAS DE JUEGO</v>
      </c>
      <c r="J382" s="3" t="s">
        <v>42</v>
      </c>
      <c r="K382" s="3" t="s">
        <v>41</v>
      </c>
      <c r="L382" s="3" t="s">
        <v>42</v>
      </c>
      <c r="M382" s="3" t="s">
        <v>41</v>
      </c>
    </row>
    <row r="383" spans="1:13" ht="138">
      <c r="A383" s="22" t="s">
        <v>17</v>
      </c>
      <c r="B383" s="3" t="s">
        <v>1260</v>
      </c>
      <c r="C383" s="3" t="s">
        <v>1261</v>
      </c>
      <c r="D383" s="3" t="s">
        <v>45</v>
      </c>
      <c r="E383" s="3" t="s">
        <v>46</v>
      </c>
      <c r="F383" s="3" t="s">
        <v>1116</v>
      </c>
      <c r="G383" s="3" t="s">
        <v>1169</v>
      </c>
      <c r="H383" s="3" t="s">
        <v>1262</v>
      </c>
      <c r="I383" s="3" t="str">
        <f>HYPERLINK("http://www.jccm.es/sede/tramite/K4N","AUTORIZACION LABORATORIO DE ENSAYO.")</f>
        <v>AUTORIZACION LABORATORIO DE ENSAYO.</v>
      </c>
      <c r="J383" s="3" t="s">
        <v>42</v>
      </c>
      <c r="K383" s="3" t="s">
        <v>41</v>
      </c>
      <c r="L383" s="3" t="s">
        <v>42</v>
      </c>
      <c r="M383" s="3" t="s">
        <v>41</v>
      </c>
    </row>
    <row r="384" spans="1:13" ht="138">
      <c r="A384" s="22" t="s">
        <v>17</v>
      </c>
      <c r="B384" s="3" t="s">
        <v>1263</v>
      </c>
      <c r="C384" s="3" t="s">
        <v>1264</v>
      </c>
      <c r="D384" s="3" t="s">
        <v>45</v>
      </c>
      <c r="E384" s="3" t="s">
        <v>46</v>
      </c>
      <c r="F384" s="3" t="s">
        <v>1116</v>
      </c>
      <c r="G384" s="3" t="s">
        <v>1169</v>
      </c>
      <c r="H384" s="3" t="s">
        <v>1265</v>
      </c>
      <c r="I384" s="3" t="str">
        <f>HYPERLINK("http://www.jccm.es/sede/tramite/K4O","HOMOLOGACION, CONVALIDACION Y MODIFICACION SUSTANCIAL DEL MATERIAL DE JUEGO Y APUESTAS.")</f>
        <v>HOMOLOGACION, CONVALIDACION Y MODIFICACION SUSTANCIAL DEL MATERIAL DE JUEGO Y APUESTAS.</v>
      </c>
      <c r="J384" s="3" t="s">
        <v>42</v>
      </c>
      <c r="K384" s="3" t="s">
        <v>41</v>
      </c>
      <c r="L384" s="3" t="s">
        <v>42</v>
      </c>
      <c r="M384" s="3" t="s">
        <v>41</v>
      </c>
    </row>
    <row r="385" spans="1:13" ht="138">
      <c r="A385" s="22" t="s">
        <v>17</v>
      </c>
      <c r="B385" s="3" t="s">
        <v>1266</v>
      </c>
      <c r="C385" s="3" t="s">
        <v>1267</v>
      </c>
      <c r="D385" s="3" t="s">
        <v>70</v>
      </c>
      <c r="E385" s="3" t="s">
        <v>46</v>
      </c>
      <c r="F385" s="3" t="s">
        <v>1116</v>
      </c>
      <c r="G385" s="3" t="s">
        <v>1169</v>
      </c>
      <c r="H385" s="3" t="s">
        <v>1268</v>
      </c>
      <c r="I385" s="3" t="str">
        <f>HYPERLINK("http://www.jccm.es/sede/tramite/K4R","BAJA TEMPORAL O REACTIVACION DE LA AUTORIZACION DE EXPLOTACION DE MAQUINAS DE JUEGO.")</f>
        <v>BAJA TEMPORAL O REACTIVACION DE LA AUTORIZACION DE EXPLOTACION DE MAQUINAS DE JUEGO.</v>
      </c>
      <c r="J385" s="3" t="s">
        <v>42</v>
      </c>
      <c r="K385" s="3" t="s">
        <v>41</v>
      </c>
      <c r="L385" s="3" t="s">
        <v>42</v>
      </c>
      <c r="M385" s="3" t="s">
        <v>41</v>
      </c>
    </row>
    <row r="386" spans="1:13" ht="138">
      <c r="A386" s="22" t="s">
        <v>17</v>
      </c>
      <c r="B386" s="3" t="s">
        <v>1269</v>
      </c>
      <c r="C386" s="3" t="s">
        <v>1270</v>
      </c>
      <c r="D386" s="3" t="s">
        <v>70</v>
      </c>
      <c r="E386" s="3" t="s">
        <v>46</v>
      </c>
      <c r="F386" s="3" t="s">
        <v>1116</v>
      </c>
      <c r="G386" s="3" t="s">
        <v>1169</v>
      </c>
      <c r="H386" s="3" t="s">
        <v>1271</v>
      </c>
      <c r="I386" s="3" t="str">
        <f>HYPERLINK("http://www.jccm.es/sede/tramite/K4P","AUTORIZACION DE EXPLOTACION  DE MAQUINAS DE JUEGO.")</f>
        <v>AUTORIZACION DE EXPLOTACION  DE MAQUINAS DE JUEGO.</v>
      </c>
      <c r="J386" s="3" t="s">
        <v>42</v>
      </c>
      <c r="K386" s="3" t="s">
        <v>41</v>
      </c>
      <c r="L386" s="3" t="s">
        <v>42</v>
      </c>
      <c r="M386" s="3" t="s">
        <v>41</v>
      </c>
    </row>
    <row r="387" spans="1:13" ht="138">
      <c r="A387" s="22" t="s">
        <v>17</v>
      </c>
      <c r="B387" s="3" t="s">
        <v>1272</v>
      </c>
      <c r="C387" s="3" t="s">
        <v>1273</v>
      </c>
      <c r="D387" s="3" t="s">
        <v>70</v>
      </c>
      <c r="E387" s="3" t="s">
        <v>46</v>
      </c>
      <c r="F387" s="3" t="s">
        <v>1116</v>
      </c>
      <c r="G387" s="3" t="s">
        <v>1169</v>
      </c>
      <c r="H387" s="3" t="s">
        <v>1274</v>
      </c>
      <c r="I387" s="3" t="str">
        <f>HYPERLINK("http://www.jccm.es/sede/tramite/K4Q","TRANSMISION DE LA AUTORIZACION DE EXPLOTACION DE  MAQUINAS DE JUEGO.")</f>
        <v>TRANSMISION DE LA AUTORIZACION DE EXPLOTACION DE  MAQUINAS DE JUEGO.</v>
      </c>
      <c r="J387" s="3" t="s">
        <v>42</v>
      </c>
      <c r="K387" s="3" t="s">
        <v>41</v>
      </c>
      <c r="L387" s="3" t="s">
        <v>42</v>
      </c>
      <c r="M387" s="3" t="s">
        <v>41</v>
      </c>
    </row>
    <row r="388" spans="1:13" ht="138">
      <c r="A388" s="22" t="s">
        <v>17</v>
      </c>
      <c r="B388" s="3" t="s">
        <v>1275</v>
      </c>
      <c r="C388" s="3" t="s">
        <v>1276</v>
      </c>
      <c r="D388" s="3" t="s">
        <v>1234</v>
      </c>
      <c r="E388" s="3" t="s">
        <v>46</v>
      </c>
      <c r="F388" s="3" t="s">
        <v>1116</v>
      </c>
      <c r="G388" s="3" t="s">
        <v>1169</v>
      </c>
      <c r="H388" s="3" t="s">
        <v>1277</v>
      </c>
      <c r="I388" s="3" t="str">
        <f>HYPERLINK("http://www.jccm.es/sede/tramite/K55","COMUNICACION PREVIA DE MODIFICACIONES NO SUSTANCIALES.")</f>
        <v>COMUNICACION PREVIA DE MODIFICACIONES NO SUSTANCIALES.</v>
      </c>
      <c r="J388" s="3" t="s">
        <v>42</v>
      </c>
      <c r="K388" s="3" t="s">
        <v>41</v>
      </c>
      <c r="L388" s="3" t="s">
        <v>42</v>
      </c>
      <c r="M388" s="3" t="s">
        <v>41</v>
      </c>
    </row>
    <row r="389" spans="1:13" ht="252.95">
      <c r="A389" s="22" t="s">
        <v>17</v>
      </c>
      <c r="B389" s="3" t="s">
        <v>1278</v>
      </c>
      <c r="C389" s="3" t="s">
        <v>1279</v>
      </c>
      <c r="D389" s="3" t="s">
        <v>1234</v>
      </c>
      <c r="E389" s="3" t="s">
        <v>46</v>
      </c>
      <c r="F389" s="3" t="s">
        <v>1116</v>
      </c>
      <c r="G389" s="3" t="s">
        <v>1169</v>
      </c>
      <c r="H389" s="3" t="s">
        <v>1280</v>
      </c>
      <c r="I389" s="3" t="str">
        <f>HYPERLINK("http://www.jccm.es/sede/tramite/K56","COMUNICACION PREVIA DE TRANSMISION, AMPLIACION, DISMINUCION DE ACCIONES O PARTICIPACIONES DE LA SOCIEDAD MERCANTILES DEDICADAS AL JUEGO Y CUALESQUIERA OTRAS MODIFICACIONES SOCIETARIAS.")</f>
        <v>COMUNICACION PREVIA DE TRANSMISION, AMPLIACION, DISMINUCION DE ACCIONES O PARTICIPACIONES DE LA SOCIEDAD MERCANTILES DEDICADAS AL JUEGO Y CUALESQUIERA OTRAS MODIFICACIONES SOCIETARIAS.</v>
      </c>
      <c r="J389" s="3" t="s">
        <v>42</v>
      </c>
      <c r="K389" s="3" t="s">
        <v>41</v>
      </c>
      <c r="L389" s="3" t="s">
        <v>42</v>
      </c>
      <c r="M389" s="3" t="s">
        <v>41</v>
      </c>
    </row>
    <row r="390" spans="1:13" ht="218.45">
      <c r="A390" s="22" t="s">
        <v>17</v>
      </c>
      <c r="B390" s="3" t="s">
        <v>1281</v>
      </c>
      <c r="C390" s="3" t="s">
        <v>1282</v>
      </c>
      <c r="D390" s="3" t="s">
        <v>1234</v>
      </c>
      <c r="E390" s="3" t="s">
        <v>46</v>
      </c>
      <c r="F390" s="3" t="s">
        <v>1116</v>
      </c>
      <c r="G390" s="3" t="s">
        <v>1169</v>
      </c>
      <c r="H390" s="3" t="s">
        <v>1283</v>
      </c>
      <c r="I390" s="3" t="str">
        <f>HYPERLINK("http://www.jccm.es/sede/tramite/K57","COMUNICACION PREVIA DE TRANSMISION DE LA AUTORIZACION DE HOMOLOGACION DE MAQUINAS DE JUEGO, SISTEMAS DE INTERCONEXION Y MATERIAL PARA LA PRACTICA DEL JUEGO.")</f>
        <v>COMUNICACION PREVIA DE TRANSMISION DE LA AUTORIZACION DE HOMOLOGACION DE MAQUINAS DE JUEGO, SISTEMAS DE INTERCONEXION Y MATERIAL PARA LA PRACTICA DEL JUEGO.</v>
      </c>
      <c r="J390" s="3" t="s">
        <v>42</v>
      </c>
      <c r="K390" s="3" t="s">
        <v>41</v>
      </c>
      <c r="L390" s="3" t="s">
        <v>42</v>
      </c>
      <c r="M390" s="3" t="s">
        <v>41</v>
      </c>
    </row>
    <row r="391" spans="1:13" ht="183.95">
      <c r="A391" s="22" t="s">
        <v>17</v>
      </c>
      <c r="B391" s="3" t="s">
        <v>1284</v>
      </c>
      <c r="C391" s="3" t="s">
        <v>1285</v>
      </c>
      <c r="D391" s="3" t="s">
        <v>45</v>
      </c>
      <c r="E391" s="3" t="s">
        <v>46</v>
      </c>
      <c r="F391" s="3" t="s">
        <v>1116</v>
      </c>
      <c r="G391" s="3" t="s">
        <v>1286</v>
      </c>
      <c r="H391" s="3" t="s">
        <v>1287</v>
      </c>
      <c r="I391" s="3" t="str">
        <f>HYPERLINK("http://www.jccm.es/sede/tramite/IK1","INSCRIPCION EN EL REGISTRO OFICIAL DE LICITADORES Y EMPRESAS CLASIFICADAS DEL SECTOR PUBLICO A TRAVES DEL REGISTRO OFICIAL DE LICITADORES DE CASTILLA-LA MANCHA")</f>
        <v>INSCRIPCION EN EL REGISTRO OFICIAL DE LICITADORES Y EMPRESAS CLASIFICADAS DEL SECTOR PUBLICO A TRAVES DEL REGISTRO OFICIAL DE LICITADORES DE CASTILLA-LA MANCHA</v>
      </c>
      <c r="J391" s="3" t="s">
        <v>41</v>
      </c>
      <c r="K391" s="3" t="s">
        <v>41</v>
      </c>
      <c r="L391" s="3" t="s">
        <v>42</v>
      </c>
      <c r="M391" s="3" t="s">
        <v>41</v>
      </c>
    </row>
    <row r="392" spans="1:13" ht="161.1">
      <c r="A392" s="22" t="s">
        <v>17</v>
      </c>
      <c r="B392" s="3" t="s">
        <v>1288</v>
      </c>
      <c r="C392" s="3" t="s">
        <v>1289</v>
      </c>
      <c r="D392" s="3" t="s">
        <v>95</v>
      </c>
      <c r="E392" s="3" t="s">
        <v>95</v>
      </c>
      <c r="F392" s="3" t="s">
        <v>1116</v>
      </c>
      <c r="G392" s="3" t="s">
        <v>1290</v>
      </c>
      <c r="H392" s="3" t="s">
        <v>1291</v>
      </c>
      <c r="I392" s="3" t="str">
        <f>HYPERLINK("http://www.jccm.es/sede/tramite/ISE","DOCUMENTACION ESTADISTICO-CONTABLE Y DEL NEGOCIO DE LOS MEDIADORES DE SEGUROS")</f>
        <v>DOCUMENTACION ESTADISTICO-CONTABLE Y DEL NEGOCIO DE LOS MEDIADORES DE SEGUROS</v>
      </c>
      <c r="J392" s="3" t="s">
        <v>41</v>
      </c>
      <c r="K392" s="3" t="s">
        <v>41</v>
      </c>
      <c r="L392" s="3" t="s">
        <v>42</v>
      </c>
      <c r="M392" s="3" t="s">
        <v>41</v>
      </c>
    </row>
    <row r="393" spans="1:13" ht="172.5">
      <c r="A393" s="22" t="s">
        <v>17</v>
      </c>
      <c r="B393" s="3" t="s">
        <v>1292</v>
      </c>
      <c r="C393" s="3" t="s">
        <v>1293</v>
      </c>
      <c r="D393" s="3" t="s">
        <v>1294</v>
      </c>
      <c r="E393" s="3" t="s">
        <v>37</v>
      </c>
      <c r="F393" s="3" t="s">
        <v>1116</v>
      </c>
      <c r="G393" s="3" t="s">
        <v>1117</v>
      </c>
      <c r="H393" s="3" t="s">
        <v>1295</v>
      </c>
      <c r="I393" s="3" t="str">
        <f>HYPERLINK("http://www.jccm.es/sede/tramite/706","REGISTRO DE FUNDACIONES DE CASTILLA-LA MANCHA")</f>
        <v>REGISTRO DE FUNDACIONES DE CASTILLA-LA MANCHA</v>
      </c>
      <c r="J393" s="3" t="s">
        <v>42</v>
      </c>
      <c r="K393" s="3" t="s">
        <v>41</v>
      </c>
      <c r="L393" s="3" t="s">
        <v>41</v>
      </c>
      <c r="M393" s="3" t="s">
        <v>41</v>
      </c>
    </row>
    <row r="394" spans="1:13" ht="172.5">
      <c r="A394" s="22" t="s">
        <v>17</v>
      </c>
      <c r="B394" s="3" t="s">
        <v>1296</v>
      </c>
      <c r="C394" s="3" t="s">
        <v>1297</v>
      </c>
      <c r="D394" s="3" t="s">
        <v>45</v>
      </c>
      <c r="E394" s="3" t="s">
        <v>37</v>
      </c>
      <c r="F394" s="3" t="s">
        <v>1116</v>
      </c>
      <c r="G394" s="3" t="s">
        <v>1117</v>
      </c>
      <c r="H394" s="3" t="s">
        <v>1298</v>
      </c>
      <c r="I394" s="3" t="str">
        <f>HYPERLINK("http://www.jccm.es/sede/tramite/056","INSCRIPCION EN EL REGISTRO DE COLEGIOS  Y CONSEJOS DE COLEGIOS PROFESIONALES  DE CASTILLA-LA MANCHA.")</f>
        <v>INSCRIPCION EN EL REGISTRO DE COLEGIOS  Y CONSEJOS DE COLEGIOS PROFESIONALES  DE CASTILLA-LA MANCHA.</v>
      </c>
      <c r="J394" s="3" t="s">
        <v>42</v>
      </c>
      <c r="K394" s="3" t="s">
        <v>41</v>
      </c>
      <c r="L394" s="3" t="s">
        <v>42</v>
      </c>
      <c r="M394" s="3" t="s">
        <v>41</v>
      </c>
    </row>
    <row r="395" spans="1:13" ht="172.5">
      <c r="A395" s="22" t="s">
        <v>17</v>
      </c>
      <c r="B395" s="3" t="s">
        <v>1299</v>
      </c>
      <c r="C395" s="3" t="s">
        <v>1300</v>
      </c>
      <c r="D395" s="3" t="s">
        <v>45</v>
      </c>
      <c r="E395" s="3" t="s">
        <v>37</v>
      </c>
      <c r="F395" s="3" t="s">
        <v>1116</v>
      </c>
      <c r="G395" s="3" t="s">
        <v>1117</v>
      </c>
      <c r="H395" s="3" t="s">
        <v>1301</v>
      </c>
      <c r="I395" s="3" t="str">
        <f>HYPERLINK("http://www.jccm.es/sede/tramite/673","INSCRIPCION EN EL REGISTRO DE ASOCIACIONES DE CASTILLA-LA MANCHA")</f>
        <v>INSCRIPCION EN EL REGISTRO DE ASOCIACIONES DE CASTILLA-LA MANCHA</v>
      </c>
      <c r="J395" s="3" t="s">
        <v>42</v>
      </c>
      <c r="K395" s="3" t="s">
        <v>41</v>
      </c>
      <c r="L395" s="3" t="s">
        <v>42</v>
      </c>
      <c r="M395" s="3" t="s">
        <v>41</v>
      </c>
    </row>
    <row r="396" spans="1:13" ht="172.5">
      <c r="A396" s="22" t="s">
        <v>17</v>
      </c>
      <c r="B396" s="3" t="s">
        <v>1302</v>
      </c>
      <c r="C396" s="3" t="s">
        <v>1303</v>
      </c>
      <c r="D396" s="3" t="s">
        <v>45</v>
      </c>
      <c r="E396" s="3" t="s">
        <v>37</v>
      </c>
      <c r="F396" s="3" t="s">
        <v>1116</v>
      </c>
      <c r="G396" s="3" t="s">
        <v>1117</v>
      </c>
      <c r="H396" s="3" t="s">
        <v>1304</v>
      </c>
      <c r="I396" s="3" t="str">
        <f>HYPERLINK("http://www.jccm.es/sede/tramite/I4H","REGISTRO DE PAREJAS DE HECHO")</f>
        <v>REGISTRO DE PAREJAS DE HECHO</v>
      </c>
      <c r="J396" s="3" t="s">
        <v>42</v>
      </c>
      <c r="K396" s="3" t="s">
        <v>41</v>
      </c>
      <c r="L396" s="3" t="s">
        <v>42</v>
      </c>
      <c r="M396" s="3" t="s">
        <v>41</v>
      </c>
    </row>
    <row r="397" spans="1:13" ht="230.1">
      <c r="A397" s="22" t="s">
        <v>17</v>
      </c>
      <c r="B397" s="3" t="s">
        <v>1305</v>
      </c>
      <c r="C397" s="3" t="s">
        <v>1306</v>
      </c>
      <c r="D397" s="3" t="s">
        <v>51</v>
      </c>
      <c r="E397" s="3" t="s">
        <v>37</v>
      </c>
      <c r="F397" s="3" t="s">
        <v>1116</v>
      </c>
      <c r="G397" s="3" t="s">
        <v>1125</v>
      </c>
      <c r="H397" s="3" t="s">
        <v>1307</v>
      </c>
      <c r="I397" s="3" t="str">
        <f>HYPERLINK("http://www.jccm.es/sede/tramite/ILT","REGISTRO DE AGRUPACIONES DE VOLUNTARIOS DE PROTECCION CIVIL DE CASTILLA-LA MANCHA")</f>
        <v>REGISTRO DE AGRUPACIONES DE VOLUNTARIOS DE PROTECCION CIVIL DE CASTILLA-LA MANCHA</v>
      </c>
      <c r="J397" s="3" t="s">
        <v>42</v>
      </c>
      <c r="K397" s="3" t="s">
        <v>41</v>
      </c>
      <c r="L397" s="3" t="s">
        <v>42</v>
      </c>
      <c r="M397" s="3" t="s">
        <v>41</v>
      </c>
    </row>
    <row r="398" spans="1:13" ht="230.1">
      <c r="A398" s="22" t="s">
        <v>17</v>
      </c>
      <c r="B398" s="3" t="s">
        <v>1308</v>
      </c>
      <c r="C398" s="3" t="s">
        <v>1309</v>
      </c>
      <c r="D398" s="3" t="s">
        <v>62</v>
      </c>
      <c r="E398" s="3" t="s">
        <v>37</v>
      </c>
      <c r="F398" s="3" t="s">
        <v>1116</v>
      </c>
      <c r="G398" s="3" t="s">
        <v>1125</v>
      </c>
      <c r="H398" s="3" t="s">
        <v>1310</v>
      </c>
      <c r="I398" s="3" t="str">
        <f>HYPERLINK("http://www.jccm.es/sede/tramite/J33","RED DE TRANSMISIONES DE PROTECCION CIVIL DE CASTILLA-LA MANCHA.")</f>
        <v>RED DE TRANSMISIONES DE PROTECCION CIVIL DE CASTILLA-LA MANCHA.</v>
      </c>
      <c r="J398" s="3" t="s">
        <v>41</v>
      </c>
      <c r="K398" s="3" t="s">
        <v>41</v>
      </c>
      <c r="L398" s="3" t="s">
        <v>42</v>
      </c>
      <c r="M398" s="3" t="s">
        <v>41</v>
      </c>
    </row>
    <row r="399" spans="1:13" ht="299.10000000000002">
      <c r="A399" s="22" t="s">
        <v>17</v>
      </c>
      <c r="B399" s="3" t="s">
        <v>1311</v>
      </c>
      <c r="C399" s="3" t="s">
        <v>1312</v>
      </c>
      <c r="D399" s="3" t="s">
        <v>62</v>
      </c>
      <c r="E399" s="3" t="s">
        <v>46</v>
      </c>
      <c r="F399" s="3" t="s">
        <v>1116</v>
      </c>
      <c r="G399" s="3" t="s">
        <v>1313</v>
      </c>
      <c r="H399" s="3" t="s">
        <v>1314</v>
      </c>
      <c r="I399" s="3" t="str">
        <f>HYPERLINK("http://www.jccm.es/sede/tramite/J5X","EJERCICIO DE LO DERECHOS DE  ACCESO, RECTIFICACION, SUPRESION, OPOSICION, LIMITACION, PORTABILIDAD Y DECISIONES AUTOMATIZADAS A LOS TRATAMIENTOS DE LA JUNTA DE COMUNIDADES DE CASTILLA-LA MANCHA")</f>
        <v>EJERCICIO DE LO DERECHOS DE  ACCESO, RECTIFICACION, SUPRESION, OPOSICION, LIMITACION, PORTABILIDAD Y DECISIONES AUTOMATIZADAS A LOS TRATAMIENTOS DE LA JUNTA DE COMUNIDADES DE CASTILLA-LA MANCHA</v>
      </c>
      <c r="J399" s="3" t="s">
        <v>42</v>
      </c>
      <c r="K399" s="3" t="s">
        <v>41</v>
      </c>
      <c r="L399" s="3" t="s">
        <v>42</v>
      </c>
      <c r="M399" s="3" t="s">
        <v>41</v>
      </c>
    </row>
    <row r="400" spans="1:13" ht="230.1">
      <c r="A400" s="22" t="s">
        <v>17</v>
      </c>
      <c r="B400" s="3" t="s">
        <v>1315</v>
      </c>
      <c r="C400" s="3" t="s">
        <v>1316</v>
      </c>
      <c r="D400" s="3" t="s">
        <v>51</v>
      </c>
      <c r="E400" s="3" t="s">
        <v>37</v>
      </c>
      <c r="F400" s="3" t="s">
        <v>1116</v>
      </c>
      <c r="G400" s="3" t="s">
        <v>1125</v>
      </c>
      <c r="H400" s="3" t="s">
        <v>1317</v>
      </c>
      <c r="I400" s="3" t="str">
        <f>HYPERLINK("http://www.jccm.es/sede/tramite/IZ9","REGISTRO DE POLICIAS LOCALES DE LA COMUNIDAD AUTONOMA DE CASTILLA-LA MANCHA, A INSTANCIA DE LAS ENTIDADES LOCALES")</f>
        <v>REGISTRO DE POLICIAS LOCALES DE LA COMUNIDAD AUTONOMA DE CASTILLA-LA MANCHA, A INSTANCIA DE LAS ENTIDADES LOCALES</v>
      </c>
      <c r="J400" s="3" t="s">
        <v>42</v>
      </c>
      <c r="K400" s="3" t="s">
        <v>41</v>
      </c>
      <c r="L400" s="3" t="s">
        <v>42</v>
      </c>
      <c r="M400" s="3" t="s">
        <v>41</v>
      </c>
    </row>
    <row r="401" spans="1:13" ht="230.1">
      <c r="A401" s="22" t="s">
        <v>17</v>
      </c>
      <c r="B401" s="3" t="s">
        <v>1318</v>
      </c>
      <c r="C401" s="3" t="s">
        <v>1319</v>
      </c>
      <c r="D401" s="3" t="s">
        <v>51</v>
      </c>
      <c r="E401" s="3" t="s">
        <v>37</v>
      </c>
      <c r="F401" s="3" t="s">
        <v>1116</v>
      </c>
      <c r="G401" s="3" t="s">
        <v>1125</v>
      </c>
      <c r="H401" s="3" t="s">
        <v>1320</v>
      </c>
      <c r="I401" s="3" t="str">
        <f>HYPERLINK("http://www.jccm.es/sede/tramite/JMA","REGISTRO DE PROFESORES COLABORADORES DE LA ESCUELA DE PROTECCION CIUDADANA DE CASTILLA LA MANCHA.")</f>
        <v>REGISTRO DE PROFESORES COLABORADORES DE LA ESCUELA DE PROTECCION CIUDADANA DE CASTILLA LA MANCHA.</v>
      </c>
      <c r="J401" s="3" t="s">
        <v>42</v>
      </c>
      <c r="K401" s="3" t="s">
        <v>41</v>
      </c>
      <c r="L401" s="3" t="s">
        <v>42</v>
      </c>
      <c r="M401" s="3" t="s">
        <v>41</v>
      </c>
    </row>
    <row r="402" spans="1:13" ht="230.1">
      <c r="A402" s="22" t="s">
        <v>17</v>
      </c>
      <c r="B402" s="3" t="s">
        <v>1321</v>
      </c>
      <c r="C402" s="3" t="s">
        <v>1322</v>
      </c>
      <c r="D402" s="3" t="s">
        <v>1323</v>
      </c>
      <c r="E402" s="3" t="s">
        <v>37</v>
      </c>
      <c r="F402" s="3" t="s">
        <v>1116</v>
      </c>
      <c r="G402" s="3" t="s">
        <v>1125</v>
      </c>
      <c r="H402" s="3" t="s">
        <v>1324</v>
      </c>
      <c r="I402" s="3" t="str">
        <f>HYPERLINK("http://www.jccm.es/sede/tramite/JRU","ACCESO AL SERVICIO PARA PERSONAS CON DISCAPACIDAD AUDITIVA Y/O DEL LENGUAJE EN EL DISPOSITIVO DE ATENCION ESPECIFICO DEL 112 DE CASTILLA-LA MANCHA")</f>
        <v>ACCESO AL SERVICIO PARA PERSONAS CON DISCAPACIDAD AUDITIVA Y/O DEL LENGUAJE EN EL DISPOSITIVO DE ATENCION ESPECIFICO DEL 112 DE CASTILLA-LA MANCHA</v>
      </c>
      <c r="J402" s="3" t="s">
        <v>42</v>
      </c>
      <c r="K402" s="3" t="s">
        <v>41</v>
      </c>
      <c r="L402" s="3" t="s">
        <v>42</v>
      </c>
      <c r="M402" s="3" t="s">
        <v>41</v>
      </c>
    </row>
    <row r="403" spans="1:13" ht="149.44999999999999">
      <c r="A403" s="22" t="s">
        <v>17</v>
      </c>
      <c r="B403" s="3" t="s">
        <v>1325</v>
      </c>
      <c r="C403" s="3" t="s">
        <v>1326</v>
      </c>
      <c r="D403" s="3" t="s">
        <v>45</v>
      </c>
      <c r="E403" s="3" t="s">
        <v>37</v>
      </c>
      <c r="F403" s="3" t="s">
        <v>1116</v>
      </c>
      <c r="G403" s="3" t="s">
        <v>1201</v>
      </c>
      <c r="H403" s="3" t="s">
        <v>1327</v>
      </c>
      <c r="I403" s="3" t="str">
        <f>HYPERLINK("http://www.jccm.es/sede/tramite/JPT","REGISTRO DE PROFESORADO COLABORADOR DE LA ESCUELA DE ADMINISTRACION REGIONAL DE CASTILLA-LA MANCHA (EAR)")</f>
        <v>REGISTRO DE PROFESORADO COLABORADOR DE LA ESCUELA DE ADMINISTRACION REGIONAL DE CASTILLA-LA MANCHA (EAR)</v>
      </c>
      <c r="J403" s="3" t="s">
        <v>42</v>
      </c>
      <c r="K403" s="3" t="s">
        <v>41</v>
      </c>
      <c r="L403" s="3" t="s">
        <v>42</v>
      </c>
      <c r="M403" s="3" t="s">
        <v>41</v>
      </c>
    </row>
    <row r="404" spans="1:13" ht="230.1">
      <c r="A404" s="22" t="s">
        <v>17</v>
      </c>
      <c r="B404" s="3" t="s">
        <v>1328</v>
      </c>
      <c r="C404" s="3" t="s">
        <v>1329</v>
      </c>
      <c r="D404" s="3" t="s">
        <v>51</v>
      </c>
      <c r="E404" s="3" t="s">
        <v>37</v>
      </c>
      <c r="F404" s="3" t="s">
        <v>1116</v>
      </c>
      <c r="G404" s="3" t="s">
        <v>1125</v>
      </c>
      <c r="H404" s="3" t="s">
        <v>1330</v>
      </c>
      <c r="I404" s="3" t="str">
        <f>HYPERLINK("http://www.jccm.es/sede/tramite/JRT","ANOTACION EN EL REGISTRO DE POLICIAS LOCALES DE LA COMUNIDAD AUTONOMA DE CASTILLA-LA MANCHA DE TITULACIONES ACADEMICAS O FORMACION PROFESIONAL A PETICION DE INTERESADO")</f>
        <v>ANOTACION EN EL REGISTRO DE POLICIAS LOCALES DE LA COMUNIDAD AUTONOMA DE CASTILLA-LA MANCHA DE TITULACIONES ACADEMICAS O FORMACION PROFESIONAL A PETICION DE INTERESADO</v>
      </c>
      <c r="J404" s="3" t="s">
        <v>41</v>
      </c>
      <c r="K404" s="3" t="s">
        <v>41</v>
      </c>
      <c r="L404" s="3" t="s">
        <v>42</v>
      </c>
      <c r="M404" s="3" t="s">
        <v>41</v>
      </c>
    </row>
    <row r="405" spans="1:13" ht="172.5">
      <c r="A405" s="22" t="s">
        <v>17</v>
      </c>
      <c r="B405" s="3" t="s">
        <v>1331</v>
      </c>
      <c r="C405" s="3" t="s">
        <v>1332</v>
      </c>
      <c r="D405" s="3" t="s">
        <v>1323</v>
      </c>
      <c r="E405" s="3" t="s">
        <v>37</v>
      </c>
      <c r="F405" s="3" t="s">
        <v>1116</v>
      </c>
      <c r="G405" s="3" t="s">
        <v>1117</v>
      </c>
      <c r="H405" s="3" t="s">
        <v>1333</v>
      </c>
      <c r="I405" s="3" t="str">
        <f>HYPERLINK("http://www.jccm.es/sede/tramite/K1P","ACCESO AL SERVICIO 012 PARA PERSONAS CON DISCAPACIDAD AUDITIVA Y/O DEL LENGUAJE")</f>
        <v>ACCESO AL SERVICIO 012 PARA PERSONAS CON DISCAPACIDAD AUDITIVA Y/O DEL LENGUAJE</v>
      </c>
      <c r="J405" s="3" t="s">
        <v>42</v>
      </c>
      <c r="K405" s="3" t="s">
        <v>41</v>
      </c>
      <c r="L405" s="3" t="s">
        <v>42</v>
      </c>
      <c r="M405" s="3" t="s">
        <v>41</v>
      </c>
    </row>
    <row r="406" spans="1:13" ht="138">
      <c r="A406" s="22" t="s">
        <v>17</v>
      </c>
      <c r="B406" s="3" t="s">
        <v>1334</v>
      </c>
      <c r="C406" s="3" t="s">
        <v>1335</v>
      </c>
      <c r="D406" s="3" t="s">
        <v>1234</v>
      </c>
      <c r="E406" s="3" t="s">
        <v>46</v>
      </c>
      <c r="F406" s="3" t="s">
        <v>1116</v>
      </c>
      <c r="G406" s="3" t="s">
        <v>1169</v>
      </c>
      <c r="H406" s="3" t="s">
        <v>1336</v>
      </c>
      <c r="I406" s="3" t="str">
        <f>HYPERLINK("http://www.jccm.es/sede/tramite/K3T","INSCRIPCION O CANCELACION EN EL REGISTRO DE INTERDICCION DE ACCESO AL JUEGO.")</f>
        <v>INSCRIPCION O CANCELACION EN EL REGISTRO DE INTERDICCION DE ACCESO AL JUEGO.</v>
      </c>
      <c r="J406" s="3" t="s">
        <v>42</v>
      </c>
      <c r="K406" s="3" t="s">
        <v>41</v>
      </c>
      <c r="L406" s="3" t="s">
        <v>42</v>
      </c>
      <c r="M406" s="3" t="s">
        <v>41</v>
      </c>
    </row>
    <row r="407" spans="1:13" ht="230.1">
      <c r="A407" s="22" t="s">
        <v>17</v>
      </c>
      <c r="B407" s="3" t="s">
        <v>1337</v>
      </c>
      <c r="C407" s="3" t="s">
        <v>1338</v>
      </c>
      <c r="D407" s="3" t="s">
        <v>45</v>
      </c>
      <c r="E407" s="3" t="s">
        <v>37</v>
      </c>
      <c r="F407" s="3" t="s">
        <v>1116</v>
      </c>
      <c r="G407" s="3" t="s">
        <v>1125</v>
      </c>
      <c r="H407" s="3" t="s">
        <v>1339</v>
      </c>
      <c r="I407" s="3" t="str">
        <f>HYPERLINK("http://www.jccm.es/sede/tramite/K5U","REGISTRO FESTEJOS TAURINOS TRADICIONALES.")</f>
        <v>REGISTRO FESTEJOS TAURINOS TRADICIONALES.</v>
      </c>
      <c r="J407" s="3" t="s">
        <v>41</v>
      </c>
      <c r="K407" s="3" t="s">
        <v>41</v>
      </c>
      <c r="L407" s="3" t="s">
        <v>42</v>
      </c>
      <c r="M407" s="3" t="s">
        <v>41</v>
      </c>
    </row>
    <row r="408" spans="1:13" ht="172.5">
      <c r="A408" s="22" t="s">
        <v>17</v>
      </c>
      <c r="B408" s="3" t="s">
        <v>1340</v>
      </c>
      <c r="C408" s="3" t="s">
        <v>1341</v>
      </c>
      <c r="D408" s="3" t="s">
        <v>1342</v>
      </c>
      <c r="E408" s="3" t="s">
        <v>95</v>
      </c>
      <c r="F408" s="3" t="s">
        <v>1116</v>
      </c>
      <c r="G408" s="3" t="s">
        <v>1117</v>
      </c>
      <c r="H408" s="3" t="s">
        <v>1343</v>
      </c>
      <c r="I408" s="3" t="str">
        <f>HYPERLINK("http://www.jccm.es/sede/tramite/JO1","PRESENTACION CUENTAS ANUALES, PLANES DE ACTUACION Y LEGALIZACION DE LIBROS (FUNDACIONES)")</f>
        <v>PRESENTACION CUENTAS ANUALES, PLANES DE ACTUACION Y LEGALIZACION DE LIBROS (FUNDACIONES)</v>
      </c>
      <c r="J408" s="3" t="s">
        <v>42</v>
      </c>
      <c r="K408" s="3" t="s">
        <v>41</v>
      </c>
      <c r="L408" s="3" t="s">
        <v>42</v>
      </c>
      <c r="M408" s="3" t="s">
        <v>41</v>
      </c>
    </row>
    <row r="409" spans="1:13" ht="172.5">
      <c r="A409" s="22" t="s">
        <v>17</v>
      </c>
      <c r="B409" s="3" t="s">
        <v>1344</v>
      </c>
      <c r="C409" s="3" t="s">
        <v>1345</v>
      </c>
      <c r="D409" s="3" t="s">
        <v>95</v>
      </c>
      <c r="E409" s="3" t="s">
        <v>95</v>
      </c>
      <c r="F409" s="3" t="s">
        <v>1116</v>
      </c>
      <c r="G409" s="3" t="s">
        <v>1117</v>
      </c>
      <c r="H409" s="3" t="s">
        <v>1346</v>
      </c>
      <c r="I409" s="3" t="str">
        <f>HYPERLINK("http://www.jccm.es/sede/tramite/KDF","RENDICION DE CUENTAS POR ASOCIACIONES DECLARADAS DE UTILIDAD PUBLICA")</f>
        <v>RENDICION DE CUENTAS POR ASOCIACIONES DECLARADAS DE UTILIDAD PUBLICA</v>
      </c>
      <c r="J409" s="3" t="s">
        <v>42</v>
      </c>
      <c r="K409" s="3" t="s">
        <v>41</v>
      </c>
      <c r="L409" s="3" t="s">
        <v>42</v>
      </c>
      <c r="M409" s="3" t="s">
        <v>41</v>
      </c>
    </row>
    <row r="410" spans="1:13" ht="161.1">
      <c r="A410" s="22" t="s">
        <v>17</v>
      </c>
      <c r="B410" s="3" t="s">
        <v>1347</v>
      </c>
      <c r="C410" s="3" t="s">
        <v>1348</v>
      </c>
      <c r="D410" s="3" t="s">
        <v>45</v>
      </c>
      <c r="E410" s="3" t="s">
        <v>37</v>
      </c>
      <c r="F410" s="3" t="s">
        <v>1116</v>
      </c>
      <c r="G410" s="3" t="s">
        <v>1290</v>
      </c>
      <c r="H410" s="3" t="s">
        <v>1349</v>
      </c>
      <c r="I410" s="3" t="str">
        <f>HYPERLINK("http://www.jccm.es/sede/tramite/J65","SOLICITUDES DE INSCRIPCION EN EL REGISTRO DE MEDIADORES DE SEGUROS DE CASTILLA-LA MANCHA")</f>
        <v>SOLICITUDES DE INSCRIPCION EN EL REGISTRO DE MEDIADORES DE SEGUROS DE CASTILLA-LA MANCHA</v>
      </c>
      <c r="J410" s="3" t="s">
        <v>42</v>
      </c>
      <c r="K410" s="3" t="s">
        <v>41</v>
      </c>
      <c r="L410" s="3" t="s">
        <v>42</v>
      </c>
      <c r="M410" s="3" t="s">
        <v>41</v>
      </c>
    </row>
    <row r="411" spans="1:13" ht="161.1">
      <c r="A411" s="22" t="s">
        <v>17</v>
      </c>
      <c r="B411" s="3" t="s">
        <v>1350</v>
      </c>
      <c r="C411" s="3" t="s">
        <v>1351</v>
      </c>
      <c r="D411" s="3" t="s">
        <v>45</v>
      </c>
      <c r="E411" s="3" t="s">
        <v>37</v>
      </c>
      <c r="F411" s="3" t="s">
        <v>1116</v>
      </c>
      <c r="G411" s="3" t="s">
        <v>1290</v>
      </c>
      <c r="H411" s="3" t="s">
        <v>1352</v>
      </c>
      <c r="I411" s="3" t="str">
        <f>HYPERLINK("http://www.jccm.es/sede/tramite/J64","PROCEDIMIENTOS DE MODIFICACION Y CERTIFICACION DE DATOS REGISTRALES")</f>
        <v>PROCEDIMIENTOS DE MODIFICACION Y CERTIFICACION DE DATOS REGISTRALES</v>
      </c>
      <c r="J411" s="3" t="s">
        <v>42</v>
      </c>
      <c r="K411" s="3" t="s">
        <v>41</v>
      </c>
      <c r="L411" s="3" t="s">
        <v>42</v>
      </c>
      <c r="M411" s="3" t="s">
        <v>41</v>
      </c>
    </row>
    <row r="412" spans="1:13" ht="149.44999999999999">
      <c r="A412" s="22" t="s">
        <v>17</v>
      </c>
      <c r="B412" s="3" t="s">
        <v>1353</v>
      </c>
      <c r="C412" s="3" t="s">
        <v>1354</v>
      </c>
      <c r="D412" s="3" t="s">
        <v>327</v>
      </c>
      <c r="E412" s="3" t="s">
        <v>37</v>
      </c>
      <c r="F412" s="3" t="s">
        <v>1116</v>
      </c>
      <c r="G412" s="3" t="s">
        <v>1355</v>
      </c>
      <c r="H412" s="3" t="s">
        <v>1356</v>
      </c>
      <c r="I412" s="3" t="str">
        <f>HYPERLINK("http://www.jccm.es/sede/tramite/JJ7","ALTA DE FACTURA ELECTRONICA DE LA JUNTA DE CASTILLA-LA MANCHA")</f>
        <v>ALTA DE FACTURA ELECTRONICA DE LA JUNTA DE CASTILLA-LA MANCHA</v>
      </c>
      <c r="J412" s="3" t="s">
        <v>41</v>
      </c>
      <c r="K412" s="3" t="s">
        <v>41</v>
      </c>
      <c r="L412" s="3" t="s">
        <v>42</v>
      </c>
      <c r="M412" s="3" t="s">
        <v>41</v>
      </c>
    </row>
    <row r="413" spans="1:13" ht="230.1">
      <c r="A413" s="22" t="s">
        <v>17</v>
      </c>
      <c r="B413" s="3" t="s">
        <v>1357</v>
      </c>
      <c r="C413" s="3" t="s">
        <v>1358</v>
      </c>
      <c r="D413" s="3" t="s">
        <v>45</v>
      </c>
      <c r="E413" s="3" t="s">
        <v>37</v>
      </c>
      <c r="F413" s="3" t="s">
        <v>1116</v>
      </c>
      <c r="G413" s="3" t="s">
        <v>1125</v>
      </c>
      <c r="H413" s="3" t="s">
        <v>1359</v>
      </c>
      <c r="I413" s="3" t="str">
        <f>HYPERLINK("http://www.jccm.es/sede/tramite/K73","CANCELACION DE LOS DATOS INSCRITOS EN EL REGISTRO DE PLANES DE AUTOPROTECCION DE CASTILLA-LA MANCHA")</f>
        <v>CANCELACION DE LOS DATOS INSCRITOS EN EL REGISTRO DE PLANES DE AUTOPROTECCION DE CASTILLA-LA MANCHA</v>
      </c>
      <c r="J413" s="3" t="s">
        <v>41</v>
      </c>
      <c r="K413" s="3" t="s">
        <v>41</v>
      </c>
      <c r="L413" s="3" t="s">
        <v>42</v>
      </c>
      <c r="M413" s="3" t="s">
        <v>41</v>
      </c>
    </row>
    <row r="414" spans="1:13" ht="230.1">
      <c r="A414" s="22" t="s">
        <v>17</v>
      </c>
      <c r="B414" s="3" t="s">
        <v>1360</v>
      </c>
      <c r="C414" s="3" t="s">
        <v>1361</v>
      </c>
      <c r="D414" s="3" t="s">
        <v>45</v>
      </c>
      <c r="E414" s="3" t="s">
        <v>37</v>
      </c>
      <c r="F414" s="3" t="s">
        <v>1116</v>
      </c>
      <c r="G414" s="3" t="s">
        <v>1125</v>
      </c>
      <c r="H414" s="3" t="s">
        <v>1362</v>
      </c>
      <c r="I414" s="3" t="str">
        <f>HYPERLINK("http://www.jccm.es/sede/tramite/K72","MODIFICACION DE LOS DATOS INSCRITOS EN EL REGISTRO DE PLANES DE AUTOPROTECCION DE CASTILLA-LA MANCHA")</f>
        <v>MODIFICACION DE LOS DATOS INSCRITOS EN EL REGISTRO DE PLANES DE AUTOPROTECCION DE CASTILLA-LA MANCHA</v>
      </c>
      <c r="J414" s="3" t="s">
        <v>41</v>
      </c>
      <c r="K414" s="3" t="s">
        <v>41</v>
      </c>
      <c r="L414" s="3" t="s">
        <v>42</v>
      </c>
      <c r="M414" s="3" t="s">
        <v>41</v>
      </c>
    </row>
    <row r="415" spans="1:13" ht="230.1">
      <c r="A415" s="22" t="s">
        <v>17</v>
      </c>
      <c r="B415" s="3" t="s">
        <v>1363</v>
      </c>
      <c r="C415" s="3" t="s">
        <v>1364</v>
      </c>
      <c r="D415" s="3" t="s">
        <v>45</v>
      </c>
      <c r="E415" s="3" t="s">
        <v>37</v>
      </c>
      <c r="F415" s="3" t="s">
        <v>1116</v>
      </c>
      <c r="G415" s="3" t="s">
        <v>1125</v>
      </c>
      <c r="H415" s="3" t="s">
        <v>1365</v>
      </c>
      <c r="I415" s="3" t="str">
        <f>HYPERLINK("http://www.jccm.es/sede/tramite/K6W","INSCRIPCION EN EL REGISTRO DE PLANES DE AUTOPROTECCION DE CASTILLA-LA MANCHA")</f>
        <v>INSCRIPCION EN EL REGISTRO DE PLANES DE AUTOPROTECCION DE CASTILLA-LA MANCHA</v>
      </c>
      <c r="J415" s="3" t="s">
        <v>41</v>
      </c>
      <c r="K415" s="3" t="s">
        <v>41</v>
      </c>
      <c r="L415" s="3" t="s">
        <v>42</v>
      </c>
      <c r="M415" s="3" t="s">
        <v>41</v>
      </c>
    </row>
    <row r="416" spans="1:13" ht="172.5">
      <c r="A416" s="22" t="s">
        <v>17</v>
      </c>
      <c r="B416" s="3" t="s">
        <v>1366</v>
      </c>
      <c r="C416" s="3" t="s">
        <v>1367</v>
      </c>
      <c r="D416" s="3" t="s">
        <v>327</v>
      </c>
      <c r="E416" s="3" t="s">
        <v>1368</v>
      </c>
      <c r="F416" s="3" t="s">
        <v>1116</v>
      </c>
      <c r="G416" s="3" t="s">
        <v>1117</v>
      </c>
      <c r="H416" s="3" t="s">
        <v>1369</v>
      </c>
      <c r="I416" s="3" t="str">
        <f>HYPERLINK("http://www.jccm.es/sede/tramite/IM8","PREMIO A LA EXCELENCIA Y CALIDAD DE LOS SERVICIOS PUBLICOS")</f>
        <v>PREMIO A LA EXCELENCIA Y CALIDAD DE LOS SERVICIOS PUBLICOS</v>
      </c>
      <c r="J416" s="3" t="s">
        <v>41</v>
      </c>
      <c r="K416" s="3" t="s">
        <v>41</v>
      </c>
      <c r="L416" s="3" t="s">
        <v>42</v>
      </c>
      <c r="M416" s="3" t="s">
        <v>41</v>
      </c>
    </row>
    <row r="417" spans="1:13" ht="172.5">
      <c r="A417" s="22" t="s">
        <v>17</v>
      </c>
      <c r="B417" s="3" t="s">
        <v>1370</v>
      </c>
      <c r="C417" s="3" t="s">
        <v>1371</v>
      </c>
      <c r="D417" s="3" t="s">
        <v>45</v>
      </c>
      <c r="E417" s="3" t="s">
        <v>46</v>
      </c>
      <c r="F417" s="3" t="s">
        <v>1116</v>
      </c>
      <c r="G417" s="3" t="s">
        <v>1117</v>
      </c>
      <c r="H417" s="3" t="s">
        <v>1372</v>
      </c>
      <c r="I417" s="3" t="str">
        <f>HYPERLINK("http://www.jccm.es/sede/tramite/J0W","AYUDAS PARA ACTUACIONES URGENTES E INCIDENCIAS IMPREVISIBLES CON CARGO AL FONDO REGIONAL DE COOPERACION LOCAL")</f>
        <v>AYUDAS PARA ACTUACIONES URGENTES E INCIDENCIAS IMPREVISIBLES CON CARGO AL FONDO REGIONAL DE COOPERACION LOCAL</v>
      </c>
      <c r="J417" s="3" t="s">
        <v>41</v>
      </c>
      <c r="K417" s="3" t="s">
        <v>41</v>
      </c>
      <c r="L417" s="3" t="s">
        <v>42</v>
      </c>
      <c r="M417" s="3" t="s">
        <v>41</v>
      </c>
    </row>
    <row r="418" spans="1:13" ht="230.1">
      <c r="A418" s="22" t="s">
        <v>17</v>
      </c>
      <c r="B418" s="3" t="s">
        <v>1373</v>
      </c>
      <c r="C418" s="3" t="s">
        <v>1374</v>
      </c>
      <c r="D418" s="3" t="s">
        <v>36</v>
      </c>
      <c r="E418" s="3" t="s">
        <v>46</v>
      </c>
      <c r="F418" s="3" t="s">
        <v>1116</v>
      </c>
      <c r="G418" s="3" t="s">
        <v>1125</v>
      </c>
      <c r="H418" s="3" t="s">
        <v>1375</v>
      </c>
      <c r="I418" s="3" t="str">
        <f>HYPERLINK("http://www.jccm.es/sede/tramite/ILR","SOLICITUD DE SUBVENCION DE LAS ENTIDADES LOCALES DE CASTILLA-LA MANCHA PARA LA DOTACION DE MEDIOS MATERIALES  PARA LAS AGRUPACIONES DE VOLUNTARIOS  DE PROTECCION CIVIL")</f>
        <v>SOLICITUD DE SUBVENCION DE LAS ENTIDADES LOCALES DE CASTILLA-LA MANCHA PARA LA DOTACION DE MEDIOS MATERIALES  PARA LAS AGRUPACIONES DE VOLUNTARIOS  DE PROTECCION CIVIL</v>
      </c>
      <c r="J418" s="3" t="s">
        <v>41</v>
      </c>
      <c r="K418" s="3" t="s">
        <v>41</v>
      </c>
      <c r="L418" s="3" t="s">
        <v>42</v>
      </c>
      <c r="M418" s="3" t="s">
        <v>41</v>
      </c>
    </row>
    <row r="419" spans="1:13" ht="230.1">
      <c r="A419" s="22" t="s">
        <v>17</v>
      </c>
      <c r="B419" s="3" t="s">
        <v>1376</v>
      </c>
      <c r="C419" s="3" t="s">
        <v>1377</v>
      </c>
      <c r="D419" s="3" t="s">
        <v>95</v>
      </c>
      <c r="E419" s="3" t="s">
        <v>46</v>
      </c>
      <c r="F419" s="3" t="s">
        <v>1116</v>
      </c>
      <c r="G419" s="3" t="s">
        <v>1125</v>
      </c>
      <c r="H419" s="3" t="s">
        <v>1378</v>
      </c>
      <c r="I419" s="3" t="str">
        <f>HYPERLINK("http://www.jccm.es/sede/tramite/ILP","ACTIVIDADES DE FORMACION INICIAL Y CONTINUA PARA PERSONAL DE POLICIA LOCAL, DE VIGILANCIA MUNICIPAL, BOMBERO/A, TECNICO Y  VOLUNTARIADO DE PROTECCION CIVIL.")</f>
        <v>ACTIVIDADES DE FORMACION INICIAL Y CONTINUA PARA PERSONAL DE POLICIA LOCAL, DE VIGILANCIA MUNICIPAL, BOMBERO/A, TECNICO Y  VOLUNTARIADO DE PROTECCION CIVIL.</v>
      </c>
      <c r="J419" s="3" t="s">
        <v>42</v>
      </c>
      <c r="K419" s="3" t="s">
        <v>41</v>
      </c>
      <c r="L419" s="3" t="s">
        <v>42</v>
      </c>
      <c r="M419" s="3" t="s">
        <v>41</v>
      </c>
    </row>
    <row r="420" spans="1:13" ht="230.1">
      <c r="A420" s="22" t="s">
        <v>17</v>
      </c>
      <c r="B420" s="3" t="s">
        <v>1379</v>
      </c>
      <c r="C420" s="3" t="s">
        <v>1380</v>
      </c>
      <c r="D420" s="3" t="s">
        <v>1217</v>
      </c>
      <c r="E420" s="3" t="s">
        <v>46</v>
      </c>
      <c r="F420" s="3" t="s">
        <v>1116</v>
      </c>
      <c r="G420" s="3" t="s">
        <v>1125</v>
      </c>
      <c r="H420" s="3" t="s">
        <v>1381</v>
      </c>
      <c r="I420" s="3" t="str">
        <f>HYPERLINK("http://www.jccm.es/sede/tramite/K5V","CONDECORACIONES POLICIA LOCAL DE CASTILLA-LA MANCHA")</f>
        <v>CONDECORACIONES POLICIA LOCAL DE CASTILLA-LA MANCHA</v>
      </c>
      <c r="J420" s="3" t="s">
        <v>42</v>
      </c>
      <c r="K420" s="3" t="s">
        <v>41</v>
      </c>
      <c r="L420" s="3" t="s">
        <v>41</v>
      </c>
      <c r="M420" s="3" t="s">
        <v>41</v>
      </c>
    </row>
    <row r="421" spans="1:13" ht="230.1">
      <c r="A421" s="22" t="s">
        <v>17</v>
      </c>
      <c r="B421" s="3" t="s">
        <v>1382</v>
      </c>
      <c r="C421" s="3" t="s">
        <v>1383</v>
      </c>
      <c r="D421" s="3" t="s">
        <v>36</v>
      </c>
      <c r="E421" s="3" t="s">
        <v>46</v>
      </c>
      <c r="F421" s="3" t="s">
        <v>1116</v>
      </c>
      <c r="G421" s="3" t="s">
        <v>1125</v>
      </c>
      <c r="H421" s="3" t="s">
        <v>1384</v>
      </c>
      <c r="I421" s="3" t="str">
        <f>HYPERLINK("http://www.jccm.es/sede/tramite/KEF","SUBVENCIONES DIRIGIDAS A LAS ENTIDADES LOCALES DE CASTILLA-LA MANCHA PARA LA ELABORACION DE PLANES DE PROTECCION CIVIL DE AMBITO MUNICIPAL")</f>
        <v>SUBVENCIONES DIRIGIDAS A LAS ENTIDADES LOCALES DE CASTILLA-LA MANCHA PARA LA ELABORACION DE PLANES DE PROTECCION CIVIL DE AMBITO MUNICIPAL</v>
      </c>
      <c r="J421" s="3" t="s">
        <v>41</v>
      </c>
      <c r="K421" s="3" t="s">
        <v>41</v>
      </c>
      <c r="L421" s="3" t="s">
        <v>42</v>
      </c>
      <c r="M421" s="3" t="s">
        <v>41</v>
      </c>
    </row>
    <row r="422" spans="1:13" ht="321.95">
      <c r="A422" s="22" t="s">
        <v>17</v>
      </c>
      <c r="B422" s="3" t="s">
        <v>1385</v>
      </c>
      <c r="C422" s="3" t="s">
        <v>1386</v>
      </c>
      <c r="D422" s="3" t="s">
        <v>232</v>
      </c>
      <c r="E422" s="3" t="s">
        <v>46</v>
      </c>
      <c r="F422" s="3" t="s">
        <v>1116</v>
      </c>
      <c r="G422" s="3" t="s">
        <v>1387</v>
      </c>
      <c r="H422" s="3" t="s">
        <v>1388</v>
      </c>
      <c r="I422" s="3" t="str">
        <f>HYPERLINK("http://www.jccm.es/sede/tramite/KQX","CONVOCATORIA DE SUBVENCIONES DESTINADAS A LA FINANCIACION DE PLANES DE FORMACION PARA LAS/OS EMPLEADAS/OS PUBLICAS/OS DE LAS ENTIDADES LOCALES EN EL MARCO DEL AFEDAP.")</f>
        <v>CONVOCATORIA DE SUBVENCIONES DESTINADAS A LA FINANCIACION DE PLANES DE FORMACION PARA LAS/OS EMPLEADAS/OS PUBLICAS/OS DE LAS ENTIDADES LOCALES EN EL MARCO DEL AFEDAP.</v>
      </c>
      <c r="J422" s="3" t="s">
        <v>41</v>
      </c>
      <c r="K422" s="3" t="s">
        <v>41</v>
      </c>
      <c r="L422" s="3" t="s">
        <v>42</v>
      </c>
      <c r="M422" s="3" t="s">
        <v>41</v>
      </c>
    </row>
    <row r="423" spans="1:13" ht="321.95">
      <c r="A423" s="22" t="s">
        <v>17</v>
      </c>
      <c r="B423" s="3" t="s">
        <v>1389</v>
      </c>
      <c r="C423" s="3" t="s">
        <v>1390</v>
      </c>
      <c r="D423" s="3" t="s">
        <v>1391</v>
      </c>
      <c r="E423" s="3" t="s">
        <v>46</v>
      </c>
      <c r="F423" s="3" t="s">
        <v>1116</v>
      </c>
      <c r="G423" s="3" t="s">
        <v>1313</v>
      </c>
      <c r="H423" s="3" t="s">
        <v>1392</v>
      </c>
      <c r="I423" s="3" t="str">
        <f>HYPERLINK("http://www.jccm.es/sede/tramite/KZ1","CONVOCATORIA EXPRESIONES DE INTERES PARA LA SELECCION Y EJECUCION DE PROYECTOS, EN EL MARCO DEL PO FEDER CASILLA-LA MANCHA 2014-2020, RELATIVAS A LA ADHESION DE PUNTOS DE INCLUSION DIGITAL.")</f>
        <v>CONVOCATORIA EXPRESIONES DE INTERES PARA LA SELECCION Y EJECUCION DE PROYECTOS, EN EL MARCO DEL PO FEDER CASILLA-LA MANCHA 2014-2020, RELATIVAS A LA ADHESION DE PUNTOS DE INCLUSION DIGITAL.</v>
      </c>
      <c r="J423" s="3" t="s">
        <v>41</v>
      </c>
      <c r="K423" s="3" t="s">
        <v>41</v>
      </c>
      <c r="L423" s="3" t="s">
        <v>42</v>
      </c>
      <c r="M423" s="3" t="s">
        <v>41</v>
      </c>
    </row>
    <row r="424" spans="1:13" ht="321.95">
      <c r="A424" s="22" t="s">
        <v>17</v>
      </c>
      <c r="B424" s="3" t="s">
        <v>1393</v>
      </c>
      <c r="C424" s="3" t="s">
        <v>1394</v>
      </c>
      <c r="D424" s="3" t="s">
        <v>1391</v>
      </c>
      <c r="E424" s="3" t="s">
        <v>46</v>
      </c>
      <c r="F424" s="3" t="s">
        <v>1116</v>
      </c>
      <c r="G424" s="3" t="s">
        <v>1313</v>
      </c>
      <c r="H424" s="3" t="s">
        <v>1395</v>
      </c>
      <c r="I424" s="3" t="str">
        <f>HYPERLINK("http://www.jccm.es/sede/tramite/L5S","CONV. EXPRESIONES DE INTERES PARA LA SELECCION Y EJECUCION DE PROYECTOS, EN EL MARCO DEL PO FEDER CASILLA-LA MANCHA 2014-2020, RELATIVAS A LA ADHESION DE PUNTOS DE INCLUSION DIGITAL MUNICIPALES.")</f>
        <v>CONV. EXPRESIONES DE INTERES PARA LA SELECCION Y EJECUCION DE PROYECTOS, EN EL MARCO DEL PO FEDER CASILLA-LA MANCHA 2014-2020, RELATIVAS A LA ADHESION DE PUNTOS DE INCLUSION DIGITAL MUNICIPALES.</v>
      </c>
      <c r="J424" s="3" t="s">
        <v>41</v>
      </c>
      <c r="K424" s="3" t="s">
        <v>41</v>
      </c>
      <c r="L424" s="3" t="s">
        <v>42</v>
      </c>
      <c r="M424" s="3" t="s">
        <v>41</v>
      </c>
    </row>
    <row r="425" spans="1:13" ht="230.1">
      <c r="A425" s="22" t="s">
        <v>17</v>
      </c>
      <c r="B425" s="3" t="s">
        <v>1396</v>
      </c>
      <c r="C425" s="3" t="s">
        <v>1397</v>
      </c>
      <c r="D425" s="3" t="s">
        <v>95</v>
      </c>
      <c r="E425" s="3" t="s">
        <v>46</v>
      </c>
      <c r="F425" s="3" t="s">
        <v>1116</v>
      </c>
      <c r="G425" s="3" t="s">
        <v>1125</v>
      </c>
      <c r="H425" s="3" t="s">
        <v>1398</v>
      </c>
      <c r="I425" s="3" t="str">
        <f>HYPERLINK("http://www.jccm.es/sede/tramite/K77","USO DE LA GALERIA DE LA ESCUELA DE PROTECCION CIUDADANA DE CASTILLA-LA MANCHA, PARA REALIZAR PRACTICAS DE TIRO POLICIAL.")</f>
        <v>USO DE LA GALERIA DE LA ESCUELA DE PROTECCION CIUDADANA DE CASTILLA-LA MANCHA, PARA REALIZAR PRACTICAS DE TIRO POLICIAL.</v>
      </c>
      <c r="J425" s="3" t="s">
        <v>42</v>
      </c>
      <c r="K425" s="3" t="s">
        <v>41</v>
      </c>
      <c r="L425" s="3" t="s">
        <v>42</v>
      </c>
      <c r="M425" s="3" t="s">
        <v>41</v>
      </c>
    </row>
    <row r="426" spans="1:13" ht="172.5">
      <c r="A426" s="22" t="s">
        <v>17</v>
      </c>
      <c r="B426" s="3" t="s">
        <v>1399</v>
      </c>
      <c r="C426" s="3" t="s">
        <v>1400</v>
      </c>
      <c r="D426" s="3" t="s">
        <v>1401</v>
      </c>
      <c r="E426" s="3" t="s">
        <v>46</v>
      </c>
      <c r="F426" s="3" t="s">
        <v>1116</v>
      </c>
      <c r="G426" s="3" t="s">
        <v>1117</v>
      </c>
      <c r="H426" s="3" t="s">
        <v>1402</v>
      </c>
      <c r="I426" s="3" t="str">
        <f>HYPERLINK("http://www.jccm.es/sede/tramite/J8P","ADOPCION DE ESCUDO HERALDICO/BANDERA MUNICIPAL POR CORPORACION LOCAL")</f>
        <v>ADOPCION DE ESCUDO HERALDICO/BANDERA MUNICIPAL POR CORPORACION LOCAL</v>
      </c>
      <c r="J426" s="3" t="s">
        <v>42</v>
      </c>
      <c r="K426" s="3" t="s">
        <v>41</v>
      </c>
      <c r="L426" s="3" t="s">
        <v>42</v>
      </c>
      <c r="M426" s="3" t="s">
        <v>41</v>
      </c>
    </row>
    <row r="427" spans="1:13" ht="172.5">
      <c r="A427" s="22" t="s">
        <v>17</v>
      </c>
      <c r="B427" s="3" t="s">
        <v>1403</v>
      </c>
      <c r="C427" s="3" t="s">
        <v>1404</v>
      </c>
      <c r="D427" s="3" t="s">
        <v>45</v>
      </c>
      <c r="E427" s="3" t="s">
        <v>37</v>
      </c>
      <c r="F427" s="3" t="s">
        <v>1116</v>
      </c>
      <c r="G427" s="3" t="s">
        <v>1117</v>
      </c>
      <c r="H427" s="3" t="s">
        <v>1405</v>
      </c>
      <c r="I427" s="3" t="str">
        <f>HYPERLINK("http://www.jccm.es/sede/tramite/J8L","EXENCION DE LA OBLIGACION DE MANTENER EL PUESTO DE TRABAJO CON FUNCIONES PUBLICAS DE SECRETARIA, CUYA RESPONSABILIDAD ADMINISTRATIVA ESTE RESERVADA A FUNCIONARIOS/AS CON HABILITACION")</f>
        <v>EXENCION DE LA OBLIGACION DE MANTENER EL PUESTO DE TRABAJO CON FUNCIONES PUBLICAS DE SECRETARIA, CUYA RESPONSABILIDAD ADMINISTRATIVA ESTE RESERVADA A FUNCIONARIOS/AS CON HABILITACION</v>
      </c>
      <c r="J427" s="3" t="s">
        <v>42</v>
      </c>
      <c r="K427" s="3" t="s">
        <v>41</v>
      </c>
      <c r="L427" s="3" t="s">
        <v>42</v>
      </c>
      <c r="M427" s="3" t="s">
        <v>41</v>
      </c>
    </row>
    <row r="428" spans="1:13" ht="172.5">
      <c r="A428" s="22" t="s">
        <v>17</v>
      </c>
      <c r="B428" s="3" t="s">
        <v>1406</v>
      </c>
      <c r="C428" s="3" t="s">
        <v>1407</v>
      </c>
      <c r="D428" s="3" t="s">
        <v>327</v>
      </c>
      <c r="E428" s="3" t="s">
        <v>46</v>
      </c>
      <c r="F428" s="3" t="s">
        <v>1116</v>
      </c>
      <c r="G428" s="3" t="s">
        <v>1117</v>
      </c>
      <c r="H428" s="3" t="s">
        <v>1408</v>
      </c>
      <c r="I428" s="3" t="str">
        <f>HYPERLINK("http://www.jccm.es/sede/tramite/069","APROBACION DE CONSTITUCION DE ENTIDAD DE AMBITO TERRITORIAL INFERIOR AL MUNICIPIO")</f>
        <v>APROBACION DE CONSTITUCION DE ENTIDAD DE AMBITO TERRITORIAL INFERIOR AL MUNICIPIO</v>
      </c>
      <c r="J428" s="3" t="s">
        <v>42</v>
      </c>
      <c r="K428" s="3" t="s">
        <v>41</v>
      </c>
      <c r="L428" s="3" t="s">
        <v>42</v>
      </c>
      <c r="M428" s="3" t="s">
        <v>41</v>
      </c>
    </row>
    <row r="429" spans="1:13" ht="183.95">
      <c r="A429" s="22" t="s">
        <v>17</v>
      </c>
      <c r="B429" s="3" t="s">
        <v>1409</v>
      </c>
      <c r="C429" s="3" t="s">
        <v>1410</v>
      </c>
      <c r="D429" s="3" t="s">
        <v>45</v>
      </c>
      <c r="E429" s="3" t="s">
        <v>37</v>
      </c>
      <c r="F429" s="3" t="s">
        <v>1116</v>
      </c>
      <c r="G429" s="3" t="s">
        <v>1117</v>
      </c>
      <c r="H429" s="3" t="s">
        <v>1411</v>
      </c>
      <c r="I429" s="3" t="str">
        <f>HYPERLINK("http://www.jccm.es/sede/tramite/J8J","CREACION Y CLASIFICACION DE PUESTO DE TRABAJO RESERVADO A FUNCIONARIO/A CON HABILITACION DE CARACTER ESTATAL")</f>
        <v>CREACION Y CLASIFICACION DE PUESTO DE TRABAJO RESERVADO A FUNCIONARIO/A CON HABILITACION DE CARACTER ESTATAL</v>
      </c>
      <c r="J429" s="3" t="s">
        <v>42</v>
      </c>
      <c r="K429" s="3" t="s">
        <v>41</v>
      </c>
      <c r="L429" s="3" t="s">
        <v>42</v>
      </c>
      <c r="M429" s="3" t="s">
        <v>41</v>
      </c>
    </row>
    <row r="430" spans="1:13" ht="207">
      <c r="A430" s="22" t="s">
        <v>17</v>
      </c>
      <c r="B430" s="3" t="s">
        <v>1412</v>
      </c>
      <c r="C430" s="3" t="s">
        <v>1413</v>
      </c>
      <c r="D430" s="3" t="s">
        <v>1401</v>
      </c>
      <c r="E430" s="3" t="s">
        <v>46</v>
      </c>
      <c r="F430" s="3" t="s">
        <v>1116</v>
      </c>
      <c r="G430" s="3" t="s">
        <v>1117</v>
      </c>
      <c r="H430" s="3" t="s">
        <v>1414</v>
      </c>
      <c r="I430" s="3" t="str">
        <f>HYPERLINK("http://www.jccm.es/sede/tramite/E98","DECLARACION DE URGENTE OCUPACION DE BIENES Y DERECHOS AFECTADOS POR EXPROPIACION FORZOSA EN EXPEDIENTES INSTRUIDOS POR CORPORACIONES LOCALES")</f>
        <v>DECLARACION DE URGENTE OCUPACION DE BIENES Y DERECHOS AFECTADOS POR EXPROPIACION FORZOSA EN EXPEDIENTES INSTRUIDOS POR CORPORACIONES LOCALES</v>
      </c>
      <c r="J430" s="3" t="s">
        <v>42</v>
      </c>
      <c r="K430" s="3" t="s">
        <v>41</v>
      </c>
      <c r="L430" s="3" t="s">
        <v>42</v>
      </c>
      <c r="M430" s="3" t="s">
        <v>41</v>
      </c>
    </row>
    <row r="431" spans="1:13" ht="172.5">
      <c r="A431" s="22" t="s">
        <v>17</v>
      </c>
      <c r="B431" s="3" t="s">
        <v>1415</v>
      </c>
      <c r="C431" s="3" t="s">
        <v>1416</v>
      </c>
      <c r="D431" s="3" t="s">
        <v>327</v>
      </c>
      <c r="E431" s="3" t="s">
        <v>37</v>
      </c>
      <c r="F431" s="3" t="s">
        <v>1116</v>
      </c>
      <c r="G431" s="3" t="s">
        <v>1117</v>
      </c>
      <c r="H431" s="3" t="s">
        <v>1417</v>
      </c>
      <c r="I431" s="3" t="str">
        <f>HYPERLINK("http://www.jccm.es/sede/tramite/J8B","APROBACION DE DESAFECTACION DE BIENES COMUNALES, QUE NO HUBIERAN SIDO OBJETO DE DISFRUTE DE ESTA INDOLE DURANTE MAS DE DIEZ AÑOS")</f>
        <v>APROBACION DE DESAFECTACION DE BIENES COMUNALES, QUE NO HUBIERAN SIDO OBJETO DE DISFRUTE DE ESTA INDOLE DURANTE MAS DE DIEZ AÑOS</v>
      </c>
      <c r="J431" s="3" t="s">
        <v>42</v>
      </c>
      <c r="K431" s="3" t="s">
        <v>41</v>
      </c>
      <c r="L431" s="3" t="s">
        <v>42</v>
      </c>
      <c r="M431" s="3" t="s">
        <v>41</v>
      </c>
    </row>
    <row r="432" spans="1:13" ht="230.1">
      <c r="A432" s="22" t="s">
        <v>17</v>
      </c>
      <c r="B432" s="3" t="s">
        <v>1418</v>
      </c>
      <c r="C432" s="3" t="s">
        <v>1419</v>
      </c>
      <c r="D432" s="3" t="s">
        <v>45</v>
      </c>
      <c r="E432" s="3" t="s">
        <v>46</v>
      </c>
      <c r="F432" s="3" t="s">
        <v>1116</v>
      </c>
      <c r="G432" s="3" t="s">
        <v>1125</v>
      </c>
      <c r="H432" s="3" t="s">
        <v>1420</v>
      </c>
      <c r="I432" s="3" t="str">
        <f>HYPERLINK("http://www.jccm.es/sede/tramite/ILS","CONDECORACIONES EN MATERIA DE PROTECCION CIVIL DE LA COMUNIDAD AUTONOMA DE CASTILLA-LA MANCHA")</f>
        <v>CONDECORACIONES EN MATERIA DE PROTECCION CIVIL DE LA COMUNIDAD AUTONOMA DE CASTILLA-LA MANCHA</v>
      </c>
      <c r="J432" s="3" t="s">
        <v>42</v>
      </c>
      <c r="K432" s="3" t="s">
        <v>41</v>
      </c>
      <c r="L432" s="3" t="s">
        <v>42</v>
      </c>
      <c r="M432" s="3" t="s">
        <v>41</v>
      </c>
    </row>
    <row r="433" spans="1:13" ht="276">
      <c r="A433" s="22" t="s">
        <v>17</v>
      </c>
      <c r="B433" s="3" t="s">
        <v>1421</v>
      </c>
      <c r="C433" s="3" t="s">
        <v>1422</v>
      </c>
      <c r="D433" s="3" t="s">
        <v>1423</v>
      </c>
      <c r="E433" s="3" t="s">
        <v>46</v>
      </c>
      <c r="F433" s="3" t="s">
        <v>1116</v>
      </c>
      <c r="G433" s="3" t="s">
        <v>1169</v>
      </c>
      <c r="H433" s="3" t="s">
        <v>1424</v>
      </c>
      <c r="I433" s="3" t="str">
        <f>HYPERLINK("http://www.jccm.es/sede/tramite/IM1","EMISION DE CERTIFICADO DE ESTAR AL CORRIENTE DE LAS OBLIGACIONES TRIBUTARIAS.")</f>
        <v>EMISION DE CERTIFICADO DE ESTAR AL CORRIENTE DE LAS OBLIGACIONES TRIBUTARIAS.</v>
      </c>
      <c r="J433" s="3" t="s">
        <v>42</v>
      </c>
      <c r="K433" s="3" t="s">
        <v>41</v>
      </c>
      <c r="L433" s="3" t="s">
        <v>42</v>
      </c>
      <c r="M433" s="3" t="s">
        <v>41</v>
      </c>
    </row>
    <row r="434" spans="1:13" ht="230.1">
      <c r="A434" s="22" t="s">
        <v>17</v>
      </c>
      <c r="B434" s="3" t="s">
        <v>1425</v>
      </c>
      <c r="C434" s="3" t="s">
        <v>1426</v>
      </c>
      <c r="D434" s="3" t="s">
        <v>1427</v>
      </c>
      <c r="E434" s="3" t="s">
        <v>95</v>
      </c>
      <c r="F434" s="3" t="s">
        <v>1116</v>
      </c>
      <c r="G434" s="3" t="s">
        <v>1125</v>
      </c>
      <c r="H434" s="3" t="s">
        <v>1428</v>
      </c>
      <c r="I434" s="3" t="str">
        <f>HYPERLINK("http://www.jccm.es/sede/tramite/JR8","SOLICITUDES DE INFORMACION RELATIVAS A INCIDENTES GESTIONADOS EN EL SERVICIO DE EMERGENCIAS 112 DE CASTILLA-LA MANCHA.")</f>
        <v>SOLICITUDES DE INFORMACION RELATIVAS A INCIDENTES GESTIONADOS EN EL SERVICIO DE EMERGENCIAS 112 DE CASTILLA-LA MANCHA.</v>
      </c>
      <c r="J434" s="3" t="s">
        <v>42</v>
      </c>
      <c r="K434" s="3" t="s">
        <v>41</v>
      </c>
      <c r="L434" s="3" t="s">
        <v>42</v>
      </c>
      <c r="M434" s="3" t="s">
        <v>41</v>
      </c>
    </row>
    <row r="435" spans="1:13" ht="172.5">
      <c r="A435" s="22" t="s">
        <v>17</v>
      </c>
      <c r="B435" s="3" t="s">
        <v>1429</v>
      </c>
      <c r="C435" s="3" t="s">
        <v>1430</v>
      </c>
      <c r="D435" s="3" t="s">
        <v>95</v>
      </c>
      <c r="E435" s="3" t="s">
        <v>95</v>
      </c>
      <c r="F435" s="3" t="s">
        <v>1116</v>
      </c>
      <c r="G435" s="3" t="s">
        <v>1117</v>
      </c>
      <c r="H435" s="3" t="s">
        <v>1431</v>
      </c>
      <c r="I435" s="3" t="str">
        <f>HYPERLINK("http://www.jccm.es/sede/tramite/J7T","DECLARACION DE UTILIDAD PUBLICA (ASOCIACIONES)")</f>
        <v>DECLARACION DE UTILIDAD PUBLICA (ASOCIACIONES)</v>
      </c>
      <c r="J435" s="3" t="s">
        <v>42</v>
      </c>
      <c r="K435" s="3" t="s">
        <v>41</v>
      </c>
      <c r="L435" s="3" t="s">
        <v>42</v>
      </c>
      <c r="M435" s="3" t="s">
        <v>41</v>
      </c>
    </row>
    <row r="436" spans="1:13" ht="114.95">
      <c r="A436" s="22" t="s">
        <v>17</v>
      </c>
      <c r="B436" s="3" t="s">
        <v>1432</v>
      </c>
      <c r="C436" s="3" t="s">
        <v>1433</v>
      </c>
      <c r="D436" s="3" t="s">
        <v>62</v>
      </c>
      <c r="E436" s="3" t="s">
        <v>46</v>
      </c>
      <c r="F436" s="3" t="s">
        <v>1116</v>
      </c>
      <c r="G436" s="3" t="s">
        <v>1201</v>
      </c>
      <c r="H436" s="3" t="s">
        <v>1434</v>
      </c>
      <c r="I436" s="3" t="str">
        <f>HYPERLINK("http://www.jccm.es/sede/tramite/JNS","LEGALIZACION DE FIRMAS")</f>
        <v>LEGALIZACION DE FIRMAS</v>
      </c>
      <c r="J436" s="3" t="s">
        <v>42</v>
      </c>
      <c r="K436" s="3" t="s">
        <v>41</v>
      </c>
      <c r="L436" s="3" t="s">
        <v>42</v>
      </c>
      <c r="M436" s="3" t="s">
        <v>41</v>
      </c>
    </row>
    <row r="437" spans="1:13" ht="172.5">
      <c r="A437" s="22" t="s">
        <v>17</v>
      </c>
      <c r="B437" s="3" t="s">
        <v>1435</v>
      </c>
      <c r="C437" s="3" t="s">
        <v>1436</v>
      </c>
      <c r="D437" s="3" t="s">
        <v>95</v>
      </c>
      <c r="E437" s="3" t="s">
        <v>95</v>
      </c>
      <c r="F437" s="3" t="s">
        <v>1116</v>
      </c>
      <c r="G437" s="3" t="s">
        <v>1117</v>
      </c>
      <c r="H437" s="3" t="s">
        <v>1437</v>
      </c>
      <c r="I437" s="3" t="str">
        <f>HYPERLINK("http://www.jccm.es/sede/tramite/JUX","REMISION ELECTRONICA DE ACTOS Y ACUERDOS DE LAS ENTIDADES LOCALES A LA ADMINISTRACION DE LA JUNTA DE COMUNIDADES DE CASTILLA-LA MANCHA")</f>
        <v>REMISION ELECTRONICA DE ACTOS Y ACUERDOS DE LAS ENTIDADES LOCALES A LA ADMINISTRACION DE LA JUNTA DE COMUNIDADES DE CASTILLA-LA MANCHA</v>
      </c>
      <c r="J437" s="3" t="s">
        <v>41</v>
      </c>
      <c r="K437" s="3" t="s">
        <v>41</v>
      </c>
      <c r="L437" s="3" t="s">
        <v>42</v>
      </c>
      <c r="M437" s="3" t="s">
        <v>41</v>
      </c>
    </row>
    <row r="438" spans="1:13" ht="172.5">
      <c r="A438" s="22" t="s">
        <v>17</v>
      </c>
      <c r="B438" s="3" t="s">
        <v>1438</v>
      </c>
      <c r="C438" s="3" t="s">
        <v>1439</v>
      </c>
      <c r="D438" s="3" t="s">
        <v>158</v>
      </c>
      <c r="E438" s="3" t="s">
        <v>95</v>
      </c>
      <c r="F438" s="3" t="s">
        <v>1116</v>
      </c>
      <c r="G438" s="3" t="s">
        <v>1117</v>
      </c>
      <c r="H438" s="3" t="s">
        <v>1440</v>
      </c>
      <c r="I438" s="3" t="str">
        <f>HYPERLINK("http://www.jccm.es/sede/tramite/K0Y","OBTENCION DE PUBLICIDAD REGISTRAL FUNDACIONES")</f>
        <v>OBTENCION DE PUBLICIDAD REGISTRAL FUNDACIONES</v>
      </c>
      <c r="J438" s="3" t="s">
        <v>42</v>
      </c>
      <c r="K438" s="3" t="s">
        <v>41</v>
      </c>
      <c r="L438" s="3" t="s">
        <v>42</v>
      </c>
      <c r="M438" s="3" t="s">
        <v>41</v>
      </c>
    </row>
    <row r="439" spans="1:13" ht="172.5">
      <c r="A439" s="22" t="s">
        <v>17</v>
      </c>
      <c r="B439" s="3" t="s">
        <v>1441</v>
      </c>
      <c r="C439" s="3" t="s">
        <v>1442</v>
      </c>
      <c r="D439" s="3" t="s">
        <v>327</v>
      </c>
      <c r="E439" s="3" t="s">
        <v>37</v>
      </c>
      <c r="F439" s="3" t="s">
        <v>1116</v>
      </c>
      <c r="G439" s="3" t="s">
        <v>1117</v>
      </c>
      <c r="H439" s="3" t="s">
        <v>1443</v>
      </c>
      <c r="I439" s="3" t="str">
        <f>HYPERLINK("http://www.jccm.es/sede/tramite/C04","APROBACION DE CONSTITUCION DE AGRUPACIONES DE MUNICIPIOS PARA EL MANTENIMIENTO DEL PUESTO DE SECRETARIO")</f>
        <v>APROBACION DE CONSTITUCION DE AGRUPACIONES DE MUNICIPIOS PARA EL MANTENIMIENTO DEL PUESTO DE SECRETARIO</v>
      </c>
      <c r="J439" s="3" t="s">
        <v>41</v>
      </c>
      <c r="K439" s="3" t="s">
        <v>41</v>
      </c>
      <c r="L439" s="3" t="s">
        <v>41</v>
      </c>
      <c r="M439" s="3" t="s">
        <v>41</v>
      </c>
    </row>
    <row r="440" spans="1:13" ht="138">
      <c r="A440" s="22" t="s">
        <v>17</v>
      </c>
      <c r="B440" s="3" t="s">
        <v>1444</v>
      </c>
      <c r="C440" s="3" t="s">
        <v>1445</v>
      </c>
      <c r="D440" s="3" t="s">
        <v>1234</v>
      </c>
      <c r="E440" s="3" t="s">
        <v>46</v>
      </c>
      <c r="F440" s="3" t="s">
        <v>1116</v>
      </c>
      <c r="G440" s="3" t="s">
        <v>1169</v>
      </c>
      <c r="H440" s="3" t="s">
        <v>1446</v>
      </c>
      <c r="I440" s="3" t="str">
        <f>HYPERLINK("http://www.jccm.es/sede/tramite/K3V","DECLARACION RESPONSABLE DE COMBINACION ALEATORIA")</f>
        <v>DECLARACION RESPONSABLE DE COMBINACION ALEATORIA</v>
      </c>
      <c r="J440" s="3" t="s">
        <v>42</v>
      </c>
      <c r="K440" s="3" t="s">
        <v>41</v>
      </c>
      <c r="L440" s="3" t="s">
        <v>42</v>
      </c>
      <c r="M440" s="3" t="s">
        <v>41</v>
      </c>
    </row>
    <row r="441" spans="1:13" ht="138">
      <c r="A441" s="22" t="s">
        <v>17</v>
      </c>
      <c r="B441" s="3" t="s">
        <v>1447</v>
      </c>
      <c r="C441" s="3" t="s">
        <v>1448</v>
      </c>
      <c r="D441" s="3" t="s">
        <v>45</v>
      </c>
      <c r="E441" s="3" t="s">
        <v>95</v>
      </c>
      <c r="F441" s="3" t="s">
        <v>1116</v>
      </c>
      <c r="G441" s="3" t="s">
        <v>1169</v>
      </c>
      <c r="H441" s="3" t="s">
        <v>1449</v>
      </c>
      <c r="I441" s="3" t="str">
        <f>HYPERLINK("http://www.jccm.es/sede/tramite/K8K","INFORMACION SOBRE EL VALOR A EFECTOS FISCALES DE BIENES RUSTICOS")</f>
        <v>INFORMACION SOBRE EL VALOR A EFECTOS FISCALES DE BIENES RUSTICOS</v>
      </c>
      <c r="J441" s="3" t="s">
        <v>42</v>
      </c>
      <c r="K441" s="3" t="s">
        <v>41</v>
      </c>
      <c r="L441" s="3" t="s">
        <v>42</v>
      </c>
      <c r="M441" s="3" t="s">
        <v>41</v>
      </c>
    </row>
    <row r="442" spans="1:13" ht="172.5">
      <c r="A442" s="22" t="s">
        <v>17</v>
      </c>
      <c r="B442" s="3" t="s">
        <v>1450</v>
      </c>
      <c r="C442" s="3" t="s">
        <v>1451</v>
      </c>
      <c r="D442" s="3" t="s">
        <v>45</v>
      </c>
      <c r="E442" s="3" t="s">
        <v>95</v>
      </c>
      <c r="F442" s="3" t="s">
        <v>1116</v>
      </c>
      <c r="G442" s="3" t="s">
        <v>1117</v>
      </c>
      <c r="H442" s="3" t="s">
        <v>1452</v>
      </c>
      <c r="I442" s="3" t="str">
        <f>HYPERLINK("http://www.jccm.es/sede/tramite/355","CERTIFICADO DE DENOMINACION (FUNDACIONES)")</f>
        <v>CERTIFICADO DE DENOMINACION (FUNDACIONES)</v>
      </c>
      <c r="J442" s="3" t="s">
        <v>42</v>
      </c>
      <c r="K442" s="3" t="s">
        <v>41</v>
      </c>
      <c r="L442" s="3" t="s">
        <v>42</v>
      </c>
      <c r="M442" s="3" t="s">
        <v>41</v>
      </c>
    </row>
    <row r="443" spans="1:13" ht="172.5">
      <c r="A443" s="22" t="s">
        <v>17</v>
      </c>
      <c r="B443" s="3" t="s">
        <v>1453</v>
      </c>
      <c r="C443" s="3" t="s">
        <v>1454</v>
      </c>
      <c r="D443" s="3" t="s">
        <v>95</v>
      </c>
      <c r="E443" s="3" t="s">
        <v>95</v>
      </c>
      <c r="F443" s="3" t="s">
        <v>1116</v>
      </c>
      <c r="G443" s="3" t="s">
        <v>1117</v>
      </c>
      <c r="H443" s="3" t="s">
        <v>1455</v>
      </c>
      <c r="I443" s="3" t="str">
        <f>HYPERLINK("http://www.jccm.es/sede/tramite/KDE","OBTENCION DE PUBLICIDAD REGISTRAL SOBRE ASOCIACIONES")</f>
        <v>OBTENCION DE PUBLICIDAD REGISTRAL SOBRE ASOCIACIONES</v>
      </c>
      <c r="J443" s="3" t="s">
        <v>42</v>
      </c>
      <c r="K443" s="3" t="s">
        <v>41</v>
      </c>
      <c r="L443" s="3" t="s">
        <v>42</v>
      </c>
      <c r="M443" s="3" t="s">
        <v>41</v>
      </c>
    </row>
    <row r="444" spans="1:13" ht="230.1">
      <c r="A444" s="22" t="s">
        <v>17</v>
      </c>
      <c r="B444" s="3" t="s">
        <v>1456</v>
      </c>
      <c r="C444" s="3" t="s">
        <v>1457</v>
      </c>
      <c r="D444" s="3" t="s">
        <v>1458</v>
      </c>
      <c r="E444" s="3" t="s">
        <v>95</v>
      </c>
      <c r="F444" s="3" t="s">
        <v>1116</v>
      </c>
      <c r="G444" s="3" t="s">
        <v>1125</v>
      </c>
      <c r="H444" s="3" t="s">
        <v>1459</v>
      </c>
      <c r="I444" s="3" t="str">
        <f>HYPERLINK("http://www.jccm.es/sede/tramite/KDL","SOLICITUD DE CERTIFICACIONES ACREDITATIVAS DE FORMACION DE CONSUMIDORES RECONOCIDOS COMO EXPERTOS.")</f>
        <v>SOLICITUD DE CERTIFICACIONES ACREDITATIVAS DE FORMACION DE CONSUMIDORES RECONOCIDOS COMO EXPERTOS.</v>
      </c>
      <c r="J444" s="3" t="s">
        <v>42</v>
      </c>
      <c r="K444" s="3" t="s">
        <v>41</v>
      </c>
      <c r="L444" s="3" t="s">
        <v>42</v>
      </c>
      <c r="M444" s="3" t="s">
        <v>41</v>
      </c>
    </row>
    <row r="445" spans="1:13" ht="230.1">
      <c r="A445" s="22" t="s">
        <v>17</v>
      </c>
      <c r="B445" s="3" t="s">
        <v>1460</v>
      </c>
      <c r="C445" s="3" t="s">
        <v>1461</v>
      </c>
      <c r="D445" s="3" t="s">
        <v>1458</v>
      </c>
      <c r="E445" s="3" t="s">
        <v>95</v>
      </c>
      <c r="F445" s="3" t="s">
        <v>1116</v>
      </c>
      <c r="G445" s="3" t="s">
        <v>1125</v>
      </c>
      <c r="H445" s="3" t="s">
        <v>1462</v>
      </c>
      <c r="I445" s="3" t="str">
        <f>HYPERLINK("http://www.jccm.es/sede/tramite/KDM","SOLICITUD DE CERTIFICACION QUE CONVALIDA UNA CERTIFICACION ACREDITATIVA DE FORMACION DE CONSUMIDORES RECONOCIDOS COMO EXPERTOS DE OTRA PROVINCIA U OTRA ADMINISTRACION.")</f>
        <v>SOLICITUD DE CERTIFICACION QUE CONVALIDA UNA CERTIFICACION ACREDITATIVA DE FORMACION DE CONSUMIDORES RECONOCIDOS COMO EXPERTOS DE OTRA PROVINCIA U OTRA ADMINISTRACION.</v>
      </c>
      <c r="J445" s="3" t="s">
        <v>42</v>
      </c>
      <c r="K445" s="3" t="s">
        <v>41</v>
      </c>
      <c r="L445" s="3" t="s">
        <v>42</v>
      </c>
      <c r="M445" s="3" t="s">
        <v>41</v>
      </c>
    </row>
    <row r="446" spans="1:13" ht="230.1">
      <c r="A446" s="22" t="s">
        <v>17</v>
      </c>
      <c r="B446" s="3" t="s">
        <v>1463</v>
      </c>
      <c r="C446" s="3" t="s">
        <v>1464</v>
      </c>
      <c r="D446" s="3" t="s">
        <v>1458</v>
      </c>
      <c r="E446" s="3" t="s">
        <v>37</v>
      </c>
      <c r="F446" s="3" t="s">
        <v>1116</v>
      </c>
      <c r="G446" s="3" t="s">
        <v>1125</v>
      </c>
      <c r="H446" s="3" t="s">
        <v>1465</v>
      </c>
      <c r="I446" s="3" t="str">
        <f>HYPERLINK("http://www.jccm.es/sede/tramite/KDN","DECLARACION RESPONSABLE DE ENTIDAD EXTERNA DE FORMACION DE CONSUMIDORES RECONOCIDOS COMO EXPERTOS.")</f>
        <v>DECLARACION RESPONSABLE DE ENTIDAD EXTERNA DE FORMACION DE CONSUMIDORES RECONOCIDOS COMO EXPERTOS.</v>
      </c>
      <c r="J446" s="3" t="s">
        <v>42</v>
      </c>
      <c r="K446" s="3" t="s">
        <v>41</v>
      </c>
      <c r="L446" s="3" t="s">
        <v>42</v>
      </c>
      <c r="M446" s="3" t="s">
        <v>41</v>
      </c>
    </row>
    <row r="447" spans="1:13" ht="276">
      <c r="A447" s="22" t="s">
        <v>17</v>
      </c>
      <c r="B447" s="3" t="s">
        <v>1466</v>
      </c>
      <c r="C447" s="3" t="s">
        <v>1467</v>
      </c>
      <c r="D447" s="3" t="s">
        <v>95</v>
      </c>
      <c r="E447" s="3" t="s">
        <v>95</v>
      </c>
      <c r="F447" s="3" t="s">
        <v>1116</v>
      </c>
      <c r="G447" s="3" t="s">
        <v>1201</v>
      </c>
      <c r="H447" s="3" t="s">
        <v>1468</v>
      </c>
      <c r="I447" s="3" t="str">
        <f>HYPERLINK("http://www.jccm.es/sede/tramite/KN8","AUTORIZACION DEL PERSONAL EMPLEADO PUBLICO PARA SOLICITAR CERTIFICACION DEL REGISTRO CENTRAL DE DELINCUENTES SEXUALES")</f>
        <v>AUTORIZACION DEL PERSONAL EMPLEADO PUBLICO PARA SOLICITAR CERTIFICACION DEL REGISTRO CENTRAL DE DELINCUENTES SEXUALES</v>
      </c>
      <c r="J447" s="3" t="s">
        <v>41</v>
      </c>
      <c r="K447" s="3" t="s">
        <v>41</v>
      </c>
      <c r="L447" s="3" t="s">
        <v>42</v>
      </c>
      <c r="M447" s="3" t="s">
        <v>41</v>
      </c>
    </row>
    <row r="448" spans="1:13" ht="114.95">
      <c r="A448" s="22" t="s">
        <v>17</v>
      </c>
      <c r="B448" s="3" t="s">
        <v>1469</v>
      </c>
      <c r="C448" s="3" t="s">
        <v>1470</v>
      </c>
      <c r="D448" s="3" t="s">
        <v>95</v>
      </c>
      <c r="E448" s="3" t="s">
        <v>95</v>
      </c>
      <c r="F448" s="3" t="s">
        <v>1116</v>
      </c>
      <c r="G448" s="3" t="s">
        <v>1201</v>
      </c>
      <c r="H448" s="3" t="s">
        <v>1471</v>
      </c>
      <c r="I448" s="3" t="str">
        <f>HYPERLINK("http://www.jccm.es/sede/tramite/K0N","OBTENCION CERTIFICADO DE EMPLEADA  Y EMPLEADO PUBLICO")</f>
        <v>OBTENCION CERTIFICADO DE EMPLEADA  Y EMPLEADO PUBLICO</v>
      </c>
      <c r="J448" s="3" t="s">
        <v>41</v>
      </c>
      <c r="K448" s="3" t="s">
        <v>41</v>
      </c>
      <c r="L448" s="3" t="s">
        <v>42</v>
      </c>
      <c r="M448" s="3" t="s">
        <v>41</v>
      </c>
    </row>
    <row r="449" spans="1:13" ht="218.45">
      <c r="A449" s="22" t="s">
        <v>17</v>
      </c>
      <c r="B449" s="3" t="s">
        <v>1472</v>
      </c>
      <c r="C449" s="3" t="s">
        <v>1473</v>
      </c>
      <c r="D449" s="3" t="s">
        <v>45</v>
      </c>
      <c r="E449" s="3" t="s">
        <v>46</v>
      </c>
      <c r="F449" s="3" t="s">
        <v>1116</v>
      </c>
      <c r="G449" s="3" t="s">
        <v>1117</v>
      </c>
      <c r="H449" s="3" t="s">
        <v>1474</v>
      </c>
      <c r="I449" s="3" t="str">
        <f>HYPERLINK("http://www.jccm.es/sede/tramite/J8M","INFORME, SOBRE EXISTENCIA DE FUNCIONARIO/A CON HABILITACION DE CARACTER ESTATAL INTERESADO/A EN LA PROVISION DEL PUESTO DE TRABAJO, PARA NOMBRAMIENTO ACCIDENTAL")</f>
        <v>INFORME, SOBRE EXISTENCIA DE FUNCIONARIO/A CON HABILITACION DE CARACTER ESTATAL INTERESADO/A EN LA PROVISION DEL PUESTO DE TRABAJO, PARA NOMBRAMIENTO ACCIDENTAL</v>
      </c>
      <c r="J449" s="3" t="s">
        <v>42</v>
      </c>
      <c r="K449" s="3" t="s">
        <v>41</v>
      </c>
      <c r="L449" s="3" t="s">
        <v>42</v>
      </c>
      <c r="M449" s="3" t="s">
        <v>41</v>
      </c>
    </row>
    <row r="450" spans="1:13" ht="172.5">
      <c r="A450" s="22" t="s">
        <v>17</v>
      </c>
      <c r="B450" s="3" t="s">
        <v>1475</v>
      </c>
      <c r="C450" s="3" t="s">
        <v>1476</v>
      </c>
      <c r="D450" s="3" t="s">
        <v>45</v>
      </c>
      <c r="E450" s="3" t="s">
        <v>46</v>
      </c>
      <c r="F450" s="3" t="s">
        <v>1116</v>
      </c>
      <c r="G450" s="3" t="s">
        <v>1117</v>
      </c>
      <c r="H450" s="3" t="s">
        <v>1477</v>
      </c>
      <c r="I450" s="3" t="str">
        <f>HYPERLINK("http://www.jccm.es/sede/tramite/J8O","NOMBRAMIENTO PROVISIONAL EN PUESTOS RESERVADOS A FUNCIONARIOS/AS CON HABILITACION DE CARACTER ESTATAL")</f>
        <v>NOMBRAMIENTO PROVISIONAL EN PUESTOS RESERVADOS A FUNCIONARIOS/AS CON HABILITACION DE CARACTER ESTATAL</v>
      </c>
      <c r="J450" s="3" t="s">
        <v>42</v>
      </c>
      <c r="K450" s="3" t="s">
        <v>41</v>
      </c>
      <c r="L450" s="3" t="s">
        <v>42</v>
      </c>
      <c r="M450" s="3" t="s">
        <v>41</v>
      </c>
    </row>
    <row r="451" spans="1:13" ht="172.5">
      <c r="A451" s="22" t="s">
        <v>17</v>
      </c>
      <c r="B451" s="3" t="s">
        <v>1478</v>
      </c>
      <c r="C451" s="3" t="s">
        <v>1479</v>
      </c>
      <c r="D451" s="3" t="s">
        <v>45</v>
      </c>
      <c r="E451" s="3" t="s">
        <v>46</v>
      </c>
      <c r="F451" s="3" t="s">
        <v>1116</v>
      </c>
      <c r="G451" s="3" t="s">
        <v>1117</v>
      </c>
      <c r="H451" s="3" t="s">
        <v>1480</v>
      </c>
      <c r="I451" s="3" t="str">
        <f>HYPERLINK("http://www.jccm.es/sede/tramite/J8K","COMISION DE SERVICIOS EN PUESTOS RESERVADOS A FUNCIONARIOS/AS CON HABILITACION DE CARACTER ESTATAL")</f>
        <v>COMISION DE SERVICIOS EN PUESTOS RESERVADOS A FUNCIONARIOS/AS CON HABILITACION DE CARACTER ESTATAL</v>
      </c>
      <c r="J451" s="3" t="s">
        <v>41</v>
      </c>
      <c r="K451" s="3" t="s">
        <v>41</v>
      </c>
      <c r="L451" s="3" t="s">
        <v>42</v>
      </c>
      <c r="M451" s="3" t="s">
        <v>41</v>
      </c>
    </row>
    <row r="452" spans="1:13" ht="126.6">
      <c r="A452" s="22" t="s">
        <v>17</v>
      </c>
      <c r="B452" s="3" t="s">
        <v>1481</v>
      </c>
      <c r="C452" s="3" t="s">
        <v>1482</v>
      </c>
      <c r="D452" s="3" t="s">
        <v>1483</v>
      </c>
      <c r="E452" s="3" t="s">
        <v>95</v>
      </c>
      <c r="F452" s="3" t="s">
        <v>1116</v>
      </c>
      <c r="G452" s="3" t="s">
        <v>1201</v>
      </c>
      <c r="H452" s="3" t="s">
        <v>1484</v>
      </c>
      <c r="I452" s="3" t="str">
        <f>HYPERLINK("http://www.jccm.es/sede/tramite/KVK","CERTIFICADO DE LOS CURSOS IMPARTIDOS EN LA ESCUELA DE ADMINISTRACION REGIONAL DE CASTILLA-LA MANCHA.")</f>
        <v>CERTIFICADO DE LOS CURSOS IMPARTIDOS EN LA ESCUELA DE ADMINISTRACION REGIONAL DE CASTILLA-LA MANCHA.</v>
      </c>
      <c r="J452" s="3" t="s">
        <v>41</v>
      </c>
      <c r="K452" s="3" t="s">
        <v>41</v>
      </c>
      <c r="L452" s="3" t="s">
        <v>42</v>
      </c>
      <c r="M452" s="3" t="s">
        <v>41</v>
      </c>
    </row>
    <row r="453" spans="1:13" ht="126.6">
      <c r="A453" s="22" t="s">
        <v>17</v>
      </c>
      <c r="B453" s="3" t="s">
        <v>1485</v>
      </c>
      <c r="C453" s="3" t="s">
        <v>1486</v>
      </c>
      <c r="D453" s="3" t="s">
        <v>1483</v>
      </c>
      <c r="E453" s="3" t="s">
        <v>95</v>
      </c>
      <c r="F453" s="3" t="s">
        <v>1116</v>
      </c>
      <c r="G453" s="3" t="s">
        <v>1201</v>
      </c>
      <c r="H453" s="3" t="s">
        <v>1487</v>
      </c>
      <c r="I453" s="3" t="str">
        <f>HYPERLINK("http://www.jccm.es/sede/tramite/K3S","CERTIFICADO DE LOS CURSOS REALIZADOS O PROMOVIDOS POR LA ESCUELA DE ADMINISTRACION REGIONAL.")</f>
        <v>CERTIFICADO DE LOS CURSOS REALIZADOS O PROMOVIDOS POR LA ESCUELA DE ADMINISTRACION REGIONAL.</v>
      </c>
      <c r="J453" s="3" t="s">
        <v>42</v>
      </c>
      <c r="K453" s="3" t="s">
        <v>41</v>
      </c>
      <c r="L453" s="3" t="s">
        <v>42</v>
      </c>
      <c r="M453" s="3" t="s">
        <v>41</v>
      </c>
    </row>
    <row r="454" spans="1:13" ht="218.45">
      <c r="A454" s="22" t="s">
        <v>17</v>
      </c>
      <c r="B454" s="3" t="s">
        <v>1488</v>
      </c>
      <c r="C454" s="3" t="s">
        <v>1489</v>
      </c>
      <c r="D454" s="3" t="s">
        <v>1234</v>
      </c>
      <c r="E454" s="3" t="s">
        <v>46</v>
      </c>
      <c r="F454" s="3" t="s">
        <v>1116</v>
      </c>
      <c r="G454" s="3" t="s">
        <v>1169</v>
      </c>
      <c r="H454" s="3" t="s">
        <v>1490</v>
      </c>
      <c r="I454" s="3" t="str">
        <f>HYPERLINK("http://www.jccm.es/sede/tramite/K3Y","DECLARACION RESPONSABLE RENOVACION AUTORIZACION DE  JUEGOS PERMANENTES POR CANALES ELECTRONICOS, INFORMATICOS,  TELEMATICOS O INTERACTIVOS.")</f>
        <v>DECLARACION RESPONSABLE RENOVACION AUTORIZACION DE  JUEGOS PERMANENTES POR CANALES ELECTRONICOS, INFORMATICOS,  TELEMATICOS O INTERACTIVOS.</v>
      </c>
      <c r="J454" s="3" t="s">
        <v>42</v>
      </c>
      <c r="K454" s="3" t="s">
        <v>41</v>
      </c>
      <c r="L454" s="3" t="s">
        <v>42</v>
      </c>
      <c r="M454" s="3" t="s">
        <v>41</v>
      </c>
    </row>
    <row r="455" spans="1:13" ht="264.60000000000002">
      <c r="A455" s="22" t="s">
        <v>17</v>
      </c>
      <c r="B455" s="3" t="s">
        <v>1491</v>
      </c>
      <c r="C455" s="3" t="s">
        <v>1492</v>
      </c>
      <c r="D455" s="3" t="s">
        <v>1234</v>
      </c>
      <c r="E455" s="3" t="s">
        <v>46</v>
      </c>
      <c r="F455" s="3" t="s">
        <v>1116</v>
      </c>
      <c r="G455" s="3" t="s">
        <v>1169</v>
      </c>
      <c r="H455" s="3" t="s">
        <v>1493</v>
      </c>
      <c r="I455" s="3" t="str">
        <f>HYPERLINK("http://www.jccm.es/sede/tramite/K3Z","DECLARACION RESPONSABLE DE MODIFICACION NO SUSTANCIAL DE HOMOLOGACION DE SISTEMAS TECNICOS DE JUEGO POR CANALES ELECTRONICOS, INFORMATICOS, TELEMATICOS O INTERACTIVOS.")</f>
        <v>DECLARACION RESPONSABLE DE MODIFICACION NO SUSTANCIAL DE HOMOLOGACION DE SISTEMAS TECNICOS DE JUEGO POR CANALES ELECTRONICOS, INFORMATICOS, TELEMATICOS O INTERACTIVOS.</v>
      </c>
      <c r="J455" s="3" t="s">
        <v>42</v>
      </c>
      <c r="K455" s="3" t="s">
        <v>41</v>
      </c>
      <c r="L455" s="3" t="s">
        <v>42</v>
      </c>
      <c r="M455" s="3" t="s">
        <v>41</v>
      </c>
    </row>
    <row r="456" spans="1:13" ht="138">
      <c r="A456" s="22" t="s">
        <v>17</v>
      </c>
      <c r="B456" s="3" t="s">
        <v>1494</v>
      </c>
      <c r="C456" s="3" t="s">
        <v>1495</v>
      </c>
      <c r="D456" s="3" t="s">
        <v>1217</v>
      </c>
      <c r="E456" s="3" t="s">
        <v>46</v>
      </c>
      <c r="F456" s="3" t="s">
        <v>1116</v>
      </c>
      <c r="G456" s="3" t="s">
        <v>1169</v>
      </c>
      <c r="H456" s="3" t="s">
        <v>1496</v>
      </c>
      <c r="I456" s="3" t="str">
        <f>HYPERLINK("http://www.jccm.es/sede/tramite/K4Z","DECLARACION RESPONSABLE DE MODIFICACION NO SUSTANCIAL DE HOMOLOGACION DEL MATERIAL DE JUEGO.")</f>
        <v>DECLARACION RESPONSABLE DE MODIFICACION NO SUSTANCIAL DE HOMOLOGACION DEL MATERIAL DE JUEGO.</v>
      </c>
      <c r="J456" s="3" t="s">
        <v>42</v>
      </c>
      <c r="K456" s="3" t="s">
        <v>41</v>
      </c>
      <c r="L456" s="3" t="s">
        <v>42</v>
      </c>
      <c r="M456" s="3" t="s">
        <v>41</v>
      </c>
    </row>
    <row r="457" spans="1:13" ht="172.5">
      <c r="A457" s="22" t="s">
        <v>17</v>
      </c>
      <c r="B457" s="3" t="s">
        <v>1497</v>
      </c>
      <c r="C457" s="3" t="s">
        <v>1498</v>
      </c>
      <c r="D457" s="3" t="s">
        <v>1217</v>
      </c>
      <c r="E457" s="3" t="s">
        <v>46</v>
      </c>
      <c r="F457" s="3" t="s">
        <v>1116</v>
      </c>
      <c r="G457" s="3" t="s">
        <v>1169</v>
      </c>
      <c r="H457" s="3" t="s">
        <v>1499</v>
      </c>
      <c r="I457" s="3" t="str">
        <f>HYPERLINK("http://www.jccm.es/sede/tramite/K50","DECLARACION RESPONSABLE DE CAMBIO DE TITULAR DE LA AUTORIZACION INSTALACION DE ESTABLECIMIENTOS DE HOSTELERIA O SIMILAR.")</f>
        <v>DECLARACION RESPONSABLE DE CAMBIO DE TITULAR DE LA AUTORIZACION INSTALACION DE ESTABLECIMIENTOS DE HOSTELERIA O SIMILAR.</v>
      </c>
      <c r="J457" s="3" t="s">
        <v>42</v>
      </c>
      <c r="K457" s="3" t="s">
        <v>41</v>
      </c>
      <c r="L457" s="3" t="s">
        <v>42</v>
      </c>
      <c r="M457" s="3" t="s">
        <v>41</v>
      </c>
    </row>
    <row r="458" spans="1:13" ht="138">
      <c r="A458" s="22" t="s">
        <v>17</v>
      </c>
      <c r="B458" s="3" t="s">
        <v>1500</v>
      </c>
      <c r="C458" s="3" t="s">
        <v>1501</v>
      </c>
      <c r="D458" s="3" t="s">
        <v>1217</v>
      </c>
      <c r="E458" s="3" t="s">
        <v>46</v>
      </c>
      <c r="F458" s="3" t="s">
        <v>1116</v>
      </c>
      <c r="G458" s="3" t="s">
        <v>1169</v>
      </c>
      <c r="H458" s="3" t="s">
        <v>1502</v>
      </c>
      <c r="I458" s="3" t="str">
        <f>HYPERLINK("http://www.jccm.es/sede/tramite/K51","DECLARACION RESPONSABLE DE MODIFICACION  DE LOS SISTEMAS DE INTERCONEXIONADO")</f>
        <v>DECLARACION RESPONSABLE DE MODIFICACION  DE LOS SISTEMAS DE INTERCONEXIONADO</v>
      </c>
      <c r="J458" s="3" t="s">
        <v>42</v>
      </c>
      <c r="K458" s="3" t="s">
        <v>41</v>
      </c>
      <c r="L458" s="3" t="s">
        <v>42</v>
      </c>
      <c r="M458" s="3" t="s">
        <v>41</v>
      </c>
    </row>
    <row r="459" spans="1:13" ht="138">
      <c r="A459" s="22" t="s">
        <v>17</v>
      </c>
      <c r="B459" s="3" t="s">
        <v>1503</v>
      </c>
      <c r="C459" s="3" t="s">
        <v>1504</v>
      </c>
      <c r="D459" s="3" t="s">
        <v>1217</v>
      </c>
      <c r="E459" s="3" t="s">
        <v>46</v>
      </c>
      <c r="F459" s="3" t="s">
        <v>1116</v>
      </c>
      <c r="G459" s="3" t="s">
        <v>1169</v>
      </c>
      <c r="H459" s="3" t="s">
        <v>1505</v>
      </c>
      <c r="I459" s="3" t="str">
        <f>HYPERLINK("http://www.jccm.es/sede/tramite/K58","DECLARACION RESPONSABLE DE EMPLAZAMIENTO")</f>
        <v>DECLARACION RESPONSABLE DE EMPLAZAMIENTO</v>
      </c>
      <c r="J459" s="3" t="s">
        <v>42</v>
      </c>
      <c r="K459" s="3" t="s">
        <v>41</v>
      </c>
      <c r="L459" s="3" t="s">
        <v>42</v>
      </c>
      <c r="M459" s="3" t="s">
        <v>41</v>
      </c>
    </row>
    <row r="460" spans="1:13" ht="138">
      <c r="A460" s="22" t="s">
        <v>17</v>
      </c>
      <c r="B460" s="3" t="s">
        <v>1506</v>
      </c>
      <c r="C460" s="3" t="s">
        <v>1507</v>
      </c>
      <c r="D460" s="3" t="s">
        <v>1217</v>
      </c>
      <c r="E460" s="3" t="s">
        <v>46</v>
      </c>
      <c r="F460" s="3" t="s">
        <v>1116</v>
      </c>
      <c r="G460" s="3" t="s">
        <v>1169</v>
      </c>
      <c r="H460" s="3" t="s">
        <v>1508</v>
      </c>
      <c r="I460" s="3" t="str">
        <f>HYPERLINK("http://www.jccm.es/sede/tramite/K52","DECLARACION RESPONSABLE DE CELEBRACION DE TORNEOS.")</f>
        <v>DECLARACION RESPONSABLE DE CELEBRACION DE TORNEOS.</v>
      </c>
      <c r="J460" s="3" t="s">
        <v>42</v>
      </c>
      <c r="K460" s="3" t="s">
        <v>41</v>
      </c>
      <c r="L460" s="3" t="s">
        <v>42</v>
      </c>
      <c r="M460" s="3" t="s">
        <v>41</v>
      </c>
    </row>
    <row r="461" spans="1:13" ht="138">
      <c r="A461" s="22" t="s">
        <v>17</v>
      </c>
      <c r="B461" s="3" t="s">
        <v>1509</v>
      </c>
      <c r="C461" s="3" t="s">
        <v>1510</v>
      </c>
      <c r="D461" s="3" t="s">
        <v>1217</v>
      </c>
      <c r="E461" s="3" t="s">
        <v>46</v>
      </c>
      <c r="F461" s="3" t="s">
        <v>1116</v>
      </c>
      <c r="G461" s="3" t="s">
        <v>1169</v>
      </c>
      <c r="H461" s="3" t="s">
        <v>1511</v>
      </c>
      <c r="I461" s="3" t="str">
        <f>HYPERLINK("http://www.jccm.es/sede/tramite/K53","DECLARACION RESPONSABLE DE PUESTA EN FUNCIONAMIENTO DE ESCUELA DE CRUPIERES")</f>
        <v>DECLARACION RESPONSABLE DE PUESTA EN FUNCIONAMIENTO DE ESCUELA DE CRUPIERES</v>
      </c>
      <c r="J461" s="3" t="s">
        <v>42</v>
      </c>
      <c r="K461" s="3" t="s">
        <v>41</v>
      </c>
      <c r="L461" s="3" t="s">
        <v>42</v>
      </c>
      <c r="M461" s="3" t="s">
        <v>41</v>
      </c>
    </row>
    <row r="462" spans="1:13" ht="138">
      <c r="A462" s="22" t="s">
        <v>17</v>
      </c>
      <c r="B462" s="3" t="s">
        <v>1512</v>
      </c>
      <c r="C462" s="3" t="s">
        <v>1513</v>
      </c>
      <c r="D462" s="3" t="s">
        <v>1217</v>
      </c>
      <c r="E462" s="3" t="s">
        <v>46</v>
      </c>
      <c r="F462" s="3" t="s">
        <v>1116</v>
      </c>
      <c r="G462" s="3" t="s">
        <v>1169</v>
      </c>
      <c r="H462" s="3" t="s">
        <v>1514</v>
      </c>
      <c r="I462" s="3" t="str">
        <f>HYPERLINK("http://www.jccm.es/sede/tramite/K54","DATOS ESTADISTICOS EN MATERIA DE JUEGO.")</f>
        <v>DATOS ESTADISTICOS EN MATERIA DE JUEGO.</v>
      </c>
      <c r="J462" s="3" t="s">
        <v>42</v>
      </c>
      <c r="K462" s="3" t="s">
        <v>41</v>
      </c>
      <c r="L462" s="3" t="s">
        <v>42</v>
      </c>
      <c r="M462" s="3" t="s">
        <v>41</v>
      </c>
    </row>
    <row r="463" spans="1:13" ht="138">
      <c r="A463" s="22" t="s">
        <v>17</v>
      </c>
      <c r="B463" s="3" t="s">
        <v>1515</v>
      </c>
      <c r="C463" s="3" t="s">
        <v>1516</v>
      </c>
      <c r="D463" s="3" t="s">
        <v>1217</v>
      </c>
      <c r="E463" s="3" t="s">
        <v>46</v>
      </c>
      <c r="F463" s="3" t="s">
        <v>1116</v>
      </c>
      <c r="G463" s="3" t="s">
        <v>1169</v>
      </c>
      <c r="H463" s="3" t="s">
        <v>1517</v>
      </c>
      <c r="I463" s="3" t="str">
        <f>HYPERLINK("http://www.jccm.es/sede/tramite/K4T","DECLARACION RESPONSABLE DE BAJA DEFINITIVA DE MAQUINAS DE JUEGO")</f>
        <v>DECLARACION RESPONSABLE DE BAJA DEFINITIVA DE MAQUINAS DE JUEGO</v>
      </c>
      <c r="J463" s="3" t="s">
        <v>42</v>
      </c>
      <c r="K463" s="3" t="s">
        <v>41</v>
      </c>
      <c r="L463" s="3" t="s">
        <v>42</v>
      </c>
      <c r="M463" s="3" t="s">
        <v>41</v>
      </c>
    </row>
    <row r="464" spans="1:13" ht="138">
      <c r="A464" s="22" t="s">
        <v>17</v>
      </c>
      <c r="B464" s="3" t="s">
        <v>1518</v>
      </c>
      <c r="C464" s="3" t="s">
        <v>1519</v>
      </c>
      <c r="D464" s="3" t="s">
        <v>1217</v>
      </c>
      <c r="E464" s="3" t="s">
        <v>46</v>
      </c>
      <c r="F464" s="3" t="s">
        <v>1116</v>
      </c>
      <c r="G464" s="3" t="s">
        <v>1169</v>
      </c>
      <c r="H464" s="3" t="s">
        <v>1520</v>
      </c>
      <c r="I464" s="3" t="str">
        <f>HYPERLINK("http://www.jccm.es/sede/tramite/K4U","DECLARACION RESPONSABLE DE PUESTA EN FUNCIONAMIENTO")</f>
        <v>DECLARACION RESPONSABLE DE PUESTA EN FUNCIONAMIENTO</v>
      </c>
      <c r="J464" s="3" t="s">
        <v>42</v>
      </c>
      <c r="K464" s="3" t="s">
        <v>41</v>
      </c>
      <c r="L464" s="3" t="s">
        <v>42</v>
      </c>
      <c r="M464" s="3" t="s">
        <v>41</v>
      </c>
    </row>
    <row r="465" spans="1:13" ht="138">
      <c r="A465" s="22" t="s">
        <v>17</v>
      </c>
      <c r="B465" s="3" t="s">
        <v>1521</v>
      </c>
      <c r="C465" s="3" t="s">
        <v>1522</v>
      </c>
      <c r="D465" s="3" t="s">
        <v>1217</v>
      </c>
      <c r="E465" s="3" t="s">
        <v>46</v>
      </c>
      <c r="F465" s="3" t="s">
        <v>1116</v>
      </c>
      <c r="G465" s="3" t="s">
        <v>1169</v>
      </c>
      <c r="H465" s="3" t="s">
        <v>1523</v>
      </c>
      <c r="I465" s="3" t="str">
        <f>HYPERLINK("http://www.jccm.es/sede/tramite/K4V","DECLARACION RESPONSABLE DE RENOVACION DE LA AUTORIZACION DE  ZONAS DE APUESTAS.")</f>
        <v>DECLARACION RESPONSABLE DE RENOVACION DE LA AUTORIZACION DE  ZONAS DE APUESTAS.</v>
      </c>
      <c r="J465" s="3" t="s">
        <v>42</v>
      </c>
      <c r="K465" s="3" t="s">
        <v>41</v>
      </c>
      <c r="L465" s="3" t="s">
        <v>42</v>
      </c>
      <c r="M465" s="3" t="s">
        <v>41</v>
      </c>
    </row>
    <row r="466" spans="1:13" ht="138">
      <c r="A466" s="22" t="s">
        <v>17</v>
      </c>
      <c r="B466" s="3" t="s">
        <v>1524</v>
      </c>
      <c r="C466" s="3" t="s">
        <v>1525</v>
      </c>
      <c r="D466" s="3" t="s">
        <v>1217</v>
      </c>
      <c r="E466" s="3" t="s">
        <v>46</v>
      </c>
      <c r="F466" s="3" t="s">
        <v>1116</v>
      </c>
      <c r="G466" s="3" t="s">
        <v>1169</v>
      </c>
      <c r="H466" s="3" t="s">
        <v>1526</v>
      </c>
      <c r="I466" s="3" t="str">
        <f>HYPERLINK("http://www.jccm.es/sede/tramite/K4W","DECLARACION RESPONSABLE DE RENOVACION DE LA AUTORIZACION DE EXPLOTACION DE MAQUINAS DE JUEGO")</f>
        <v>DECLARACION RESPONSABLE DE RENOVACION DE LA AUTORIZACION DE EXPLOTACION DE MAQUINAS DE JUEGO</v>
      </c>
      <c r="J466" s="3" t="s">
        <v>42</v>
      </c>
      <c r="K466" s="3" t="s">
        <v>41</v>
      </c>
      <c r="L466" s="3" t="s">
        <v>42</v>
      </c>
      <c r="M466" s="3" t="s">
        <v>41</v>
      </c>
    </row>
    <row r="467" spans="1:13" ht="138">
      <c r="A467" s="22" t="s">
        <v>17</v>
      </c>
      <c r="B467" s="3" t="s">
        <v>1527</v>
      </c>
      <c r="C467" s="3" t="s">
        <v>1528</v>
      </c>
      <c r="D467" s="3" t="s">
        <v>1217</v>
      </c>
      <c r="E467" s="3" t="s">
        <v>46</v>
      </c>
      <c r="F467" s="3" t="s">
        <v>1116</v>
      </c>
      <c r="G467" s="3" t="s">
        <v>1169</v>
      </c>
      <c r="H467" s="3" t="s">
        <v>1529</v>
      </c>
      <c r="I467" s="3" t="str">
        <f>HYPERLINK("http://www.jccm.es/sede/tramite/K4X","DECLARACION RESPONSABLE DE RENOVACION ACTIVIDAD DE EMPRESAS DE JUEGO.")</f>
        <v>DECLARACION RESPONSABLE DE RENOVACION ACTIVIDAD DE EMPRESAS DE JUEGO.</v>
      </c>
      <c r="J467" s="3" t="s">
        <v>42</v>
      </c>
      <c r="K467" s="3" t="s">
        <v>41</v>
      </c>
      <c r="L467" s="3" t="s">
        <v>42</v>
      </c>
      <c r="M467" s="3" t="s">
        <v>41</v>
      </c>
    </row>
    <row r="468" spans="1:13" ht="138">
      <c r="A468" s="22" t="s">
        <v>17</v>
      </c>
      <c r="B468" s="3" t="s">
        <v>1530</v>
      </c>
      <c r="C468" s="3" t="s">
        <v>1531</v>
      </c>
      <c r="D468" s="3" t="s">
        <v>1217</v>
      </c>
      <c r="E468" s="3" t="s">
        <v>46</v>
      </c>
      <c r="F468" s="3" t="s">
        <v>1116</v>
      </c>
      <c r="G468" s="3" t="s">
        <v>1169</v>
      </c>
      <c r="H468" s="3" t="s">
        <v>1532</v>
      </c>
      <c r="I468" s="3" t="str">
        <f>HYPERLINK("http://www.jccm.es/sede/tramite/K4Y","DECLARACION RESPONSABLE DE RENOVACION AUTORIZACION LABORATORIO DE ENSAYO")</f>
        <v>DECLARACION RESPONSABLE DE RENOVACION AUTORIZACION LABORATORIO DE ENSAYO</v>
      </c>
      <c r="J468" s="3" t="s">
        <v>42</v>
      </c>
      <c r="K468" s="3" t="s">
        <v>41</v>
      </c>
      <c r="L468" s="3" t="s">
        <v>42</v>
      </c>
      <c r="M468" s="3" t="s">
        <v>41</v>
      </c>
    </row>
    <row r="469" spans="1:13" ht="149.44999999999999">
      <c r="A469" s="22" t="s">
        <v>17</v>
      </c>
      <c r="B469" s="3" t="s">
        <v>1533</v>
      </c>
      <c r="C469" s="3" t="s">
        <v>1534</v>
      </c>
      <c r="D469" s="3" t="s">
        <v>1535</v>
      </c>
      <c r="E469" s="3" t="s">
        <v>1368</v>
      </c>
      <c r="F469" s="3" t="s">
        <v>1116</v>
      </c>
      <c r="G469" s="3" t="s">
        <v>1355</v>
      </c>
      <c r="H469" s="3" t="s">
        <v>1536</v>
      </c>
      <c r="I469" s="3" t="str">
        <f>HYPERLINK("http://www.jccm.es/sede/tramite/KWG","CONTROL FINANCIERO DE OPERACIONES COFINANCIADAS CON FONDOS ESTRUCTURALES Y FEMP.")</f>
        <v>CONTROL FINANCIERO DE OPERACIONES COFINANCIADAS CON FONDOS ESTRUCTURALES Y FEMP.</v>
      </c>
      <c r="J469" s="3" t="s">
        <v>42</v>
      </c>
      <c r="K469" s="3" t="s">
        <v>41</v>
      </c>
      <c r="L469" s="3" t="s">
        <v>42</v>
      </c>
      <c r="M469" s="3" t="s">
        <v>41</v>
      </c>
    </row>
    <row r="470" spans="1:13" ht="149.44999999999999">
      <c r="A470" s="22" t="s">
        <v>17</v>
      </c>
      <c r="B470" s="3" t="s">
        <v>1537</v>
      </c>
      <c r="C470" s="3" t="s">
        <v>1538</v>
      </c>
      <c r="D470" s="3" t="s">
        <v>1535</v>
      </c>
      <c r="E470" s="3" t="s">
        <v>1368</v>
      </c>
      <c r="F470" s="3" t="s">
        <v>1116</v>
      </c>
      <c r="G470" s="3" t="s">
        <v>1355</v>
      </c>
      <c r="H470" s="3" t="s">
        <v>1539</v>
      </c>
      <c r="I470" s="3" t="str">
        <f>HYPERLINK("http://www.jccm.es/sede/tramite/KZU","CERTIFICACION DE LAS CUENTAS DEL ORGANISMO PAGADOR (FEAGA/FEADER)")</f>
        <v>CERTIFICACION DE LAS CUENTAS DEL ORGANISMO PAGADOR (FEAGA/FEADER)</v>
      </c>
      <c r="J470" s="3" t="s">
        <v>42</v>
      </c>
      <c r="K470" s="3" t="s">
        <v>41</v>
      </c>
      <c r="L470" s="3" t="s">
        <v>42</v>
      </c>
      <c r="M470" s="3" t="s">
        <v>41</v>
      </c>
    </row>
    <row r="471" spans="1:13" ht="149.44999999999999">
      <c r="A471" s="22" t="s">
        <v>17</v>
      </c>
      <c r="B471" s="3" t="s">
        <v>1540</v>
      </c>
      <c r="C471" s="3" t="s">
        <v>1541</v>
      </c>
      <c r="D471" s="3" t="s">
        <v>1535</v>
      </c>
      <c r="E471" s="3" t="s">
        <v>1368</v>
      </c>
      <c r="F471" s="3" t="s">
        <v>1116</v>
      </c>
      <c r="G471" s="3" t="s">
        <v>1355</v>
      </c>
      <c r="H471" s="3" t="s">
        <v>1542</v>
      </c>
      <c r="I471" s="3" t="str">
        <f>HYPERLINK("http://www.jccm.es/sede/tramite/KX4","CONTROL FINANCIERO DE OPERACIONES COFINANCIADAS CON EL FONDO FEAGA.")</f>
        <v>CONTROL FINANCIERO DE OPERACIONES COFINANCIADAS CON EL FONDO FEAGA.</v>
      </c>
      <c r="J471" s="3" t="s">
        <v>41</v>
      </c>
      <c r="K471" s="3" t="s">
        <v>41</v>
      </c>
      <c r="L471" s="3" t="s">
        <v>42</v>
      </c>
      <c r="M471" s="3" t="s">
        <v>41</v>
      </c>
    </row>
    <row r="472" spans="1:13" ht="195.6">
      <c r="A472" s="22" t="s">
        <v>17</v>
      </c>
      <c r="B472" s="3" t="s">
        <v>1543</v>
      </c>
      <c r="C472" s="3" t="s">
        <v>1544</v>
      </c>
      <c r="D472" s="3" t="s">
        <v>45</v>
      </c>
      <c r="E472" s="3" t="s">
        <v>46</v>
      </c>
      <c r="F472" s="3" t="s">
        <v>1116</v>
      </c>
      <c r="G472" s="3" t="s">
        <v>1286</v>
      </c>
      <c r="H472" s="3" t="s">
        <v>1545</v>
      </c>
      <c r="I472" s="3" t="str">
        <f>HYPERLINK("http://www.jccm.es/sede/tramite/JPX","FIJACION DEL JUSTIPRECIO EN EXPROPIACION FORZOSA CUANDO LA ADMINISTRACION EXPROPIANTE SEA LA JCCM O CUALQUIERA DE LAS DIPUTACIONES O MUNICIPIOS DE CASTILLA-LA MANCHA")</f>
        <v>FIJACION DEL JUSTIPRECIO EN EXPROPIACION FORZOSA CUANDO LA ADMINISTRACION EXPROPIANTE SEA LA JCCM O CUALQUIERA DE LAS DIPUTACIONES O MUNICIPIOS DE CASTILLA-LA MANCHA</v>
      </c>
      <c r="J472" s="3" t="s">
        <v>42</v>
      </c>
      <c r="K472" s="3" t="s">
        <v>41</v>
      </c>
      <c r="L472" s="3" t="s">
        <v>42</v>
      </c>
      <c r="M472" s="3" t="s">
        <v>41</v>
      </c>
    </row>
    <row r="473" spans="1:13" ht="161.1">
      <c r="A473" s="22" t="s">
        <v>17</v>
      </c>
      <c r="B473" s="3" t="s">
        <v>1546</v>
      </c>
      <c r="C473" s="3" t="s">
        <v>1547</v>
      </c>
      <c r="D473" s="3" t="s">
        <v>95</v>
      </c>
      <c r="E473" s="3" t="s">
        <v>95</v>
      </c>
      <c r="F473" s="3" t="s">
        <v>1116</v>
      </c>
      <c r="G473" s="3" t="s">
        <v>1286</v>
      </c>
      <c r="H473" s="3" t="s">
        <v>1548</v>
      </c>
      <c r="I473" s="3" t="str">
        <f>HYPERLINK("http://www.jccm.es/sede/tramite/KL7","GESTION ELECTRONICA DE LA CONTRATACION")</f>
        <v>GESTION ELECTRONICA DE LA CONTRATACION</v>
      </c>
      <c r="J473" s="3" t="s">
        <v>41</v>
      </c>
      <c r="K473" s="3" t="s">
        <v>41</v>
      </c>
      <c r="L473" s="3" t="s">
        <v>42</v>
      </c>
      <c r="M473" s="3" t="s">
        <v>41</v>
      </c>
    </row>
    <row r="474" spans="1:13" ht="172.5">
      <c r="A474" s="22" t="s">
        <v>17</v>
      </c>
      <c r="B474" s="3" t="s">
        <v>1549</v>
      </c>
      <c r="C474" s="3" t="s">
        <v>1550</v>
      </c>
      <c r="D474" s="3" t="s">
        <v>374</v>
      </c>
      <c r="E474" s="3" t="s">
        <v>1368</v>
      </c>
      <c r="F474" s="3" t="s">
        <v>1116</v>
      </c>
      <c r="G474" s="3" t="s">
        <v>1117</v>
      </c>
      <c r="H474" s="3" t="s">
        <v>1551</v>
      </c>
      <c r="I474" s="3" t="str">
        <f>HYPERLINK("http://www.jccm.es/sede/tramite/IZY","SOLICITUD QUEJAS, SUGERENCIAS E INCIDENCIAS EN LA TRAMITACION ELECTRONICA ANTE LA ADMINISTRACION DE LA JUNTA DE COMUNIDADES DE CASTILLA-LA MANCHA, EXCEPTO SESCAM")</f>
        <v>SOLICITUD QUEJAS, SUGERENCIAS E INCIDENCIAS EN LA TRAMITACION ELECTRONICA ANTE LA ADMINISTRACION DE LA JUNTA DE COMUNIDADES DE CASTILLA-LA MANCHA, EXCEPTO SESCAM</v>
      </c>
      <c r="J474" s="3" t="s">
        <v>41</v>
      </c>
      <c r="K474" s="3" t="s">
        <v>42</v>
      </c>
      <c r="L474" s="3" t="s">
        <v>42</v>
      </c>
      <c r="M474" s="3" t="s">
        <v>41</v>
      </c>
    </row>
    <row r="475" spans="1:13" ht="172.5">
      <c r="A475" s="22" t="s">
        <v>17</v>
      </c>
      <c r="B475" s="3" t="s">
        <v>1552</v>
      </c>
      <c r="C475" s="3" t="s">
        <v>1553</v>
      </c>
      <c r="D475" s="3" t="s">
        <v>374</v>
      </c>
      <c r="E475" s="3" t="s">
        <v>1368</v>
      </c>
      <c r="F475" s="3" t="s">
        <v>1116</v>
      </c>
      <c r="G475" s="3" t="s">
        <v>1117</v>
      </c>
      <c r="H475" s="3" t="s">
        <v>1554</v>
      </c>
      <c r="I475" s="3" t="str">
        <f>HYPERLINK("http://www.jccm.es/sede/tramite/JH7","CONSULTAS GENERICAS A LA ADMINISTRACION DE LA JUNTA DE COMUNIDADES DE CASTILLA-LA MANCHA")</f>
        <v>CONSULTAS GENERICAS A LA ADMINISTRACION DE LA JUNTA DE COMUNIDADES DE CASTILLA-LA MANCHA</v>
      </c>
      <c r="J475" s="3" t="s">
        <v>41</v>
      </c>
      <c r="K475" s="3" t="s">
        <v>41</v>
      </c>
      <c r="L475" s="3" t="s">
        <v>42</v>
      </c>
      <c r="M475" s="3" t="s">
        <v>41</v>
      </c>
    </row>
    <row r="476" spans="1:13" ht="114.95">
      <c r="A476" s="22" t="s">
        <v>17</v>
      </c>
      <c r="B476" s="3" t="s">
        <v>1555</v>
      </c>
      <c r="C476" s="3" t="s">
        <v>1556</v>
      </c>
      <c r="D476" s="3" t="s">
        <v>1557</v>
      </c>
      <c r="E476" s="3" t="s">
        <v>46</v>
      </c>
      <c r="F476" s="3" t="s">
        <v>1116</v>
      </c>
      <c r="G476" s="3" t="s">
        <v>1201</v>
      </c>
      <c r="H476" s="3" t="s">
        <v>1558</v>
      </c>
      <c r="I476" s="3" t="str">
        <f>HYPERLINK("http://www.jccm.es/sede/tramite/IW5","CONCURSO GENERAL DE MERITOS CGM F1/2021.")</f>
        <v>CONCURSO GENERAL DE MERITOS CGM F1/2021.</v>
      </c>
      <c r="J476" s="3" t="s">
        <v>42</v>
      </c>
      <c r="K476" s="3" t="s">
        <v>41</v>
      </c>
      <c r="L476" s="3" t="s">
        <v>42</v>
      </c>
      <c r="M476" s="3" t="s">
        <v>41</v>
      </c>
    </row>
    <row r="477" spans="1:13" ht="126.6">
      <c r="A477" s="22" t="s">
        <v>17</v>
      </c>
      <c r="B477" s="3" t="s">
        <v>1559</v>
      </c>
      <c r="C477" s="3" t="s">
        <v>1560</v>
      </c>
      <c r="D477" s="3" t="s">
        <v>45</v>
      </c>
      <c r="E477" s="3" t="s">
        <v>46</v>
      </c>
      <c r="F477" s="3" t="s">
        <v>1116</v>
      </c>
      <c r="G477" s="3" t="s">
        <v>1201</v>
      </c>
      <c r="H477" s="3" t="s">
        <v>1561</v>
      </c>
      <c r="I477" s="3" t="str">
        <f>HYPERLINK("http://www.jccm.es/sede/tramite/IHJ","SOLICITUD DE DESTINOS PROCESOS SELECTIVOS FUNCIONARIOS.")</f>
        <v>SOLICITUD DE DESTINOS PROCESOS SELECTIVOS FUNCIONARIOS.</v>
      </c>
      <c r="J477" s="3" t="s">
        <v>42</v>
      </c>
      <c r="K477" s="3" t="s">
        <v>41</v>
      </c>
      <c r="L477" s="3" t="s">
        <v>42</v>
      </c>
      <c r="M477" s="3" t="s">
        <v>41</v>
      </c>
    </row>
    <row r="478" spans="1:13" ht="114.95">
      <c r="A478" s="22" t="s">
        <v>17</v>
      </c>
      <c r="B478" s="3" t="s">
        <v>1562</v>
      </c>
      <c r="C478" s="3" t="s">
        <v>1563</v>
      </c>
      <c r="D478" s="3" t="s">
        <v>1564</v>
      </c>
      <c r="E478" s="3" t="s">
        <v>46</v>
      </c>
      <c r="F478" s="3" t="s">
        <v>1116</v>
      </c>
      <c r="G478" s="3" t="s">
        <v>1201</v>
      </c>
      <c r="H478" s="3" t="s">
        <v>1565</v>
      </c>
      <c r="I478" s="3" t="str">
        <f>HYPERLINK("http://www.jccm.es/sede/tramite/JOX","OFERTA A PERSONAL DE BOLSA DE TRABAJO DE FUNCIONARIOS INTERINOS")</f>
        <v>OFERTA A PERSONAL DE BOLSA DE TRABAJO DE FUNCIONARIOS INTERINOS</v>
      </c>
      <c r="J478" s="3" t="s">
        <v>42</v>
      </c>
      <c r="K478" s="3" t="s">
        <v>41</v>
      </c>
      <c r="L478" s="3" t="s">
        <v>42</v>
      </c>
      <c r="M478" s="3" t="s">
        <v>41</v>
      </c>
    </row>
    <row r="479" spans="1:13" ht="207">
      <c r="A479" s="22" t="s">
        <v>17</v>
      </c>
      <c r="B479" s="3" t="s">
        <v>1566</v>
      </c>
      <c r="C479" s="3" t="s">
        <v>1567</v>
      </c>
      <c r="D479" s="3" t="s">
        <v>45</v>
      </c>
      <c r="E479" s="3" t="s">
        <v>46</v>
      </c>
      <c r="F479" s="3" t="s">
        <v>1116</v>
      </c>
      <c r="G479" s="3" t="s">
        <v>1117</v>
      </c>
      <c r="H479" s="3" t="s">
        <v>1568</v>
      </c>
      <c r="I479" s="3" t="str">
        <f>HYPERLINK("http://www.jccm.es/sede/tramite/J8U","NOMBRAMIENTO INTERINO DE LISTA DE ESPERA PARA DESEMPEÑAR PUESTO DE TRABAJO RESERVADO A FUNCIONARIO/A CON HABILITACION DE CARACTER ESTATAL")</f>
        <v>NOMBRAMIENTO INTERINO DE LISTA DE ESPERA PARA DESEMPEÑAR PUESTO DE TRABAJO RESERVADO A FUNCIONARIO/A CON HABILITACION DE CARACTER ESTATAL</v>
      </c>
      <c r="J479" s="3" t="s">
        <v>41</v>
      </c>
      <c r="K479" s="3" t="s">
        <v>41</v>
      </c>
      <c r="L479" s="3" t="s">
        <v>42</v>
      </c>
      <c r="M479" s="3" t="s">
        <v>41</v>
      </c>
    </row>
    <row r="480" spans="1:13" ht="264.60000000000002">
      <c r="A480" s="22" t="s">
        <v>17</v>
      </c>
      <c r="B480" s="3" t="s">
        <v>1569</v>
      </c>
      <c r="C480" s="3" t="s">
        <v>1570</v>
      </c>
      <c r="D480" s="3" t="s">
        <v>1571</v>
      </c>
      <c r="E480" s="3" t="s">
        <v>46</v>
      </c>
      <c r="F480" s="3" t="s">
        <v>1116</v>
      </c>
      <c r="G480" s="3" t="s">
        <v>1201</v>
      </c>
      <c r="H480" s="3" t="s">
        <v>1572</v>
      </c>
      <c r="I480" s="3" t="str">
        <f>HYPERLINK("http://www.jccm.es/sede/tramite/IXF","CONVOCATORIA  PROCESO  SELECTIVO PARA EL INGRESO POR EL SISTEMA  GENERAL DE ACCESO LIBRE, CUERPO SUPERIOR,ESCALA SUPERIOR DE LETRADOS.")</f>
        <v>CONVOCATORIA  PROCESO  SELECTIVO PARA EL INGRESO POR EL SISTEMA  GENERAL DE ACCESO LIBRE, CUERPO SUPERIOR,ESCALA SUPERIOR DE LETRADOS.</v>
      </c>
      <c r="J480" s="3" t="s">
        <v>42</v>
      </c>
      <c r="K480" s="3" t="s">
        <v>41</v>
      </c>
      <c r="L480" s="3" t="s">
        <v>42</v>
      </c>
      <c r="M480" s="3" t="s">
        <v>41</v>
      </c>
    </row>
    <row r="481" spans="1:13" ht="356.45">
      <c r="A481" s="22" t="s">
        <v>17</v>
      </c>
      <c r="B481" s="3" t="s">
        <v>1573</v>
      </c>
      <c r="C481" s="3" t="s">
        <v>1574</v>
      </c>
      <c r="D481" s="3" t="s">
        <v>1571</v>
      </c>
      <c r="E481" s="3" t="s">
        <v>46</v>
      </c>
      <c r="F481" s="3" t="s">
        <v>1116</v>
      </c>
      <c r="G481" s="3" t="s">
        <v>1387</v>
      </c>
      <c r="H481" s="3" t="s">
        <v>1575</v>
      </c>
      <c r="I481" s="3" t="str">
        <f>HYPERLINK("http://www.jccm.es/sede/tramite/E05","CONVOCATORIAS  PROCESOS  SELECTIVOS PARA EL INGRESO POR EL SISTEMA  GENERAL DE ACCESO LIBRE Y DE PERSONAS CON DISCAPACIDAD, CUERPO SUPERIOR,E.SUPERIOR SANITARIOS LOCALES:  VETERINARIA Y FARMACIA.")</f>
        <v>CONVOCATORIAS  PROCESOS  SELECTIVOS PARA EL INGRESO POR EL SISTEMA  GENERAL DE ACCESO LIBRE Y DE PERSONAS CON DISCAPACIDAD, CUERPO SUPERIOR,E.SUPERIOR SANITARIOS LOCALES:  VETERINARIA Y FARMACIA.</v>
      </c>
      <c r="J481" s="3" t="s">
        <v>42</v>
      </c>
      <c r="K481" s="3" t="s">
        <v>41</v>
      </c>
      <c r="L481" s="3" t="s">
        <v>42</v>
      </c>
      <c r="M481" s="3" t="s">
        <v>41</v>
      </c>
    </row>
    <row r="482" spans="1:13" ht="230.1">
      <c r="A482" s="22" t="s">
        <v>17</v>
      </c>
      <c r="B482" s="3" t="s">
        <v>1576</v>
      </c>
      <c r="C482" s="3" t="s">
        <v>1577</v>
      </c>
      <c r="D482" s="3" t="s">
        <v>45</v>
      </c>
      <c r="E482" s="3" t="s">
        <v>46</v>
      </c>
      <c r="F482" s="3" t="s">
        <v>1116</v>
      </c>
      <c r="G482" s="3" t="s">
        <v>1125</v>
      </c>
      <c r="H482" s="3" t="s">
        <v>1578</v>
      </c>
      <c r="I482" s="3" t="str">
        <f>HYPERLINK("http://www.jccm.es/sede/tramite/LFA","SOLICITUD DE DESTINO DEL PROCESO SELECTIVO PARA EL INGRESO POR EL SISTEMA DE ACCESO LIBRE EN LA ESCALA BASICA, CATEGORIA DE POLICIA, DE LOS CUERPOS DE POLICIA LOCAL DE CASTILLA-LA MANCHA")</f>
        <v>SOLICITUD DE DESTINO DEL PROCESO SELECTIVO PARA EL INGRESO POR EL SISTEMA DE ACCESO LIBRE EN LA ESCALA BASICA, CATEGORIA DE POLICIA, DE LOS CUERPOS DE POLICIA LOCAL DE CASTILLA-LA MANCHA</v>
      </c>
      <c r="J482" s="3" t="s">
        <v>42</v>
      </c>
      <c r="K482" s="3" t="s">
        <v>41</v>
      </c>
      <c r="L482" s="3" t="s">
        <v>42</v>
      </c>
      <c r="M482" s="3" t="s">
        <v>41</v>
      </c>
    </row>
    <row r="483" spans="1:13" ht="252.95">
      <c r="A483" s="22" t="s">
        <v>17</v>
      </c>
      <c r="B483" s="3" t="s">
        <v>1579</v>
      </c>
      <c r="C483" s="3" t="s">
        <v>1580</v>
      </c>
      <c r="D483" s="3" t="s">
        <v>1401</v>
      </c>
      <c r="E483" s="3" t="s">
        <v>46</v>
      </c>
      <c r="F483" s="3" t="s">
        <v>1116</v>
      </c>
      <c r="G483" s="3" t="s">
        <v>1116</v>
      </c>
      <c r="H483" s="3" t="s">
        <v>1581</v>
      </c>
      <c r="I483" s="3" t="str">
        <f>HYPERLINK("http://www.jccm.es/sede/tramite/LIL","PROCESOS SELECTIVOS PARA EL ACCESO DE PERSONAS CON DISCAPACIDAD INTELECTUAL EN EL CUERPO AUXILIAR ADMINISTRATIVO Y EN LA ESCALA AUXILIAR DE ARCHIVOS Y BIBLIOTECAS DE PERSONAL FUNCIONARIO.")</f>
        <v>PROCESOS SELECTIVOS PARA EL ACCESO DE PERSONAS CON DISCAPACIDAD INTELECTUAL EN EL CUERPO AUXILIAR ADMINISTRATIVO Y EN LA ESCALA AUXILIAR DE ARCHIVOS Y BIBLIOTECAS DE PERSONAL FUNCIONARIO.</v>
      </c>
      <c r="J483" s="3" t="s">
        <v>42</v>
      </c>
      <c r="K483" s="3" t="s">
        <v>41</v>
      </c>
      <c r="L483" s="3" t="s">
        <v>42</v>
      </c>
      <c r="M483" s="3" t="s">
        <v>41</v>
      </c>
    </row>
    <row r="484" spans="1:13" ht="252.95">
      <c r="A484" s="22" t="s">
        <v>17</v>
      </c>
      <c r="B484" s="3" t="s">
        <v>1582</v>
      </c>
      <c r="C484" s="3" t="s">
        <v>1583</v>
      </c>
      <c r="D484" s="3" t="s">
        <v>1401</v>
      </c>
      <c r="E484" s="3" t="s">
        <v>46</v>
      </c>
      <c r="F484" s="3" t="s">
        <v>1116</v>
      </c>
      <c r="G484" s="3" t="s">
        <v>1387</v>
      </c>
      <c r="H484" s="3" t="s">
        <v>1584</v>
      </c>
      <c r="I484" s="3" t="str">
        <f>HYPERLINK("http://www.jccm.es/sede/tramite/LIN","PROCESOS SELECTIVOS PARA EL ACCESO DE PERSONAS CON DISCAPACIDAD INTELECTUAL EN LAS CATEGORIAS PROFESIONALES DE PERSONAL DE LIMPIEZA Y SERVICIOS DOMESTICOS Y PEON ESPECIALISTA DE PERSONAL LABORAL.")</f>
        <v>PROCESOS SELECTIVOS PARA EL ACCESO DE PERSONAS CON DISCAPACIDAD INTELECTUAL EN LAS CATEGORIAS PROFESIONALES DE PERSONAL DE LIMPIEZA Y SERVICIOS DOMESTICOS Y PEON ESPECIALISTA DE PERSONAL LABORAL.</v>
      </c>
      <c r="J484" s="3" t="s">
        <v>42</v>
      </c>
      <c r="K484" s="3" t="s">
        <v>41</v>
      </c>
      <c r="L484" s="3" t="s">
        <v>42</v>
      </c>
      <c r="M484" s="3" t="s">
        <v>41</v>
      </c>
    </row>
    <row r="485" spans="1:13" ht="161.1">
      <c r="A485" s="22" t="s">
        <v>17</v>
      </c>
      <c r="B485" s="3" t="s">
        <v>1585</v>
      </c>
      <c r="C485" s="3" t="s">
        <v>1586</v>
      </c>
      <c r="D485" s="3" t="s">
        <v>327</v>
      </c>
      <c r="E485" s="3" t="s">
        <v>46</v>
      </c>
      <c r="F485" s="3" t="s">
        <v>1116</v>
      </c>
      <c r="G485" s="3" t="s">
        <v>1201</v>
      </c>
      <c r="H485" s="3" t="s">
        <v>1587</v>
      </c>
      <c r="I485" s="3" t="str">
        <f>HYPERLINK("http://www.jccm.es/sede/tramite/LKW","PROCESO SELECTIVO PARA LA AMPLIACION DE LA BOLSA DE TRABAJO DEL CUERPO SUPERIOR ESPECIALIDAD JURIDICA")</f>
        <v>PROCESO SELECTIVO PARA LA AMPLIACION DE LA BOLSA DE TRABAJO DEL CUERPO SUPERIOR ESPECIALIDAD JURIDICA</v>
      </c>
      <c r="J485" s="3" t="s">
        <v>42</v>
      </c>
      <c r="K485" s="3" t="s">
        <v>41</v>
      </c>
      <c r="L485" s="3" t="s">
        <v>42</v>
      </c>
      <c r="M485" s="3" t="s">
        <v>41</v>
      </c>
    </row>
    <row r="486" spans="1:13" ht="183.95">
      <c r="A486" s="22" t="s">
        <v>17</v>
      </c>
      <c r="B486" s="3" t="s">
        <v>1588</v>
      </c>
      <c r="C486" s="3" t="s">
        <v>1589</v>
      </c>
      <c r="D486" s="3" t="s">
        <v>232</v>
      </c>
      <c r="E486" s="3" t="s">
        <v>46</v>
      </c>
      <c r="F486" s="3" t="s">
        <v>1116</v>
      </c>
      <c r="G486" s="3" t="s">
        <v>1201</v>
      </c>
      <c r="H486" s="3" t="s">
        <v>1590</v>
      </c>
      <c r="I486" s="3" t="str">
        <f>HYPERLINK("http://www.jccm.es/sede/tramite/LKY","PROCESO SELECTIVO PARA LA AMPLIACION DE LA BOLSA DE TRABAJO DEL CUERPO TECNICO ESPECIALIDAD GESTION ADMINISTRATIVA.")</f>
        <v>PROCESO SELECTIVO PARA LA AMPLIACION DE LA BOLSA DE TRABAJO DEL CUERPO TECNICO ESPECIALIDAD GESTION ADMINISTRATIVA.</v>
      </c>
      <c r="J486" s="3" t="s">
        <v>42</v>
      </c>
      <c r="K486" s="3" t="s">
        <v>41</v>
      </c>
      <c r="L486" s="3" t="s">
        <v>42</v>
      </c>
      <c r="M486" s="3" t="s">
        <v>41</v>
      </c>
    </row>
    <row r="487" spans="1:13" ht="218.45">
      <c r="A487" s="22" t="s">
        <v>17</v>
      </c>
      <c r="B487" s="3" t="s">
        <v>1591</v>
      </c>
      <c r="C487" s="3" t="s">
        <v>1592</v>
      </c>
      <c r="D487" s="3" t="s">
        <v>95</v>
      </c>
      <c r="E487" s="3" t="s">
        <v>95</v>
      </c>
      <c r="F487" s="3" t="s">
        <v>1116</v>
      </c>
      <c r="G487" s="3" t="s">
        <v>1116</v>
      </c>
      <c r="H487" s="3" t="s">
        <v>1593</v>
      </c>
      <c r="I487" s="3" t="str">
        <f>HYPERLINK("http://www.jccm.es/sede/tramite/LWD","PROCESO SELECTIVO PARA LA AMPLIACION DE LA LISTA DE ESPERA REGIONAL PARA NOMBRAMIENTOS DE INTERVENCION-TESORERIA, CATEGORIA DE ENTRADA EN REGIMEN DE INTERINIDAD.")</f>
        <v>PROCESO SELECTIVO PARA LA AMPLIACION DE LA LISTA DE ESPERA REGIONAL PARA NOMBRAMIENTOS DE INTERVENCION-TESORERIA, CATEGORIA DE ENTRADA EN REGIMEN DE INTERINIDAD.</v>
      </c>
      <c r="J487" s="3" t="s">
        <v>42</v>
      </c>
      <c r="K487" s="3" t="s">
        <v>41</v>
      </c>
      <c r="L487" s="3" t="s">
        <v>42</v>
      </c>
      <c r="M487" s="3" t="s">
        <v>41</v>
      </c>
    </row>
    <row r="488" spans="1:13" ht="183.95">
      <c r="A488" s="22" t="s">
        <v>17</v>
      </c>
      <c r="B488" s="3" t="s">
        <v>1594</v>
      </c>
      <c r="C488" s="3" t="s">
        <v>1595</v>
      </c>
      <c r="D488" s="3" t="s">
        <v>95</v>
      </c>
      <c r="E488" s="3" t="s">
        <v>95</v>
      </c>
      <c r="F488" s="3" t="s">
        <v>1116</v>
      </c>
      <c r="G488" s="3" t="s">
        <v>1116</v>
      </c>
      <c r="H488" s="3" t="s">
        <v>1596</v>
      </c>
      <c r="I488" s="3" t="str">
        <f>HYPERLINK("http://www.jccm.es/sede/tramite/LWE","PROCESO SELECTIVO PARA LA AMPLIACION DE LA LISTA DE ESPERA REGIONAL PARA NOMBRAMIENTOS DE SECRETARIA DE ENTRADA EN REGIMEN DE INTERINIDAD.")</f>
        <v>PROCESO SELECTIVO PARA LA AMPLIACION DE LA LISTA DE ESPERA REGIONAL PARA NOMBRAMIENTOS DE SECRETARIA DE ENTRADA EN REGIMEN DE INTERINIDAD.</v>
      </c>
      <c r="J488" s="3" t="s">
        <v>42</v>
      </c>
      <c r="K488" s="3" t="s">
        <v>41</v>
      </c>
      <c r="L488" s="3" t="s">
        <v>42</v>
      </c>
      <c r="M488" s="3" t="s">
        <v>41</v>
      </c>
    </row>
    <row r="489" spans="1:13" ht="114.95">
      <c r="A489" s="22" t="s">
        <v>17</v>
      </c>
      <c r="B489" s="3" t="s">
        <v>1597</v>
      </c>
      <c r="C489" s="3" t="s">
        <v>1598</v>
      </c>
      <c r="D489" s="3" t="s">
        <v>1571</v>
      </c>
      <c r="E489" s="3" t="s">
        <v>46</v>
      </c>
      <c r="F489" s="3" t="s">
        <v>1116</v>
      </c>
      <c r="G489" s="3" t="s">
        <v>1201</v>
      </c>
      <c r="H489" s="3" t="s">
        <v>1599</v>
      </c>
      <c r="I489" s="3" t="str">
        <f>HYPERLINK("http://www.jccm.es/sede/tramite/IAE","PROCESOS SELECTIVOS PERSONAL FUNCIONARIO O LABORAL")</f>
        <v>PROCESOS SELECTIVOS PERSONAL FUNCIONARIO O LABORAL</v>
      </c>
      <c r="J489" s="3" t="s">
        <v>42</v>
      </c>
      <c r="K489" s="3" t="s">
        <v>41</v>
      </c>
      <c r="L489" s="3" t="s">
        <v>42</v>
      </c>
      <c r="M489" s="3" t="s">
        <v>41</v>
      </c>
    </row>
    <row r="490" spans="1:13" ht="138">
      <c r="A490" s="22" t="s">
        <v>17</v>
      </c>
      <c r="B490" s="3" t="s">
        <v>1600</v>
      </c>
      <c r="C490" s="3" t="s">
        <v>1601</v>
      </c>
      <c r="D490" s="3" t="s">
        <v>1571</v>
      </c>
      <c r="E490" s="3" t="s">
        <v>46</v>
      </c>
      <c r="F490" s="3" t="s">
        <v>1116</v>
      </c>
      <c r="G490" s="3" t="s">
        <v>1201</v>
      </c>
      <c r="H490" s="3" t="s">
        <v>1602</v>
      </c>
      <c r="I490" s="3" t="str">
        <f>HYPERLINK("http://www.jccm.es/sede/tramite/JNR","VERIFICAR LA IDENTIDAD DE LAS PERSONAS QUE INGRESAN EN LA ADMINISTRACION MEDIANTE PROCESO SELECTIVO")</f>
        <v>VERIFICAR LA IDENTIDAD DE LAS PERSONAS QUE INGRESAN EN LA ADMINISTRACION MEDIANTE PROCESO SELECTIVO</v>
      </c>
      <c r="J490" s="3" t="s">
        <v>41</v>
      </c>
      <c r="K490" s="3" t="s">
        <v>41</v>
      </c>
      <c r="L490" s="3" t="s">
        <v>42</v>
      </c>
      <c r="M490" s="3" t="s">
        <v>41</v>
      </c>
    </row>
    <row r="491" spans="1:13" ht="276">
      <c r="A491" s="22" t="s">
        <v>17</v>
      </c>
      <c r="B491" s="3" t="s">
        <v>1603</v>
      </c>
      <c r="C491" s="3" t="s">
        <v>1604</v>
      </c>
      <c r="D491" s="3" t="s">
        <v>1571</v>
      </c>
      <c r="E491" s="3" t="s">
        <v>46</v>
      </c>
      <c r="F491" s="3" t="s">
        <v>1116</v>
      </c>
      <c r="G491" s="3" t="s">
        <v>1387</v>
      </c>
      <c r="H491" s="3" t="s">
        <v>1605</v>
      </c>
      <c r="I491" s="3" t="str">
        <f>HYPERLINK("http://www.jccm.es/sede/tramite/JOY","CONVOCATORIA PROCESOS SELECTIVOS PARA LA COBERTURA, CON CARACTER FIJO Y POR EL SISTEMA GENERAL ACCESO DE PERSONAS CON DISCAPACIDAD, DE VACANTES  CORRESPONDIENTES A LA PLANTILLA DE PERSONAL LABORAL.")</f>
        <v>CONVOCATORIA PROCESOS SELECTIVOS PARA LA COBERTURA, CON CARACTER FIJO Y POR EL SISTEMA GENERAL ACCESO DE PERSONAS CON DISCAPACIDAD, DE VACANTES  CORRESPONDIENTES A LA PLANTILLA DE PERSONAL LABORAL.</v>
      </c>
      <c r="J491" s="3" t="s">
        <v>42</v>
      </c>
      <c r="K491" s="3" t="s">
        <v>41</v>
      </c>
      <c r="L491" s="3" t="s">
        <v>42</v>
      </c>
      <c r="M491" s="3" t="s">
        <v>41</v>
      </c>
    </row>
    <row r="492" spans="1:13" ht="252.95">
      <c r="A492" s="22" t="s">
        <v>17</v>
      </c>
      <c r="B492" s="3" t="s">
        <v>1606</v>
      </c>
      <c r="C492" s="3" t="s">
        <v>1607</v>
      </c>
      <c r="D492" s="3" t="s">
        <v>1571</v>
      </c>
      <c r="E492" s="3" t="s">
        <v>46</v>
      </c>
      <c r="F492" s="3" t="s">
        <v>1116</v>
      </c>
      <c r="G492" s="3" t="s">
        <v>1387</v>
      </c>
      <c r="H492" s="3" t="s">
        <v>1608</v>
      </c>
      <c r="I492" s="3" t="str">
        <f>HYPERLINK("http://www.jccm.es/sede/tramite/IGO","CONVOCATORIA PROCESOS SELECTIVOS PARA LA COBERTURA, CON CARACTER FIJO Y POR EL SISTEMA DE PROMOCION INTERNA DE PUESTOS VACANTES CORRESPONDIENTES A LA PLANTILLA DE PERSONAL LABORAL.")</f>
        <v>CONVOCATORIA PROCESOS SELECTIVOS PARA LA COBERTURA, CON CARACTER FIJO Y POR EL SISTEMA DE PROMOCION INTERNA DE PUESTOS VACANTES CORRESPONDIENTES A LA PLANTILLA DE PERSONAL LABORAL.</v>
      </c>
      <c r="J492" s="3" t="s">
        <v>42</v>
      </c>
      <c r="K492" s="3" t="s">
        <v>41</v>
      </c>
      <c r="L492" s="3" t="s">
        <v>42</v>
      </c>
      <c r="M492" s="3" t="s">
        <v>41</v>
      </c>
    </row>
    <row r="493" spans="1:13" ht="252.95">
      <c r="A493" s="22" t="s">
        <v>17</v>
      </c>
      <c r="B493" s="3" t="s">
        <v>1609</v>
      </c>
      <c r="C493" s="3" t="s">
        <v>1610</v>
      </c>
      <c r="D493" s="3" t="s">
        <v>1571</v>
      </c>
      <c r="E493" s="3" t="s">
        <v>46</v>
      </c>
      <c r="F493" s="3" t="s">
        <v>1116</v>
      </c>
      <c r="G493" s="3" t="s">
        <v>1387</v>
      </c>
      <c r="H493" s="3" t="s">
        <v>1611</v>
      </c>
      <c r="I493" s="3" t="str">
        <f>HYPERLINK("http://www.jccm.es/sede/tramite/F11","CONVOCATORIA PROCESOS SELECTIVOS PARA LA COBERTURA, CON CARACTER FIJO Y POR EL SISTEMA GENERAL DE ACCESO LIBRE, DE PUESTOS VACANTES CORRESPONDIENTES A LA PLANTILLA DE PERSONAL LABORAL.")</f>
        <v>CONVOCATORIA PROCESOS SELECTIVOS PARA LA COBERTURA, CON CARACTER FIJO Y POR EL SISTEMA GENERAL DE ACCESO LIBRE, DE PUESTOS VACANTES CORRESPONDIENTES A LA PLANTILLA DE PERSONAL LABORAL.</v>
      </c>
      <c r="J493" s="3" t="s">
        <v>42</v>
      </c>
      <c r="K493" s="3" t="s">
        <v>41</v>
      </c>
      <c r="L493" s="3" t="s">
        <v>42</v>
      </c>
      <c r="M493" s="3" t="s">
        <v>41</v>
      </c>
    </row>
    <row r="494" spans="1:13" ht="207">
      <c r="A494" s="22" t="s">
        <v>17</v>
      </c>
      <c r="B494" s="3" t="s">
        <v>1612</v>
      </c>
      <c r="C494" s="3" t="s">
        <v>1613</v>
      </c>
      <c r="D494" s="3" t="s">
        <v>1571</v>
      </c>
      <c r="E494" s="3" t="s">
        <v>46</v>
      </c>
      <c r="F494" s="3" t="s">
        <v>1116</v>
      </c>
      <c r="G494" s="3" t="s">
        <v>1387</v>
      </c>
      <c r="H494" s="3" t="s">
        <v>1614</v>
      </c>
      <c r="I494" s="3" t="str">
        <f>HYPERLINK("http://www.jccm.es/sede/tramite/598","CONVOCATORIAS  PROCESOS  SELECTIVOS PARA EL INGRESO POR EL SISTEMA GENERAL DE ACCESO LIBRE EN LOS CUERPOS Y ESCALAS DEL PERSONAL FUNCIONARIO.")</f>
        <v>CONVOCATORIAS  PROCESOS  SELECTIVOS PARA EL INGRESO POR EL SISTEMA GENERAL DE ACCESO LIBRE EN LOS CUERPOS Y ESCALAS DEL PERSONAL FUNCIONARIO.</v>
      </c>
      <c r="J494" s="3" t="s">
        <v>42</v>
      </c>
      <c r="K494" s="3" t="s">
        <v>41</v>
      </c>
      <c r="L494" s="3" t="s">
        <v>42</v>
      </c>
      <c r="M494" s="3" t="s">
        <v>41</v>
      </c>
    </row>
    <row r="495" spans="1:13" ht="230.1">
      <c r="A495" s="22" t="s">
        <v>17</v>
      </c>
      <c r="B495" s="3" t="s">
        <v>1615</v>
      </c>
      <c r="C495" s="3" t="s">
        <v>1616</v>
      </c>
      <c r="D495" s="3" t="s">
        <v>1571</v>
      </c>
      <c r="E495" s="3" t="s">
        <v>46</v>
      </c>
      <c r="F495" s="3" t="s">
        <v>1116</v>
      </c>
      <c r="G495" s="3" t="s">
        <v>1387</v>
      </c>
      <c r="H495" s="3" t="s">
        <v>1617</v>
      </c>
      <c r="I495" s="3" t="str">
        <f>HYPERLINK("http://www.jccm.es/sede/tramite/JJ4","CONVOCATORIAS  PROCESOS  SELECTIVOS PARA EL INGRESO POR EL SISTEMA GENERAL DE ACCESO DE PERSONAS CON DISCAPACIDAD  EN LOS CUERPOS Y ESCALAS DEL PERSONAL FUNCIONARIO.")</f>
        <v>CONVOCATORIAS  PROCESOS  SELECTIVOS PARA EL INGRESO POR EL SISTEMA GENERAL DE ACCESO DE PERSONAS CON DISCAPACIDAD  EN LOS CUERPOS Y ESCALAS DEL PERSONAL FUNCIONARIO.</v>
      </c>
      <c r="J495" s="3" t="s">
        <v>42</v>
      </c>
      <c r="K495" s="3" t="s">
        <v>41</v>
      </c>
      <c r="L495" s="3" t="s">
        <v>42</v>
      </c>
      <c r="M495" s="3" t="s">
        <v>41</v>
      </c>
    </row>
    <row r="496" spans="1:13" ht="218.45">
      <c r="A496" s="22" t="s">
        <v>17</v>
      </c>
      <c r="B496" s="3" t="s">
        <v>1618</v>
      </c>
      <c r="C496" s="3" t="s">
        <v>1619</v>
      </c>
      <c r="D496" s="3" t="s">
        <v>1571</v>
      </c>
      <c r="E496" s="3" t="s">
        <v>46</v>
      </c>
      <c r="F496" s="3" t="s">
        <v>1116</v>
      </c>
      <c r="G496" s="3" t="s">
        <v>1387</v>
      </c>
      <c r="H496" s="3" t="s">
        <v>1620</v>
      </c>
      <c r="I496" s="3" t="str">
        <f>HYPERLINK("http://www.jccm.es/sede/tramite/I12","CONVOCATORIAS  PROCESOS  SELECTIVOS PARA EL INGRESO POR EL SISTEMA  DE PROMOCION INTERNA DIRECTA EN EL PUESTO  EN LOS CUERPOS Y ESCALAS DEL PERSONAL FUNCIONARIO.")</f>
        <v>CONVOCATORIAS  PROCESOS  SELECTIVOS PARA EL INGRESO POR EL SISTEMA  DE PROMOCION INTERNA DIRECTA EN EL PUESTO  EN LOS CUERPOS Y ESCALAS DEL PERSONAL FUNCIONARIO.</v>
      </c>
      <c r="J496" s="3" t="s">
        <v>42</v>
      </c>
      <c r="K496" s="3" t="s">
        <v>41</v>
      </c>
      <c r="L496" s="3" t="s">
        <v>42</v>
      </c>
      <c r="M496" s="3" t="s">
        <v>41</v>
      </c>
    </row>
    <row r="497" spans="1:13" ht="114.95">
      <c r="A497" s="22" t="s">
        <v>17</v>
      </c>
      <c r="B497" s="3" t="s">
        <v>1621</v>
      </c>
      <c r="C497" s="3" t="s">
        <v>1622</v>
      </c>
      <c r="D497" s="3" t="s">
        <v>1571</v>
      </c>
      <c r="E497" s="3" t="s">
        <v>46</v>
      </c>
      <c r="F497" s="3" t="s">
        <v>1116</v>
      </c>
      <c r="G497" s="3" t="s">
        <v>1201</v>
      </c>
      <c r="H497" s="3" t="s">
        <v>1623</v>
      </c>
      <c r="I497" s="3" t="str">
        <f>HYPERLINK("http://www.jccm.es/sede/tramite/H71","SOLICITUD DE DESTINOS PROCESOS SELECTIVOS LABORALES.")</f>
        <v>SOLICITUD DE DESTINOS PROCESOS SELECTIVOS LABORALES.</v>
      </c>
      <c r="J497" s="3" t="s">
        <v>42</v>
      </c>
      <c r="K497" s="3" t="s">
        <v>41</v>
      </c>
      <c r="L497" s="3" t="s">
        <v>42</v>
      </c>
      <c r="M497" s="3" t="s">
        <v>41</v>
      </c>
    </row>
    <row r="498" spans="1:13" ht="172.5">
      <c r="A498" s="22" t="s">
        <v>17</v>
      </c>
      <c r="B498" s="3" t="s">
        <v>1624</v>
      </c>
      <c r="C498" s="3" t="s">
        <v>1625</v>
      </c>
      <c r="D498" s="3" t="s">
        <v>95</v>
      </c>
      <c r="E498" s="3" t="s">
        <v>46</v>
      </c>
      <c r="F498" s="3" t="s">
        <v>1116</v>
      </c>
      <c r="G498" s="3" t="s">
        <v>1117</v>
      </c>
      <c r="H498" s="3" t="s">
        <v>1626</v>
      </c>
      <c r="I498" s="3" t="str">
        <f>HYPERLINK("http://www.jccm.es/sede/tramite/KK4","PROCESO SELECTIVO PARA LA AMPLIACION DE LA LISTA DE ESPERA REGIONAL PARA NOMBRAMIENTOS DE SECRETARIA-INTERVENCION EN REGIMEN DE INTERINIDAD.")</f>
        <v>PROCESO SELECTIVO PARA LA AMPLIACION DE LA LISTA DE ESPERA REGIONAL PARA NOMBRAMIENTOS DE SECRETARIA-INTERVENCION EN REGIMEN DE INTERINIDAD.</v>
      </c>
      <c r="J498" s="3" t="s">
        <v>41</v>
      </c>
      <c r="K498" s="3" t="s">
        <v>41</v>
      </c>
      <c r="L498" s="3" t="s">
        <v>42</v>
      </c>
      <c r="M498" s="3" t="s">
        <v>41</v>
      </c>
    </row>
    <row r="499" spans="1:13" ht="218.45">
      <c r="A499" s="22" t="s">
        <v>17</v>
      </c>
      <c r="B499" s="3" t="s">
        <v>1627</v>
      </c>
      <c r="C499" s="3" t="s">
        <v>1628</v>
      </c>
      <c r="D499" s="3" t="s">
        <v>95</v>
      </c>
      <c r="E499" s="3" t="s">
        <v>46</v>
      </c>
      <c r="F499" s="3" t="s">
        <v>1116</v>
      </c>
      <c r="G499" s="3" t="s">
        <v>1201</v>
      </c>
      <c r="H499" s="3" t="s">
        <v>1629</v>
      </c>
      <c r="I499" s="3" t="str">
        <f>HYPERLINK("http://www.jccm.es/sede/tramite/L5V","ADAPTACION O CAMBIO DE PUESTO DE TRABAJO POR RIESGO DURANTE EL EMBARAZO O DURANTE LA LACTANCIA NATURAL")</f>
        <v>ADAPTACION O CAMBIO DE PUESTO DE TRABAJO POR RIESGO DURANTE EL EMBARAZO O DURANTE LA LACTANCIA NATURAL</v>
      </c>
      <c r="J499" s="3" t="s">
        <v>41</v>
      </c>
      <c r="K499" s="3" t="s">
        <v>41</v>
      </c>
      <c r="L499" s="3" t="s">
        <v>42</v>
      </c>
      <c r="M499" s="3" t="s">
        <v>41</v>
      </c>
    </row>
    <row r="500" spans="1:13" ht="161.1">
      <c r="A500" s="22" t="s">
        <v>17</v>
      </c>
      <c r="B500" s="3" t="s">
        <v>1630</v>
      </c>
      <c r="C500" s="3" t="s">
        <v>1631</v>
      </c>
      <c r="D500" s="3" t="s">
        <v>1632</v>
      </c>
      <c r="E500" s="3" t="s">
        <v>46</v>
      </c>
      <c r="F500" s="3" t="s">
        <v>1116</v>
      </c>
      <c r="G500" s="3" t="s">
        <v>1286</v>
      </c>
      <c r="H500" s="3" t="s">
        <v>1633</v>
      </c>
      <c r="I500" s="3" t="str">
        <f>HYPERLINK("http://www.jccm.es/sede/tramite/LY7","RECLAMACION DE RESPONSABILIDAD PATRIMONIAL DE LA CONSEJERIA DE HACIENDA Y ADMINISTRACIONES PUBLICAS.")</f>
        <v>RECLAMACION DE RESPONSABILIDAD PATRIMONIAL DE LA CONSEJERIA DE HACIENDA Y ADMINISTRACIONES PUBLICAS.</v>
      </c>
      <c r="J500" s="3" t="s">
        <v>41</v>
      </c>
      <c r="K500" s="3" t="s">
        <v>41</v>
      </c>
      <c r="L500" s="3" t="s">
        <v>42</v>
      </c>
      <c r="M500" s="3" t="s">
        <v>41</v>
      </c>
    </row>
    <row r="501" spans="1:13" ht="92.1">
      <c r="A501" s="22" t="s">
        <v>17</v>
      </c>
      <c r="B501" s="3" t="s">
        <v>1634</v>
      </c>
      <c r="C501" s="3" t="s">
        <v>1635</v>
      </c>
      <c r="D501" s="3" t="s">
        <v>45</v>
      </c>
      <c r="E501" s="3" t="s">
        <v>46</v>
      </c>
      <c r="F501" s="3" t="s">
        <v>1116</v>
      </c>
      <c r="G501" s="3" t="s">
        <v>1116</v>
      </c>
      <c r="H501" s="3" t="s">
        <v>1636</v>
      </c>
      <c r="I501" s="3" t="str">
        <f>HYPERLINK("http://www.jccm.es/sede/tramite/KGU","RECURSO DE ALZADA ANTE ORGANOS DE LA ADMINISTRACION DE LA JUNTA Y SUS ORGANISMOS AUTONOMOS.")</f>
        <v>RECURSO DE ALZADA ANTE ORGANOS DE LA ADMINISTRACION DE LA JUNTA Y SUS ORGANISMOS AUTONOMOS.</v>
      </c>
      <c r="J501" s="3" t="s">
        <v>42</v>
      </c>
      <c r="K501" s="3" t="s">
        <v>41</v>
      </c>
      <c r="L501" s="3" t="s">
        <v>42</v>
      </c>
      <c r="M501" s="3" t="s">
        <v>41</v>
      </c>
    </row>
    <row r="502" spans="1:13" ht="172.5">
      <c r="A502" s="22" t="s">
        <v>17</v>
      </c>
      <c r="B502" s="3" t="s">
        <v>1637</v>
      </c>
      <c r="C502" s="3" t="s">
        <v>1638</v>
      </c>
      <c r="D502" s="3" t="s">
        <v>62</v>
      </c>
      <c r="E502" s="3" t="s">
        <v>46</v>
      </c>
      <c r="F502" s="3" t="s">
        <v>1116</v>
      </c>
      <c r="G502" s="3" t="s">
        <v>1116</v>
      </c>
      <c r="H502" s="3" t="s">
        <v>1639</v>
      </c>
      <c r="I502" s="3" t="str">
        <f>HYPERLINK("http://www.jccm.es/sede/tramite/KGW","RECURSO DE REPOSICION ANTE ORGANOS DE LA ADMINISTRACION DE LA JUNTA Y SUS ORGANISMOS AUTONOMOS (EXCEPTO EN MATERIA TRIBUTARIA)")</f>
        <v>RECURSO DE REPOSICION ANTE ORGANOS DE LA ADMINISTRACION DE LA JUNTA Y SUS ORGANISMOS AUTONOMOS (EXCEPTO EN MATERIA TRIBUTARIA)</v>
      </c>
      <c r="J502" s="3" t="s">
        <v>42</v>
      </c>
      <c r="K502" s="3" t="s">
        <v>41</v>
      </c>
      <c r="L502" s="3" t="s">
        <v>42</v>
      </c>
      <c r="M502" s="3" t="s">
        <v>41</v>
      </c>
    </row>
    <row r="503" spans="1:13" ht="161.1">
      <c r="A503" s="22" t="s">
        <v>17</v>
      </c>
      <c r="B503" s="3" t="s">
        <v>1640</v>
      </c>
      <c r="C503" s="3" t="s">
        <v>1641</v>
      </c>
      <c r="D503" s="3" t="s">
        <v>45</v>
      </c>
      <c r="E503" s="3" t="s">
        <v>46</v>
      </c>
      <c r="F503" s="3" t="s">
        <v>1116</v>
      </c>
      <c r="G503" s="3" t="s">
        <v>1286</v>
      </c>
      <c r="H503" s="3" t="s">
        <v>1642</v>
      </c>
      <c r="I503" s="3" t="str">
        <f>HYPERLINK("http://www.jccm.es/sede/tramite/KQT","RECURSO EXTRAORDINARIO DE REVISION ANTE ORGANOS DE LA ADMINISTRACION DE LA JUNTA Y SUS ORGANISMOS AUTONOMOS.")</f>
        <v>RECURSO EXTRAORDINARIO DE REVISION ANTE ORGANOS DE LA ADMINISTRACION DE LA JUNTA Y SUS ORGANISMOS AUTONOMOS.</v>
      </c>
      <c r="J503" s="3" t="s">
        <v>42</v>
      </c>
      <c r="K503" s="3" t="s">
        <v>41</v>
      </c>
      <c r="L503" s="3" t="s">
        <v>42</v>
      </c>
      <c r="M503" s="3" t="s">
        <v>41</v>
      </c>
    </row>
    <row r="504" spans="1:13" ht="218.45">
      <c r="A504" s="22" t="s">
        <v>17</v>
      </c>
      <c r="B504" s="3" t="s">
        <v>1643</v>
      </c>
      <c r="C504" s="3" t="s">
        <v>1644</v>
      </c>
      <c r="D504" s="3" t="s">
        <v>1645</v>
      </c>
      <c r="E504" s="3" t="s">
        <v>46</v>
      </c>
      <c r="F504" s="3" t="s">
        <v>1116</v>
      </c>
      <c r="G504" s="3" t="s">
        <v>1201</v>
      </c>
      <c r="H504" s="3" t="s">
        <v>1646</v>
      </c>
      <c r="I504" s="3" t="str">
        <f>HYPERLINK("http://www.jccm.es/sede/tramite/K94","RECLAMACION CONTRA LA ADJUDICACION PROVISIONAL DE DESTINOS DEL CONCURSO SINGULARIZADO DE MERITOS ESCALAS SUPERIOR Y TECNICA DE ARCHIVOS, BIBLIOTECAS Y MUSEOS")</f>
        <v>RECLAMACION CONTRA LA ADJUDICACION PROVISIONAL DE DESTINOS DEL CONCURSO SINGULARIZADO DE MERITOS ESCALAS SUPERIOR Y TECNICA DE ARCHIVOS, BIBLIOTECAS Y MUSEOS</v>
      </c>
      <c r="J504" s="3" t="s">
        <v>42</v>
      </c>
      <c r="K504" s="3" t="s">
        <v>41</v>
      </c>
      <c r="L504" s="3" t="s">
        <v>42</v>
      </c>
      <c r="M504" s="3" t="s">
        <v>41</v>
      </c>
    </row>
    <row r="505" spans="1:13" ht="172.5">
      <c r="A505" s="22" t="s">
        <v>17</v>
      </c>
      <c r="B505" s="3" t="s">
        <v>1647</v>
      </c>
      <c r="C505" s="3" t="s">
        <v>1648</v>
      </c>
      <c r="D505" s="3" t="s">
        <v>62</v>
      </c>
      <c r="E505" s="3" t="s">
        <v>37</v>
      </c>
      <c r="F505" s="3" t="s">
        <v>1116</v>
      </c>
      <c r="G505" s="3" t="s">
        <v>1313</v>
      </c>
      <c r="H505" s="3" t="s">
        <v>1649</v>
      </c>
      <c r="I505" s="3" t="str">
        <f>HYPERLINK("http://www.jccm.es/sede/tramite/KJO","ADHESION AL CONVENIO FIRMADO EL 28/07/2014 ENTRE LA AGE Y LA JCCM PARA LA PRESTACION MUTUA DE SOLUCIONES DE ADMINISTRACION ELECTRONICA")</f>
        <v>ADHESION AL CONVENIO FIRMADO EL 28/07/2014 ENTRE LA AGE Y LA JCCM PARA LA PRESTACION MUTUA DE SOLUCIONES DE ADMINISTRACION ELECTRONICA</v>
      </c>
      <c r="J505" s="3" t="s">
        <v>41</v>
      </c>
      <c r="K505" s="3" t="s">
        <v>41</v>
      </c>
      <c r="L505" s="3" t="s">
        <v>42</v>
      </c>
      <c r="M505" s="3" t="s">
        <v>41</v>
      </c>
    </row>
    <row r="506" spans="1:13" ht="195.6">
      <c r="A506" s="22" t="s">
        <v>17</v>
      </c>
      <c r="B506" s="3" t="s">
        <v>1650</v>
      </c>
      <c r="C506" s="3" t="s">
        <v>1651</v>
      </c>
      <c r="D506" s="3" t="s">
        <v>45</v>
      </c>
      <c r="E506" s="3" t="s">
        <v>1368</v>
      </c>
      <c r="F506" s="3" t="s">
        <v>1116</v>
      </c>
      <c r="G506" s="3" t="s">
        <v>1117</v>
      </c>
      <c r="H506" s="3" t="s">
        <v>1652</v>
      </c>
      <c r="I506" s="3" t="str">
        <f>HYPERLINK("http://www.jccm.es/sede/tramite/KTQ","ADHESION DE LAS ENTIDADES LOCALES DE CASTILLA-LA MANCHA A LA PLATAFORMA GEISER / ORVE")</f>
        <v>ADHESION DE LAS ENTIDADES LOCALES DE CASTILLA-LA MANCHA A LA PLATAFORMA GEISER / ORVE</v>
      </c>
      <c r="J506" s="3" t="s">
        <v>41</v>
      </c>
      <c r="K506" s="3" t="s">
        <v>41</v>
      </c>
      <c r="L506" s="3" t="s">
        <v>42</v>
      </c>
      <c r="M506" s="3" t="s">
        <v>41</v>
      </c>
    </row>
    <row r="507" spans="1:13" ht="138">
      <c r="A507" s="22" t="s">
        <v>17</v>
      </c>
      <c r="B507" s="3" t="s">
        <v>1653</v>
      </c>
      <c r="C507" s="3" t="s">
        <v>1654</v>
      </c>
      <c r="D507" s="3" t="s">
        <v>1655</v>
      </c>
      <c r="E507" s="3" t="s">
        <v>95</v>
      </c>
      <c r="F507" s="3" t="s">
        <v>1116</v>
      </c>
      <c r="G507" s="3" t="s">
        <v>1169</v>
      </c>
      <c r="H507" s="3" t="s">
        <v>1656</v>
      </c>
      <c r="I507" s="3" t="str">
        <f>HYPERLINK("http://www.jccm.es/sede/tramite/III","IMPUESTO SOBRE DETERMINADAS ACTIVIDADES QUE INCIDEN EN EL MEDIO AMBIENTE")</f>
        <v>IMPUESTO SOBRE DETERMINADAS ACTIVIDADES QUE INCIDEN EN EL MEDIO AMBIENTE</v>
      </c>
      <c r="J507" s="3" t="s">
        <v>41</v>
      </c>
      <c r="K507" s="3" t="s">
        <v>41</v>
      </c>
      <c r="L507" s="3" t="s">
        <v>42</v>
      </c>
      <c r="M507" s="3" t="s">
        <v>41</v>
      </c>
    </row>
    <row r="508" spans="1:13" ht="138">
      <c r="A508" s="22" t="s">
        <v>17</v>
      </c>
      <c r="B508" s="3" t="s">
        <v>1657</v>
      </c>
      <c r="C508" s="3" t="s">
        <v>1658</v>
      </c>
      <c r="D508" s="3" t="s">
        <v>1655</v>
      </c>
      <c r="E508" s="3" t="s">
        <v>95</v>
      </c>
      <c r="F508" s="3" t="s">
        <v>1116</v>
      </c>
      <c r="G508" s="3" t="s">
        <v>1169</v>
      </c>
      <c r="H508" s="3" t="s">
        <v>1659</v>
      </c>
      <c r="I508" s="3" t="str">
        <f>HYPERLINK("http://www.jccm.es/sede/tramite/ILU","TASA FISCAL SOBRE EL JUEGO")</f>
        <v>TASA FISCAL SOBRE EL JUEGO</v>
      </c>
      <c r="J508" s="3" t="s">
        <v>41</v>
      </c>
      <c r="K508" s="3" t="s">
        <v>41</v>
      </c>
      <c r="L508" s="3" t="s">
        <v>42</v>
      </c>
      <c r="M508" s="3" t="s">
        <v>41</v>
      </c>
    </row>
    <row r="509" spans="1:13" ht="138">
      <c r="A509" s="22" t="s">
        <v>17</v>
      </c>
      <c r="B509" s="3" t="s">
        <v>1660</v>
      </c>
      <c r="C509" s="3" t="s">
        <v>1661</v>
      </c>
      <c r="D509" s="3" t="s">
        <v>1655</v>
      </c>
      <c r="E509" s="3" t="s">
        <v>95</v>
      </c>
      <c r="F509" s="3" t="s">
        <v>1116</v>
      </c>
      <c r="G509" s="3" t="s">
        <v>1169</v>
      </c>
      <c r="H509" s="3" t="s">
        <v>1662</v>
      </c>
      <c r="I509" s="3" t="str">
        <f>HYPERLINK("http://www.jccm.es/sede/tramite/ILW","IMPUESTO SOBRE TRANSMISIONES PATRIMONIALES Y ACTOS JURIDICOS DOCUMENTADOS: OPERACIONES SOCIETARIAS")</f>
        <v>IMPUESTO SOBRE TRANSMISIONES PATRIMONIALES Y ACTOS JURIDICOS DOCUMENTADOS: OPERACIONES SOCIETARIAS</v>
      </c>
      <c r="J509" s="3" t="s">
        <v>41</v>
      </c>
      <c r="K509" s="3" t="s">
        <v>41</v>
      </c>
      <c r="L509" s="3" t="s">
        <v>42</v>
      </c>
      <c r="M509" s="3" t="s">
        <v>42</v>
      </c>
    </row>
    <row r="510" spans="1:13" ht="138">
      <c r="A510" s="22" t="s">
        <v>17</v>
      </c>
      <c r="B510" s="3" t="s">
        <v>1663</v>
      </c>
      <c r="C510" s="3" t="s">
        <v>1664</v>
      </c>
      <c r="D510" s="3" t="s">
        <v>1655</v>
      </c>
      <c r="E510" s="3" t="s">
        <v>95</v>
      </c>
      <c r="F510" s="3" t="s">
        <v>1116</v>
      </c>
      <c r="G510" s="3" t="s">
        <v>1169</v>
      </c>
      <c r="H510" s="3" t="s">
        <v>1665</v>
      </c>
      <c r="I510" s="3" t="str">
        <f>HYPERLINK("http://www.jccm.es/sede/tramite/ILX","TASA FISCAL SOBRE RIFAS, TOMBOLAS, APUESTAS Y COMBINACIONES ALEATORIAS")</f>
        <v>TASA FISCAL SOBRE RIFAS, TOMBOLAS, APUESTAS Y COMBINACIONES ALEATORIAS</v>
      </c>
      <c r="J510" s="3" t="s">
        <v>41</v>
      </c>
      <c r="K510" s="3" t="s">
        <v>41</v>
      </c>
      <c r="L510" s="3" t="s">
        <v>42</v>
      </c>
      <c r="M510" s="3" t="s">
        <v>41</v>
      </c>
    </row>
    <row r="511" spans="1:13" ht="138">
      <c r="A511" s="22" t="s">
        <v>17</v>
      </c>
      <c r="B511" s="3" t="s">
        <v>1666</v>
      </c>
      <c r="C511" s="3" t="s">
        <v>1667</v>
      </c>
      <c r="D511" s="3" t="s">
        <v>1655</v>
      </c>
      <c r="E511" s="3" t="s">
        <v>95</v>
      </c>
      <c r="F511" s="3" t="s">
        <v>1116</v>
      </c>
      <c r="G511" s="3" t="s">
        <v>1169</v>
      </c>
      <c r="H511" s="3" t="s">
        <v>1668</v>
      </c>
      <c r="I511" s="3" t="str">
        <f>HYPERLINK("http://www.jccm.es/sede/tramite/IM0","IMPUESTO SOBRE TRANSMISIONES PATRIMONIALES Y ACTOS JURIDICOS DOCUMENTADOS: ACTOS JURIDICOS DOCUMENTADOS")</f>
        <v>IMPUESTO SOBRE TRANSMISIONES PATRIMONIALES Y ACTOS JURIDICOS DOCUMENTADOS: ACTOS JURIDICOS DOCUMENTADOS</v>
      </c>
      <c r="J511" s="3" t="s">
        <v>41</v>
      </c>
      <c r="K511" s="3" t="s">
        <v>41</v>
      </c>
      <c r="L511" s="3" t="s">
        <v>42</v>
      </c>
      <c r="M511" s="3" t="s">
        <v>42</v>
      </c>
    </row>
    <row r="512" spans="1:13" ht="138">
      <c r="A512" s="22" t="s">
        <v>17</v>
      </c>
      <c r="B512" s="3" t="s">
        <v>1669</v>
      </c>
      <c r="C512" s="3" t="s">
        <v>1670</v>
      </c>
      <c r="D512" s="3" t="s">
        <v>1655</v>
      </c>
      <c r="E512" s="3" t="s">
        <v>95</v>
      </c>
      <c r="F512" s="3" t="s">
        <v>1116</v>
      </c>
      <c r="G512" s="3" t="s">
        <v>1169</v>
      </c>
      <c r="H512" s="3" t="s">
        <v>1671</v>
      </c>
      <c r="I512" s="3" t="str">
        <f>HYPERLINK("http://www.jccm.es/sede/tramite/IM3","TRANSMISIONES PATRIMONIALES ONEROSAS")</f>
        <v>TRANSMISIONES PATRIMONIALES ONEROSAS</v>
      </c>
      <c r="J512" s="3" t="s">
        <v>41</v>
      </c>
      <c r="K512" s="3" t="s">
        <v>41</v>
      </c>
      <c r="L512" s="3" t="s">
        <v>42</v>
      </c>
      <c r="M512" s="3" t="s">
        <v>42</v>
      </c>
    </row>
    <row r="513" spans="1:13" ht="138">
      <c r="A513" s="22" t="s">
        <v>17</v>
      </c>
      <c r="B513" s="3" t="s">
        <v>1672</v>
      </c>
      <c r="C513" s="3" t="s">
        <v>1673</v>
      </c>
      <c r="D513" s="3" t="s">
        <v>95</v>
      </c>
      <c r="E513" s="3" t="s">
        <v>95</v>
      </c>
      <c r="F513" s="3" t="s">
        <v>1116</v>
      </c>
      <c r="G513" s="3" t="s">
        <v>1169</v>
      </c>
      <c r="H513" s="3" t="s">
        <v>1674</v>
      </c>
      <c r="I513" s="3" t="str">
        <f>HYPERLINK("http://www.jccm.es/sede/tramite/JP5","IMPUESTO SOBRE SUCESIONES Y DONACIONES: SUCESIONES-AUTOLIQUIDACION DE SUCESIONES.")</f>
        <v>IMPUESTO SOBRE SUCESIONES Y DONACIONES: SUCESIONES-AUTOLIQUIDACION DE SUCESIONES.</v>
      </c>
      <c r="J513" s="3" t="s">
        <v>41</v>
      </c>
      <c r="K513" s="3" t="s">
        <v>41</v>
      </c>
      <c r="L513" s="3" t="s">
        <v>42</v>
      </c>
      <c r="M513" s="3" t="s">
        <v>41</v>
      </c>
    </row>
    <row r="514" spans="1:13" ht="138">
      <c r="A514" s="22" t="s">
        <v>17</v>
      </c>
      <c r="B514" s="3" t="s">
        <v>1675</v>
      </c>
      <c r="C514" s="3" t="s">
        <v>1676</v>
      </c>
      <c r="D514" s="3" t="s">
        <v>95</v>
      </c>
      <c r="E514" s="3" t="s">
        <v>95</v>
      </c>
      <c r="F514" s="3" t="s">
        <v>1116</v>
      </c>
      <c r="G514" s="3" t="s">
        <v>1169</v>
      </c>
      <c r="H514" s="3" t="s">
        <v>1677</v>
      </c>
      <c r="I514" s="3" t="str">
        <f>HYPERLINK("http://www.jccm.es/sede/tramite/JP6","IMPUESTO SOBRE SUCESIONES Y DONACIONES: DONACIONES-AUTOLIQUIDACION DE DONACIONES.")</f>
        <v>IMPUESTO SOBRE SUCESIONES Y DONACIONES: DONACIONES-AUTOLIQUIDACION DE DONACIONES.</v>
      </c>
      <c r="J514" s="3" t="s">
        <v>41</v>
      </c>
      <c r="K514" s="3" t="s">
        <v>41</v>
      </c>
      <c r="L514" s="3" t="s">
        <v>42</v>
      </c>
      <c r="M514" s="3" t="s">
        <v>41</v>
      </c>
    </row>
    <row r="515" spans="1:13" ht="138">
      <c r="A515" s="22" t="s">
        <v>17</v>
      </c>
      <c r="B515" s="3" t="s">
        <v>1678</v>
      </c>
      <c r="C515" s="3" t="s">
        <v>1679</v>
      </c>
      <c r="D515" s="3" t="s">
        <v>327</v>
      </c>
      <c r="E515" s="3" t="s">
        <v>46</v>
      </c>
      <c r="F515" s="3" t="s">
        <v>1116</v>
      </c>
      <c r="G515" s="3" t="s">
        <v>1169</v>
      </c>
      <c r="H515" s="3" t="s">
        <v>1680</v>
      </c>
      <c r="I515" s="3" t="str">
        <f>HYPERLINK("http://www.jccm.es/sede/tramite/KCJ","SOLICITUD PARA EL RECONOCIMIENTO DEL DERECHO A LA DEVOLUCION DE INGRESOS INDEBIDOS")</f>
        <v>SOLICITUD PARA EL RECONOCIMIENTO DEL DERECHO A LA DEVOLUCION DE INGRESOS INDEBIDOS</v>
      </c>
      <c r="J515" s="3" t="s">
        <v>42</v>
      </c>
      <c r="K515" s="3" t="s">
        <v>41</v>
      </c>
      <c r="L515" s="3" t="s">
        <v>42</v>
      </c>
      <c r="M515" s="3" t="s">
        <v>41</v>
      </c>
    </row>
    <row r="516" spans="1:13" ht="138">
      <c r="A516" s="22" t="s">
        <v>17</v>
      </c>
      <c r="B516" s="3" t="s">
        <v>1681</v>
      </c>
      <c r="C516" s="3" t="s">
        <v>1682</v>
      </c>
      <c r="D516" s="3" t="s">
        <v>1683</v>
      </c>
      <c r="E516" s="3" t="s">
        <v>46</v>
      </c>
      <c r="F516" s="3" t="s">
        <v>1116</v>
      </c>
      <c r="G516" s="3" t="s">
        <v>1169</v>
      </c>
      <c r="H516" s="3" t="s">
        <v>1684</v>
      </c>
      <c r="I516" s="3" t="str">
        <f>HYPERLINK("http://www.jccm.es/sede/tramite/KN4","RECURSO DE REPOSICION EN MATERIA TRIBUTARIA Y RECAUDATORIA")</f>
        <v>RECURSO DE REPOSICION EN MATERIA TRIBUTARIA Y RECAUDATORIA</v>
      </c>
      <c r="J516" s="3" t="s">
        <v>42</v>
      </c>
      <c r="K516" s="3" t="s">
        <v>41</v>
      </c>
      <c r="L516" s="3" t="s">
        <v>42</v>
      </c>
      <c r="M516" s="3" t="s">
        <v>41</v>
      </c>
    </row>
    <row r="517" spans="1:13" ht="138">
      <c r="A517" s="22" t="s">
        <v>17</v>
      </c>
      <c r="B517" s="3" t="s">
        <v>1685</v>
      </c>
      <c r="C517" s="3" t="s">
        <v>1686</v>
      </c>
      <c r="D517" s="3" t="s">
        <v>327</v>
      </c>
      <c r="E517" s="3" t="s">
        <v>46</v>
      </c>
      <c r="F517" s="3" t="s">
        <v>1116</v>
      </c>
      <c r="G517" s="3" t="s">
        <v>1169</v>
      </c>
      <c r="H517" s="3" t="s">
        <v>1687</v>
      </c>
      <c r="I517" s="3" t="str">
        <f>HYPERLINK("http://www.jccm.es/sede/tramite/KN5","COMPENSACION DE DEUDAS")</f>
        <v>COMPENSACION DE DEUDAS</v>
      </c>
      <c r="J517" s="3" t="s">
        <v>42</v>
      </c>
      <c r="K517" s="3" t="s">
        <v>41</v>
      </c>
      <c r="L517" s="3" t="s">
        <v>42</v>
      </c>
      <c r="M517" s="3" t="s">
        <v>41</v>
      </c>
    </row>
    <row r="518" spans="1:13" ht="138">
      <c r="A518" s="22" t="s">
        <v>17</v>
      </c>
      <c r="B518" s="3" t="s">
        <v>1688</v>
      </c>
      <c r="C518" s="3" t="s">
        <v>1689</v>
      </c>
      <c r="D518" s="3" t="s">
        <v>327</v>
      </c>
      <c r="E518" s="3" t="s">
        <v>1368</v>
      </c>
      <c r="F518" s="3" t="s">
        <v>1116</v>
      </c>
      <c r="G518" s="3" t="s">
        <v>1169</v>
      </c>
      <c r="H518" s="3" t="s">
        <v>1690</v>
      </c>
      <c r="I518" s="3" t="str">
        <f>HYPERLINK("http://www.jccm.es/sede/tramite/KN6","TASACION PERICIAL CONTRADICTORIA")</f>
        <v>TASACION PERICIAL CONTRADICTORIA</v>
      </c>
      <c r="J518" s="3" t="s">
        <v>42</v>
      </c>
      <c r="K518" s="3" t="s">
        <v>41</v>
      </c>
      <c r="L518" s="3" t="s">
        <v>42</v>
      </c>
      <c r="M518" s="3" t="s">
        <v>41</v>
      </c>
    </row>
    <row r="519" spans="1:13" ht="138">
      <c r="A519" s="22" t="s">
        <v>17</v>
      </c>
      <c r="B519" s="3" t="s">
        <v>1691</v>
      </c>
      <c r="C519" s="3" t="s">
        <v>1692</v>
      </c>
      <c r="D519" s="3" t="s">
        <v>1693</v>
      </c>
      <c r="E519" s="3" t="s">
        <v>46</v>
      </c>
      <c r="F519" s="3" t="s">
        <v>1116</v>
      </c>
      <c r="G519" s="3" t="s">
        <v>1169</v>
      </c>
      <c r="H519" s="3" t="s">
        <v>1694</v>
      </c>
      <c r="I519" s="3" t="str">
        <f>HYPERLINK("http://www.jccm.es/sede/tramite/KNY","INTERPOSICION DE RECURSO DE EJECUCION EN VIA ECONOMICO-ADMINISTRATIVA EN MATERIA DE TRIBUTOS CEDIDOS.")</f>
        <v>INTERPOSICION DE RECURSO DE EJECUCION EN VIA ECONOMICO-ADMINISTRATIVA EN MATERIA DE TRIBUTOS CEDIDOS.</v>
      </c>
      <c r="J519" s="3" t="s">
        <v>42</v>
      </c>
      <c r="K519" s="3" t="s">
        <v>41</v>
      </c>
      <c r="L519" s="3" t="s">
        <v>42</v>
      </c>
      <c r="M519" s="3" t="s">
        <v>41</v>
      </c>
    </row>
    <row r="520" spans="1:13" ht="183.95">
      <c r="A520" s="22" t="s">
        <v>17</v>
      </c>
      <c r="B520" s="3" t="s">
        <v>1695</v>
      </c>
      <c r="C520" s="3" t="s">
        <v>1696</v>
      </c>
      <c r="D520" s="3" t="s">
        <v>1697</v>
      </c>
      <c r="E520" s="3" t="s">
        <v>46</v>
      </c>
      <c r="F520" s="3" t="s">
        <v>1116</v>
      </c>
      <c r="G520" s="3" t="s">
        <v>1169</v>
      </c>
      <c r="H520" s="3" t="s">
        <v>1698</v>
      </c>
      <c r="I520" s="3" t="str">
        <f>HYPERLINK("http://www.jccm.es/sede/tramite/KNZ","INTERPOSICION DE RECLAMACION ECONOMICO-ADMINISTRATIVA EN MATERIA DE TRIBUTOS CEDIDOS")</f>
        <v>INTERPOSICION DE RECLAMACION ECONOMICO-ADMINISTRATIVA EN MATERIA DE TRIBUTOS CEDIDOS</v>
      </c>
      <c r="J520" s="3" t="s">
        <v>42</v>
      </c>
      <c r="K520" s="3" t="s">
        <v>41</v>
      </c>
      <c r="L520" s="3" t="s">
        <v>42</v>
      </c>
      <c r="M520" s="3" t="s">
        <v>41</v>
      </c>
    </row>
    <row r="521" spans="1:13" ht="195.6">
      <c r="A521" s="22" t="s">
        <v>17</v>
      </c>
      <c r="B521" s="3" t="s">
        <v>1699</v>
      </c>
      <c r="C521" s="3" t="s">
        <v>1700</v>
      </c>
      <c r="D521" s="3" t="s">
        <v>1697</v>
      </c>
      <c r="E521" s="3" t="s">
        <v>46</v>
      </c>
      <c r="F521" s="3" t="s">
        <v>1116</v>
      </c>
      <c r="G521" s="3" t="s">
        <v>1169</v>
      </c>
      <c r="H521" s="3" t="s">
        <v>1701</v>
      </c>
      <c r="I521" s="3" t="str">
        <f>HYPERLINK("http://www.jccm.es/sede/tramite/KOU","INTERPOSICION DE RECLAMACION ECONOMICO-ADMINISTRATIVA EN MATERIA DE RECURSOS PROPIOS (EXCEPTO TRIBUTOS CEDIDOS)")</f>
        <v>INTERPOSICION DE RECLAMACION ECONOMICO-ADMINISTRATIVA EN MATERIA DE RECURSOS PROPIOS (EXCEPTO TRIBUTOS CEDIDOS)</v>
      </c>
      <c r="J521" s="3" t="s">
        <v>42</v>
      </c>
      <c r="K521" s="3" t="s">
        <v>41</v>
      </c>
      <c r="L521" s="3" t="s">
        <v>42</v>
      </c>
      <c r="M521" s="3" t="s">
        <v>41</v>
      </c>
    </row>
    <row r="522" spans="1:13" ht="138">
      <c r="A522" s="22" t="s">
        <v>17</v>
      </c>
      <c r="B522" s="3" t="s">
        <v>1702</v>
      </c>
      <c r="C522" s="3" t="s">
        <v>1703</v>
      </c>
      <c r="D522" s="3" t="s">
        <v>45</v>
      </c>
      <c r="E522" s="3" t="s">
        <v>37</v>
      </c>
      <c r="F522" s="3" t="s">
        <v>1116</v>
      </c>
      <c r="G522" s="3" t="s">
        <v>1169</v>
      </c>
      <c r="H522" s="3" t="s">
        <v>1704</v>
      </c>
      <c r="I522" s="3" t="str">
        <f>HYPERLINK("http://www.jccm.es/sede/tramite/L9U","ADHESION INDIVIDUALIZADA A UN ACUERDO O CONVENIO DE COLABORACION SOCIAL EN LA APLICACION DE LOS TRIBUTOS")</f>
        <v>ADHESION INDIVIDUALIZADA A UN ACUERDO O CONVENIO DE COLABORACION SOCIAL EN LA APLICACION DE LOS TRIBUTOS</v>
      </c>
      <c r="J522" s="3" t="s">
        <v>41</v>
      </c>
      <c r="K522" s="3" t="s">
        <v>41</v>
      </c>
      <c r="L522" s="3" t="s">
        <v>42</v>
      </c>
      <c r="M522" s="3" t="s">
        <v>41</v>
      </c>
    </row>
    <row r="523" spans="1:13" ht="138">
      <c r="A523" s="22" t="s">
        <v>17</v>
      </c>
      <c r="B523" s="3" t="s">
        <v>1705</v>
      </c>
      <c r="C523" s="3" t="s">
        <v>1706</v>
      </c>
      <c r="D523" s="3" t="s">
        <v>45</v>
      </c>
      <c r="E523" s="3" t="s">
        <v>46</v>
      </c>
      <c r="F523" s="3" t="s">
        <v>1116</v>
      </c>
      <c r="G523" s="3" t="s">
        <v>1169</v>
      </c>
      <c r="H523" s="3" t="s">
        <v>1707</v>
      </c>
      <c r="I523" s="3" t="str">
        <f>HYPERLINK("http://www.jccm.es/sede/tramite/K87","INFORMACION SOBRE EL VALOR A EFECTOS FISCALES DE EDIFICACIONES")</f>
        <v>INFORMACION SOBRE EL VALOR A EFECTOS FISCALES DE EDIFICACIONES</v>
      </c>
      <c r="J523" s="3" t="s">
        <v>42</v>
      </c>
      <c r="K523" s="3" t="s">
        <v>41</v>
      </c>
      <c r="L523" s="3" t="s">
        <v>42</v>
      </c>
      <c r="M523" s="3" t="s">
        <v>41</v>
      </c>
    </row>
    <row r="524" spans="1:13" ht="138">
      <c r="A524" s="22" t="s">
        <v>17</v>
      </c>
      <c r="B524" s="3" t="s">
        <v>1708</v>
      </c>
      <c r="C524" s="3" t="s">
        <v>1709</v>
      </c>
      <c r="D524" s="3" t="s">
        <v>45</v>
      </c>
      <c r="E524" s="3" t="s">
        <v>46</v>
      </c>
      <c r="F524" s="3" t="s">
        <v>1116</v>
      </c>
      <c r="G524" s="3" t="s">
        <v>1169</v>
      </c>
      <c r="H524" s="3" t="s">
        <v>1710</v>
      </c>
      <c r="I524" s="3" t="str">
        <f>HYPERLINK("http://www.jccm.es/sede/tramite/K88","INFORMACION SOBRE EL VALOR A EFECTOS FISCALES DE SUELOS SIN EDIFICAR")</f>
        <v>INFORMACION SOBRE EL VALOR A EFECTOS FISCALES DE SUELOS SIN EDIFICAR</v>
      </c>
      <c r="J524" s="3" t="s">
        <v>42</v>
      </c>
      <c r="K524" s="3" t="s">
        <v>41</v>
      </c>
      <c r="L524" s="3" t="s">
        <v>42</v>
      </c>
      <c r="M524" s="3" t="s">
        <v>41</v>
      </c>
    </row>
    <row r="525" spans="1:13" ht="138">
      <c r="A525" s="22" t="s">
        <v>17</v>
      </c>
      <c r="B525" s="3" t="s">
        <v>1711</v>
      </c>
      <c r="C525" s="3" t="s">
        <v>1712</v>
      </c>
      <c r="D525" s="3" t="s">
        <v>327</v>
      </c>
      <c r="E525" s="3" t="s">
        <v>46</v>
      </c>
      <c r="F525" s="3" t="s">
        <v>1116</v>
      </c>
      <c r="G525" s="3" t="s">
        <v>1169</v>
      </c>
      <c r="H525" s="3" t="s">
        <v>1713</v>
      </c>
      <c r="I525" s="3" t="str">
        <f>HYPERLINK("http://www.jccm.es/sede/tramite/KEB","APLAZAMIENTO O FRACCIONAMIENTO DEL PAGO DE DEUDAS DERIVADAS DE TRIBUTOS CEDIDOS")</f>
        <v>APLAZAMIENTO O FRACCIONAMIENTO DEL PAGO DE DEUDAS DERIVADAS DE TRIBUTOS CEDIDOS</v>
      </c>
      <c r="J525" s="3" t="s">
        <v>42</v>
      </c>
      <c r="K525" s="3" t="s">
        <v>41</v>
      </c>
      <c r="L525" s="3" t="s">
        <v>41</v>
      </c>
      <c r="M525" s="3" t="s">
        <v>41</v>
      </c>
    </row>
    <row r="526" spans="1:13" ht="138">
      <c r="A526" s="22" t="s">
        <v>17</v>
      </c>
      <c r="B526" s="3" t="s">
        <v>1714</v>
      </c>
      <c r="C526" s="3" t="s">
        <v>1715</v>
      </c>
      <c r="D526" s="3" t="s">
        <v>327</v>
      </c>
      <c r="E526" s="3" t="s">
        <v>46</v>
      </c>
      <c r="F526" s="3" t="s">
        <v>1116</v>
      </c>
      <c r="G526" s="3" t="s">
        <v>1169</v>
      </c>
      <c r="H526" s="3" t="s">
        <v>1716</v>
      </c>
      <c r="I526" s="3" t="str">
        <f>HYPERLINK("http://www.jccm.es/sede/tramite/KEC","APLAZAMIENTO O FRACCIONAMIENTO DEL PAGO DE DEUDAS (EXCEPTO TRIBUTOS CEDIDOS)")</f>
        <v>APLAZAMIENTO O FRACCIONAMIENTO DEL PAGO DE DEUDAS (EXCEPTO TRIBUTOS CEDIDOS)</v>
      </c>
      <c r="J526" s="3" t="s">
        <v>42</v>
      </c>
      <c r="K526" s="3" t="s">
        <v>41</v>
      </c>
      <c r="L526" s="3" t="s">
        <v>41</v>
      </c>
      <c r="M526" s="3" t="s">
        <v>41</v>
      </c>
    </row>
    <row r="527" spans="1:13" ht="114.95">
      <c r="A527" s="22" t="s">
        <v>17</v>
      </c>
      <c r="B527" s="3" t="s">
        <v>1717</v>
      </c>
      <c r="C527" s="3" t="s">
        <v>1718</v>
      </c>
      <c r="D527" s="3" t="s">
        <v>1719</v>
      </c>
      <c r="E527" s="3" t="s">
        <v>46</v>
      </c>
      <c r="F527" s="3" t="s">
        <v>1116</v>
      </c>
      <c r="G527" s="3" t="s">
        <v>1201</v>
      </c>
      <c r="H527" s="3" t="s">
        <v>1720</v>
      </c>
      <c r="I527" s="3" t="str">
        <f>HYPERLINK("http://www.jccm.es/sede/tramite/J0K","CURSOS DE FORMACION A DISTANCIA Y ON LINE CONVOCADOS POR LA EAR")</f>
        <v>CURSOS DE FORMACION A DISTANCIA Y ON LINE CONVOCADOS POR LA EAR</v>
      </c>
      <c r="J527" s="3" t="s">
        <v>41</v>
      </c>
      <c r="K527" s="3" t="s">
        <v>41</v>
      </c>
      <c r="L527" s="3" t="s">
        <v>42</v>
      </c>
      <c r="M527" s="3" t="s">
        <v>41</v>
      </c>
    </row>
    <row r="528" spans="1:13" ht="368.1">
      <c r="A528" s="22" t="s">
        <v>17</v>
      </c>
      <c r="B528" s="3" t="s">
        <v>1721</v>
      </c>
      <c r="C528" s="3" t="s">
        <v>1722</v>
      </c>
      <c r="D528" s="3" t="s">
        <v>1723</v>
      </c>
      <c r="E528" s="3" t="s">
        <v>46</v>
      </c>
      <c r="F528" s="3" t="s">
        <v>1116</v>
      </c>
      <c r="G528" s="3" t="s">
        <v>1387</v>
      </c>
      <c r="H528" s="3" t="s">
        <v>1724</v>
      </c>
      <c r="I528" s="3" t="str">
        <f>HYPERLINK("http://www.jccm.es/sede/tramite/F25","CONVOCATORIA DEL PROGRAMA DE FORMACION EN IDIOMAS, DENTRO DEL PLAN DE FORMACION PARA EL PERSONAL DE LA ADMINISTRACION DE LA JUNTA DE COMUNIDADES DE CASTILLA-LA MANCHA.")</f>
        <v>CONVOCATORIA DEL PROGRAMA DE FORMACION EN IDIOMAS, DENTRO DEL PLAN DE FORMACION PARA EL PERSONAL DE LA ADMINISTRACION DE LA JUNTA DE COMUNIDADES DE CASTILLA-LA MANCHA.</v>
      </c>
      <c r="J528" s="3" t="s">
        <v>41</v>
      </c>
      <c r="K528" s="3" t="s">
        <v>41</v>
      </c>
      <c r="L528" s="3" t="s">
        <v>42</v>
      </c>
      <c r="M528" s="3" t="s">
        <v>41</v>
      </c>
    </row>
    <row r="529" spans="1:13" ht="114.95">
      <c r="A529" s="22" t="s">
        <v>17</v>
      </c>
      <c r="B529" s="3" t="s">
        <v>1725</v>
      </c>
      <c r="C529" s="3" t="s">
        <v>1726</v>
      </c>
      <c r="D529" s="3" t="s">
        <v>1727</v>
      </c>
      <c r="E529" s="3" t="s">
        <v>46</v>
      </c>
      <c r="F529" s="3" t="s">
        <v>1116</v>
      </c>
      <c r="G529" s="3" t="s">
        <v>1201</v>
      </c>
      <c r="H529" s="3" t="s">
        <v>1728</v>
      </c>
      <c r="I529" s="3" t="str">
        <f>HYPERLINK("http://www.jccm.es/sede/tramite/F29","CURSOS DE OFIMATICA")</f>
        <v>CURSOS DE OFIMATICA</v>
      </c>
      <c r="J529" s="3" t="s">
        <v>41</v>
      </c>
      <c r="K529" s="3" t="s">
        <v>41</v>
      </c>
      <c r="L529" s="3" t="s">
        <v>42</v>
      </c>
      <c r="M529" s="3" t="s">
        <v>41</v>
      </c>
    </row>
    <row r="530" spans="1:13" ht="114.95">
      <c r="A530" s="22" t="s">
        <v>17</v>
      </c>
      <c r="B530" s="3" t="s">
        <v>1729</v>
      </c>
      <c r="C530" s="3" t="s">
        <v>1730</v>
      </c>
      <c r="D530" s="3" t="s">
        <v>1727</v>
      </c>
      <c r="E530" s="3" t="s">
        <v>46</v>
      </c>
      <c r="F530" s="3" t="s">
        <v>1116</v>
      </c>
      <c r="G530" s="3" t="s">
        <v>1201</v>
      </c>
      <c r="H530" s="3" t="s">
        <v>1731</v>
      </c>
      <c r="I530" s="3" t="str">
        <f>HYPERLINK("http://www.jccm.es/sede/tramite/F26","CURSOS DE PERFECCIONAMIENTO GENERAL")</f>
        <v>CURSOS DE PERFECCIONAMIENTO GENERAL</v>
      </c>
      <c r="J530" s="3" t="s">
        <v>41</v>
      </c>
      <c r="K530" s="3" t="s">
        <v>41</v>
      </c>
      <c r="L530" s="3" t="s">
        <v>42</v>
      </c>
      <c r="M530" s="3" t="s">
        <v>41</v>
      </c>
    </row>
    <row r="531" spans="1:13" ht="114.95">
      <c r="A531" s="22" t="s">
        <v>17</v>
      </c>
      <c r="B531" s="3" t="s">
        <v>1732</v>
      </c>
      <c r="C531" s="3" t="s">
        <v>1733</v>
      </c>
      <c r="D531" s="3" t="s">
        <v>51</v>
      </c>
      <c r="E531" s="3" t="s">
        <v>46</v>
      </c>
      <c r="F531" s="3" t="s">
        <v>1116</v>
      </c>
      <c r="G531" s="3" t="s">
        <v>1201</v>
      </c>
      <c r="H531" s="3" t="s">
        <v>1734</v>
      </c>
      <c r="I531" s="3" t="str">
        <f>HYPERLINK("http://www.jccm.es/sede/tramite/F31","RECONOCIMIENTO DE SERVICIOS PREVIOS A EFECTOS DE TRIENIOS")</f>
        <v>RECONOCIMIENTO DE SERVICIOS PREVIOS A EFECTOS DE TRIENIOS</v>
      </c>
      <c r="J531" s="3" t="s">
        <v>42</v>
      </c>
      <c r="K531" s="3" t="s">
        <v>41</v>
      </c>
      <c r="L531" s="3" t="s">
        <v>41</v>
      </c>
      <c r="M531" s="3" t="s">
        <v>41</v>
      </c>
    </row>
    <row r="532" spans="1:13" ht="114.95">
      <c r="A532" s="22" t="s">
        <v>17</v>
      </c>
      <c r="B532" s="3" t="s">
        <v>1735</v>
      </c>
      <c r="C532" s="3" t="s">
        <v>1736</v>
      </c>
      <c r="D532" s="3" t="s">
        <v>62</v>
      </c>
      <c r="E532" s="3" t="s">
        <v>46</v>
      </c>
      <c r="F532" s="3" t="s">
        <v>1116</v>
      </c>
      <c r="G532" s="3" t="s">
        <v>1201</v>
      </c>
      <c r="H532" s="3" t="s">
        <v>1737</v>
      </c>
      <c r="I532" s="3" t="str">
        <f>HYPERLINK("http://www.jccm.es/sede/tramite/F35","RECONOCIMIENTO DE TRIENIOS. SOLICITUD")</f>
        <v>RECONOCIMIENTO DE TRIENIOS. SOLICITUD</v>
      </c>
      <c r="J532" s="3" t="s">
        <v>42</v>
      </c>
      <c r="K532" s="3" t="s">
        <v>41</v>
      </c>
      <c r="L532" s="3" t="s">
        <v>42</v>
      </c>
      <c r="M532" s="3" t="s">
        <v>41</v>
      </c>
    </row>
    <row r="533" spans="1:13" ht="114.95">
      <c r="A533" s="22" t="s">
        <v>17</v>
      </c>
      <c r="B533" s="3" t="s">
        <v>1738</v>
      </c>
      <c r="C533" s="3" t="s">
        <v>1739</v>
      </c>
      <c r="D533" s="3" t="s">
        <v>62</v>
      </c>
      <c r="E533" s="3" t="s">
        <v>37</v>
      </c>
      <c r="F533" s="3" t="s">
        <v>1116</v>
      </c>
      <c r="G533" s="3" t="s">
        <v>1201</v>
      </c>
      <c r="H533" s="3" t="s">
        <v>1740</v>
      </c>
      <c r="I533" s="3" t="str">
        <f>HYPERLINK("http://www.jccm.es/sede/tramite/F46","EXCEDENCIA POR CUIDADO DE FAMILIARES PERSONAL FUNCIONARIO")</f>
        <v>EXCEDENCIA POR CUIDADO DE FAMILIARES PERSONAL FUNCIONARIO</v>
      </c>
      <c r="J533" s="3" t="s">
        <v>42</v>
      </c>
      <c r="K533" s="3" t="s">
        <v>41</v>
      </c>
      <c r="L533" s="3" t="s">
        <v>42</v>
      </c>
      <c r="M533" s="3" t="s">
        <v>41</v>
      </c>
    </row>
    <row r="534" spans="1:13" ht="114.95">
      <c r="A534" s="22" t="s">
        <v>17</v>
      </c>
      <c r="B534" s="3" t="s">
        <v>1741</v>
      </c>
      <c r="C534" s="3" t="s">
        <v>1742</v>
      </c>
      <c r="D534" s="3" t="s">
        <v>62</v>
      </c>
      <c r="E534" s="3" t="s">
        <v>46</v>
      </c>
      <c r="F534" s="3" t="s">
        <v>1116</v>
      </c>
      <c r="G534" s="3" t="s">
        <v>1201</v>
      </c>
      <c r="H534" s="3" t="s">
        <v>1743</v>
      </c>
      <c r="I534" s="3" t="str">
        <f>HYPERLINK("http://www.jccm.es/sede/tramite/F45","EXCEDENCIA VOLUNTARIA POR AGRUPACION FAMILIAR PERSONAL FUNCIONARIO")</f>
        <v>EXCEDENCIA VOLUNTARIA POR AGRUPACION FAMILIAR PERSONAL FUNCIONARIO</v>
      </c>
      <c r="J534" s="3" t="s">
        <v>42</v>
      </c>
      <c r="K534" s="3" t="s">
        <v>41</v>
      </c>
      <c r="L534" s="3" t="s">
        <v>42</v>
      </c>
      <c r="M534" s="3" t="s">
        <v>41</v>
      </c>
    </row>
    <row r="535" spans="1:13" ht="114.95">
      <c r="A535" s="22" t="s">
        <v>17</v>
      </c>
      <c r="B535" s="3" t="s">
        <v>1744</v>
      </c>
      <c r="C535" s="3" t="s">
        <v>1745</v>
      </c>
      <c r="D535" s="3" t="s">
        <v>62</v>
      </c>
      <c r="E535" s="3" t="s">
        <v>37</v>
      </c>
      <c r="F535" s="3" t="s">
        <v>1116</v>
      </c>
      <c r="G535" s="3" t="s">
        <v>1201</v>
      </c>
      <c r="H535" s="3" t="s">
        <v>1746</v>
      </c>
      <c r="I535" s="3" t="str">
        <f>HYPERLINK("http://www.jccm.es/sede/tramite/F44","EXCEDENCIA VOLUNTARIA POR INTERES PARTICULAR PERSONAL FUNCIONARIO")</f>
        <v>EXCEDENCIA VOLUNTARIA POR INTERES PARTICULAR PERSONAL FUNCIONARIO</v>
      </c>
      <c r="J535" s="3" t="s">
        <v>42</v>
      </c>
      <c r="K535" s="3" t="s">
        <v>41</v>
      </c>
      <c r="L535" s="3" t="s">
        <v>42</v>
      </c>
      <c r="M535" s="3" t="s">
        <v>41</v>
      </c>
    </row>
    <row r="536" spans="1:13" ht="138">
      <c r="A536" s="22" t="s">
        <v>17</v>
      </c>
      <c r="B536" s="3" t="s">
        <v>1747</v>
      </c>
      <c r="C536" s="3" t="s">
        <v>1748</v>
      </c>
      <c r="D536" s="3" t="s">
        <v>62</v>
      </c>
      <c r="E536" s="3" t="s">
        <v>46</v>
      </c>
      <c r="F536" s="3" t="s">
        <v>1116</v>
      </c>
      <c r="G536" s="3" t="s">
        <v>1201</v>
      </c>
      <c r="H536" s="3" t="s">
        <v>1749</v>
      </c>
      <c r="I536" s="3" t="str">
        <f>HYPERLINK("http://www.jccm.es/sede/tramite/F43","EXCEDENCIA VOLUNTARIA POR PRESTACION DE SERVICIOS EN EL SECTOR PUBLICO PERSONAL FUNCIONARIO")</f>
        <v>EXCEDENCIA VOLUNTARIA POR PRESTACION DE SERVICIOS EN EL SECTOR PUBLICO PERSONAL FUNCIONARIO</v>
      </c>
      <c r="J536" s="3" t="s">
        <v>42</v>
      </c>
      <c r="K536" s="3" t="s">
        <v>41</v>
      </c>
      <c r="L536" s="3" t="s">
        <v>42</v>
      </c>
      <c r="M536" s="3" t="s">
        <v>41</v>
      </c>
    </row>
    <row r="537" spans="1:13" ht="114.95">
      <c r="A537" s="22" t="s">
        <v>17</v>
      </c>
      <c r="B537" s="3" t="s">
        <v>1750</v>
      </c>
      <c r="C537" s="3" t="s">
        <v>1751</v>
      </c>
      <c r="D537" s="3" t="s">
        <v>62</v>
      </c>
      <c r="E537" s="3" t="s">
        <v>46</v>
      </c>
      <c r="F537" s="3" t="s">
        <v>1116</v>
      </c>
      <c r="G537" s="3" t="s">
        <v>1201</v>
      </c>
      <c r="H537" s="3" t="s">
        <v>1752</v>
      </c>
      <c r="I537" s="3" t="str">
        <f>HYPERLINK("http://www.jccm.es/sede/tramite/F58","JUBILACION ANTICIPADA VOLUNTARIA PERSONAL FUNCIONARIO REGIMEN SEGURIDAD SOCIAL")</f>
        <v>JUBILACION ANTICIPADA VOLUNTARIA PERSONAL FUNCIONARIO REGIMEN SEGURIDAD SOCIAL</v>
      </c>
      <c r="J537" s="3" t="s">
        <v>42</v>
      </c>
      <c r="K537" s="3" t="s">
        <v>41</v>
      </c>
      <c r="L537" s="3" t="s">
        <v>42</v>
      </c>
      <c r="M537" s="3" t="s">
        <v>41</v>
      </c>
    </row>
    <row r="538" spans="1:13" ht="114.95">
      <c r="A538" s="22" t="s">
        <v>17</v>
      </c>
      <c r="B538" s="3" t="s">
        <v>1753</v>
      </c>
      <c r="C538" s="3" t="s">
        <v>1754</v>
      </c>
      <c r="D538" s="3" t="s">
        <v>51</v>
      </c>
      <c r="E538" s="3" t="s">
        <v>46</v>
      </c>
      <c r="F538" s="3" t="s">
        <v>1116</v>
      </c>
      <c r="G538" s="3" t="s">
        <v>1201</v>
      </c>
      <c r="H538" s="3" t="s">
        <v>1755</v>
      </c>
      <c r="I538" s="3" t="str">
        <f>HYPERLINK("http://www.jccm.es/sede/tramite/F52","RECONOCIMIENTO DE GRADO PERSONAL FUNCIONARIO")</f>
        <v>RECONOCIMIENTO DE GRADO PERSONAL FUNCIONARIO</v>
      </c>
      <c r="J538" s="3" t="s">
        <v>42</v>
      </c>
      <c r="K538" s="3" t="s">
        <v>41</v>
      </c>
      <c r="L538" s="3" t="s">
        <v>42</v>
      </c>
      <c r="M538" s="3" t="s">
        <v>41</v>
      </c>
    </row>
    <row r="539" spans="1:13" ht="114.95">
      <c r="A539" s="22" t="s">
        <v>17</v>
      </c>
      <c r="B539" s="3" t="s">
        <v>1756</v>
      </c>
      <c r="C539" s="3" t="s">
        <v>1757</v>
      </c>
      <c r="D539" s="3" t="s">
        <v>62</v>
      </c>
      <c r="E539" s="3" t="s">
        <v>37</v>
      </c>
      <c r="F539" s="3" t="s">
        <v>1116</v>
      </c>
      <c r="G539" s="3" t="s">
        <v>1201</v>
      </c>
      <c r="H539" s="3" t="s">
        <v>1758</v>
      </c>
      <c r="I539" s="3" t="str">
        <f>HYPERLINK("http://www.jccm.es/sede/tramite/F33","REINGRESO A SERVICIO ACTIVO CON RESERVA DE PLAZA PERSONAL FUNCIONARIO")</f>
        <v>REINGRESO A SERVICIO ACTIVO CON RESERVA DE PLAZA PERSONAL FUNCIONARIO</v>
      </c>
      <c r="J539" s="3" t="s">
        <v>42</v>
      </c>
      <c r="K539" s="3" t="s">
        <v>41</v>
      </c>
      <c r="L539" s="3" t="s">
        <v>42</v>
      </c>
      <c r="M539" s="3" t="s">
        <v>41</v>
      </c>
    </row>
    <row r="540" spans="1:13" ht="114.95">
      <c r="A540" s="22" t="s">
        <v>17</v>
      </c>
      <c r="B540" s="3" t="s">
        <v>1759</v>
      </c>
      <c r="C540" s="3" t="s">
        <v>1760</v>
      </c>
      <c r="D540" s="3" t="s">
        <v>62</v>
      </c>
      <c r="E540" s="3" t="s">
        <v>46</v>
      </c>
      <c r="F540" s="3" t="s">
        <v>1116</v>
      </c>
      <c r="G540" s="3" t="s">
        <v>1201</v>
      </c>
      <c r="H540" s="3" t="s">
        <v>1761</v>
      </c>
      <c r="I540" s="3" t="str">
        <f>HYPERLINK("http://www.jccm.es/sede/tramite/F49","SITUACION DE SERVICIOS ESPECIALES PERSONAL FUNCIONARIO")</f>
        <v>SITUACION DE SERVICIOS ESPECIALES PERSONAL FUNCIONARIO</v>
      </c>
      <c r="J540" s="3" t="s">
        <v>42</v>
      </c>
      <c r="K540" s="3" t="s">
        <v>41</v>
      </c>
      <c r="L540" s="3" t="s">
        <v>42</v>
      </c>
      <c r="M540" s="3" t="s">
        <v>41</v>
      </c>
    </row>
    <row r="541" spans="1:13" ht="138">
      <c r="A541" s="22" t="s">
        <v>17</v>
      </c>
      <c r="B541" s="3" t="s">
        <v>1762</v>
      </c>
      <c r="C541" s="3" t="s">
        <v>1763</v>
      </c>
      <c r="D541" s="3" t="s">
        <v>62</v>
      </c>
      <c r="E541" s="3" t="s">
        <v>46</v>
      </c>
      <c r="F541" s="3" t="s">
        <v>1116</v>
      </c>
      <c r="G541" s="3" t="s">
        <v>1201</v>
      </c>
      <c r="H541" s="3" t="s">
        <v>1764</v>
      </c>
      <c r="I541" s="3" t="str">
        <f>HYPERLINK("http://www.jccm.es/sede/tramite/F41","DECLARACION EN SITUACION DE SERVICIO EN OTRA ADMINISTRACION PUBLICA")</f>
        <v>DECLARACION EN SITUACION DE SERVICIO EN OTRA ADMINISTRACION PUBLICA</v>
      </c>
      <c r="J541" s="3" t="s">
        <v>42</v>
      </c>
      <c r="K541" s="3" t="s">
        <v>41</v>
      </c>
      <c r="L541" s="3" t="s">
        <v>42</v>
      </c>
      <c r="M541" s="3" t="s">
        <v>41</v>
      </c>
    </row>
    <row r="542" spans="1:13" ht="114.95">
      <c r="A542" s="22" t="s">
        <v>17</v>
      </c>
      <c r="B542" s="3" t="s">
        <v>1765</v>
      </c>
      <c r="C542" s="3" t="s">
        <v>1766</v>
      </c>
      <c r="D542" s="3" t="s">
        <v>45</v>
      </c>
      <c r="E542" s="3" t="s">
        <v>46</v>
      </c>
      <c r="F542" s="3" t="s">
        <v>1116</v>
      </c>
      <c r="G542" s="3" t="s">
        <v>1201</v>
      </c>
      <c r="H542" s="3" t="s">
        <v>1767</v>
      </c>
      <c r="I542" s="3" t="str">
        <f>HYPERLINK("http://www.jccm.es/sede/tramite/JSL","REINGRESO A SERVICIO ACTIVO SIN RESERVA DE PLAZA PERSONAL FUNCIONARIO")</f>
        <v>REINGRESO A SERVICIO ACTIVO SIN RESERVA DE PLAZA PERSONAL FUNCIONARIO</v>
      </c>
      <c r="J542" s="3" t="s">
        <v>42</v>
      </c>
      <c r="K542" s="3" t="s">
        <v>41</v>
      </c>
      <c r="L542" s="3" t="s">
        <v>42</v>
      </c>
      <c r="M542" s="3" t="s">
        <v>41</v>
      </c>
    </row>
    <row r="543" spans="1:13" ht="114.95">
      <c r="A543" s="22" t="s">
        <v>17</v>
      </c>
      <c r="B543" s="3" t="s">
        <v>1768</v>
      </c>
      <c r="C543" s="3" t="s">
        <v>1769</v>
      </c>
      <c r="D543" s="3" t="s">
        <v>1770</v>
      </c>
      <c r="E543" s="3" t="s">
        <v>46</v>
      </c>
      <c r="F543" s="3" t="s">
        <v>1116</v>
      </c>
      <c r="G543" s="3" t="s">
        <v>1201</v>
      </c>
      <c r="H543" s="3" t="s">
        <v>1771</v>
      </c>
      <c r="I543" s="3" t="str">
        <f>HYPERLINK("http://www.jccm.es/sede/tramite/JSM","EXCEDENCIA VOLUNTARIA POR INTERES PARTICULAR DE PERSONAL LABORAL FIJO")</f>
        <v>EXCEDENCIA VOLUNTARIA POR INTERES PARTICULAR DE PERSONAL LABORAL FIJO</v>
      </c>
      <c r="J543" s="3" t="s">
        <v>42</v>
      </c>
      <c r="K543" s="3" t="s">
        <v>41</v>
      </c>
      <c r="L543" s="3" t="s">
        <v>42</v>
      </c>
      <c r="M543" s="3" t="s">
        <v>41</v>
      </c>
    </row>
    <row r="544" spans="1:13" ht="114.95">
      <c r="A544" s="22" t="s">
        <v>17</v>
      </c>
      <c r="B544" s="3" t="s">
        <v>1772</v>
      </c>
      <c r="C544" s="3" t="s">
        <v>1773</v>
      </c>
      <c r="D544" s="3" t="s">
        <v>62</v>
      </c>
      <c r="E544" s="3" t="s">
        <v>46</v>
      </c>
      <c r="F544" s="3" t="s">
        <v>1116</v>
      </c>
      <c r="G544" s="3" t="s">
        <v>1201</v>
      </c>
      <c r="H544" s="3" t="s">
        <v>1774</v>
      </c>
      <c r="I544" s="3" t="str">
        <f>HYPERLINK("http://www.jccm.es/sede/tramite/JSN","EXCEDENCIA VOLUNTARIA POR AGRUPACION FAMILIAR DE PERSONAL LABORAL")</f>
        <v>EXCEDENCIA VOLUNTARIA POR AGRUPACION FAMILIAR DE PERSONAL LABORAL</v>
      </c>
      <c r="J544" s="3" t="s">
        <v>42</v>
      </c>
      <c r="K544" s="3" t="s">
        <v>41</v>
      </c>
      <c r="L544" s="3" t="s">
        <v>42</v>
      </c>
      <c r="M544" s="3" t="s">
        <v>41</v>
      </c>
    </row>
    <row r="545" spans="1:13" ht="114.95">
      <c r="A545" s="22" t="s">
        <v>17</v>
      </c>
      <c r="B545" s="3" t="s">
        <v>1775</v>
      </c>
      <c r="C545" s="3" t="s">
        <v>1776</v>
      </c>
      <c r="D545" s="3" t="s">
        <v>62</v>
      </c>
      <c r="E545" s="3" t="s">
        <v>46</v>
      </c>
      <c r="F545" s="3" t="s">
        <v>1116</v>
      </c>
      <c r="G545" s="3" t="s">
        <v>1201</v>
      </c>
      <c r="H545" s="3" t="s">
        <v>1777</v>
      </c>
      <c r="I545" s="3" t="str">
        <f>HYPERLINK("http://www.jccm.es/sede/tramite/JSO","EXCEDENCIA FORZOSA DE PERSONAL LABORAL")</f>
        <v>EXCEDENCIA FORZOSA DE PERSONAL LABORAL</v>
      </c>
      <c r="J545" s="3" t="s">
        <v>42</v>
      </c>
      <c r="K545" s="3" t="s">
        <v>41</v>
      </c>
      <c r="L545" s="3" t="s">
        <v>42</v>
      </c>
      <c r="M545" s="3" t="s">
        <v>41</v>
      </c>
    </row>
    <row r="546" spans="1:13" ht="114.95">
      <c r="A546" s="22" t="s">
        <v>17</v>
      </c>
      <c r="B546" s="3" t="s">
        <v>1778</v>
      </c>
      <c r="C546" s="3" t="s">
        <v>1779</v>
      </c>
      <c r="D546" s="3" t="s">
        <v>62</v>
      </c>
      <c r="E546" s="3" t="s">
        <v>37</v>
      </c>
      <c r="F546" s="3" t="s">
        <v>1116</v>
      </c>
      <c r="G546" s="3" t="s">
        <v>1201</v>
      </c>
      <c r="H546" s="3" t="s">
        <v>1780</v>
      </c>
      <c r="I546" s="3" t="str">
        <f>HYPERLINK("http://www.jccm.es/sede/tramite/JSP","EXCEDENCIA POR CUIDADO DE FAMILIARES PERSONAL LABORAL")</f>
        <v>EXCEDENCIA POR CUIDADO DE FAMILIARES PERSONAL LABORAL</v>
      </c>
      <c r="J546" s="3" t="s">
        <v>42</v>
      </c>
      <c r="K546" s="3" t="s">
        <v>41</v>
      </c>
      <c r="L546" s="3" t="s">
        <v>42</v>
      </c>
      <c r="M546" s="3" t="s">
        <v>41</v>
      </c>
    </row>
    <row r="547" spans="1:13" ht="114.95">
      <c r="A547" s="22" t="s">
        <v>17</v>
      </c>
      <c r="B547" s="3" t="s">
        <v>1781</v>
      </c>
      <c r="C547" s="3" t="s">
        <v>1782</v>
      </c>
      <c r="D547" s="3" t="s">
        <v>62</v>
      </c>
      <c r="E547" s="3" t="s">
        <v>46</v>
      </c>
      <c r="F547" s="3" t="s">
        <v>1116</v>
      </c>
      <c r="G547" s="3" t="s">
        <v>1201</v>
      </c>
      <c r="H547" s="3" t="s">
        <v>1783</v>
      </c>
      <c r="I547" s="3" t="str">
        <f>HYPERLINK("http://www.jccm.es/sede/tramite/JSQ","EXCEDENCIA POR INCOMPATIBILIDAD PERSONAL LABORAL FIJO")</f>
        <v>EXCEDENCIA POR INCOMPATIBILIDAD PERSONAL LABORAL FIJO</v>
      </c>
      <c r="J547" s="3" t="s">
        <v>42</v>
      </c>
      <c r="K547" s="3" t="s">
        <v>41</v>
      </c>
      <c r="L547" s="3" t="s">
        <v>42</v>
      </c>
      <c r="M547" s="3" t="s">
        <v>41</v>
      </c>
    </row>
    <row r="548" spans="1:13" ht="114.95">
      <c r="A548" s="22" t="s">
        <v>17</v>
      </c>
      <c r="B548" s="3" t="s">
        <v>1784</v>
      </c>
      <c r="C548" s="3" t="s">
        <v>1785</v>
      </c>
      <c r="D548" s="3" t="s">
        <v>45</v>
      </c>
      <c r="E548" s="3" t="s">
        <v>46</v>
      </c>
      <c r="F548" s="3" t="s">
        <v>1116</v>
      </c>
      <c r="G548" s="3" t="s">
        <v>1201</v>
      </c>
      <c r="H548" s="3" t="s">
        <v>1786</v>
      </c>
      <c r="I548" s="3" t="str">
        <f>HYPERLINK("http://www.jccm.es/sede/tramite/JSR","JUBILACION VOLUNTARIA ANTICIPADA PERSONAL LABORAL")</f>
        <v>JUBILACION VOLUNTARIA ANTICIPADA PERSONAL LABORAL</v>
      </c>
      <c r="J548" s="3" t="s">
        <v>42</v>
      </c>
      <c r="K548" s="3" t="s">
        <v>41</v>
      </c>
      <c r="L548" s="3" t="s">
        <v>42</v>
      </c>
      <c r="M548" s="3" t="s">
        <v>41</v>
      </c>
    </row>
    <row r="549" spans="1:13" ht="114.95">
      <c r="A549" s="22" t="s">
        <v>17</v>
      </c>
      <c r="B549" s="3" t="s">
        <v>1787</v>
      </c>
      <c r="C549" s="3" t="s">
        <v>1788</v>
      </c>
      <c r="D549" s="3" t="s">
        <v>45</v>
      </c>
      <c r="E549" s="3" t="s">
        <v>95</v>
      </c>
      <c r="F549" s="3" t="s">
        <v>1116</v>
      </c>
      <c r="G549" s="3" t="s">
        <v>1201</v>
      </c>
      <c r="H549" s="3" t="s">
        <v>1789</v>
      </c>
      <c r="I549" s="3" t="str">
        <f>HYPERLINK("http://www.jccm.es/sede/tramite/JSS","JUBILACION PARCIAL DE PERSONAL LABORAL")</f>
        <v>JUBILACION PARCIAL DE PERSONAL LABORAL</v>
      </c>
      <c r="J549" s="3" t="s">
        <v>41</v>
      </c>
      <c r="K549" s="3" t="s">
        <v>41</v>
      </c>
      <c r="L549" s="3" t="s">
        <v>42</v>
      </c>
      <c r="M549" s="3" t="s">
        <v>41</v>
      </c>
    </row>
    <row r="550" spans="1:13" ht="114.95">
      <c r="A550" s="22" t="s">
        <v>17</v>
      </c>
      <c r="B550" s="3" t="s">
        <v>1790</v>
      </c>
      <c r="C550" s="3" t="s">
        <v>1791</v>
      </c>
      <c r="D550" s="3" t="s">
        <v>62</v>
      </c>
      <c r="E550" s="3" t="s">
        <v>46</v>
      </c>
      <c r="F550" s="3" t="s">
        <v>1116</v>
      </c>
      <c r="G550" s="3" t="s">
        <v>1201</v>
      </c>
      <c r="H550" s="3" t="s">
        <v>1792</v>
      </c>
      <c r="I550" s="3" t="str">
        <f>HYPERLINK("http://www.jccm.es/sede/tramite/F32","REGULARIZACION DE ANTIGUEDAD")</f>
        <v>REGULARIZACION DE ANTIGUEDAD</v>
      </c>
      <c r="J550" s="3" t="s">
        <v>41</v>
      </c>
      <c r="K550" s="3" t="s">
        <v>41</v>
      </c>
      <c r="L550" s="3" t="s">
        <v>42</v>
      </c>
      <c r="M550" s="3" t="s">
        <v>41</v>
      </c>
    </row>
    <row r="551" spans="1:13" ht="126.6">
      <c r="A551" s="22" t="s">
        <v>17</v>
      </c>
      <c r="B551" s="3" t="s">
        <v>1793</v>
      </c>
      <c r="C551" s="3" t="s">
        <v>1794</v>
      </c>
      <c r="D551" s="3" t="s">
        <v>1795</v>
      </c>
      <c r="E551" s="3" t="s">
        <v>95</v>
      </c>
      <c r="F551" s="3" t="s">
        <v>1116</v>
      </c>
      <c r="G551" s="3" t="s">
        <v>1201</v>
      </c>
      <c r="H551" s="3" t="s">
        <v>1796</v>
      </c>
      <c r="I551" s="3" t="str">
        <f>HYPERLINK("http://www.jccm.es/sede/tramite/JT9","OPCION Y SOLICITUD DE INFORME PARA EL CAMBIO DE CATEGORIA DERIVADO DE INCAPACIDAD PERMANENTE TOTAL")</f>
        <v>OPCION Y SOLICITUD DE INFORME PARA EL CAMBIO DE CATEGORIA DERIVADO DE INCAPACIDAD PERMANENTE TOTAL</v>
      </c>
      <c r="J551" s="3" t="s">
        <v>41</v>
      </c>
      <c r="K551" s="3" t="s">
        <v>41</v>
      </c>
      <c r="L551" s="3" t="s">
        <v>42</v>
      </c>
      <c r="M551" s="3" t="s">
        <v>41</v>
      </c>
    </row>
    <row r="552" spans="1:13" ht="172.5">
      <c r="A552" s="22" t="s">
        <v>17</v>
      </c>
      <c r="B552" s="3" t="s">
        <v>1797</v>
      </c>
      <c r="C552" s="3" t="s">
        <v>1798</v>
      </c>
      <c r="D552" s="3" t="s">
        <v>45</v>
      </c>
      <c r="E552" s="3" t="s">
        <v>37</v>
      </c>
      <c r="F552" s="3" t="s">
        <v>1116</v>
      </c>
      <c r="G552" s="3" t="s">
        <v>1117</v>
      </c>
      <c r="H552" s="3" t="s">
        <v>1799</v>
      </c>
      <c r="I552" s="3" t="str">
        <f>HYPERLINK("http://www.jccm.es/sede/tramite/J8H","ACUMULACION EN PUESTOS RESERVADOS A FUNCIONARIOS/AS CON HABILITACION DE CARACTER ESTATAL")</f>
        <v>ACUMULACION EN PUESTOS RESERVADOS A FUNCIONARIOS/AS CON HABILITACION DE CARACTER ESTATAL</v>
      </c>
      <c r="J552" s="3" t="s">
        <v>42</v>
      </c>
      <c r="K552" s="3" t="s">
        <v>41</v>
      </c>
      <c r="L552" s="3" t="s">
        <v>42</v>
      </c>
      <c r="M552" s="3" t="s">
        <v>41</v>
      </c>
    </row>
    <row r="553" spans="1:13" ht="195.6">
      <c r="A553" s="22" t="s">
        <v>17</v>
      </c>
      <c r="B553" s="3" t="s">
        <v>1800</v>
      </c>
      <c r="C553" s="3" t="s">
        <v>1801</v>
      </c>
      <c r="D553" s="3" t="s">
        <v>1802</v>
      </c>
      <c r="E553" s="3" t="s">
        <v>46</v>
      </c>
      <c r="F553" s="3" t="s">
        <v>1116</v>
      </c>
      <c r="G553" s="3" t="s">
        <v>1286</v>
      </c>
      <c r="H553" s="3" t="s">
        <v>1803</v>
      </c>
      <c r="I553" s="3" t="str">
        <f>HYPERLINK("http://www.jccm.es/sede/tramite/JUG","CONVOCATORIA PARA LA PROVISION POR EL PROCEDIMIENTO DE CONCURSO SINGULARIZADO DE MERITOS (CSM HAC-AAPP 1/2022)")</f>
        <v>CONVOCATORIA PARA LA PROVISION POR EL PROCEDIMIENTO DE CONCURSO SINGULARIZADO DE MERITOS (CSM HAC-AAPP 1/2022)</v>
      </c>
      <c r="J553" s="3" t="s">
        <v>41</v>
      </c>
      <c r="K553" s="3" t="s">
        <v>41</v>
      </c>
      <c r="L553" s="3" t="s">
        <v>42</v>
      </c>
      <c r="M553" s="3" t="s">
        <v>41</v>
      </c>
    </row>
    <row r="554" spans="1:13" ht="114.95">
      <c r="A554" s="22" t="s">
        <v>17</v>
      </c>
      <c r="B554" s="3" t="s">
        <v>1804</v>
      </c>
      <c r="C554" s="3" t="s">
        <v>1805</v>
      </c>
      <c r="D554" s="3" t="s">
        <v>62</v>
      </c>
      <c r="E554" s="3" t="s">
        <v>46</v>
      </c>
      <c r="F554" s="3" t="s">
        <v>1116</v>
      </c>
      <c r="G554" s="3" t="s">
        <v>1201</v>
      </c>
      <c r="H554" s="3" t="s">
        <v>1806</v>
      </c>
      <c r="I554" s="3" t="str">
        <f>HYPERLINK("http://www.jccm.es/sede/tramite/JV3","EXCEDENCIA VOLUNTARIA ESPECIAL DE PERSONAL FUNCIONARIO DE CARRERA")</f>
        <v>EXCEDENCIA VOLUNTARIA ESPECIAL DE PERSONAL FUNCIONARIO DE CARRERA</v>
      </c>
      <c r="J554" s="3" t="s">
        <v>42</v>
      </c>
      <c r="K554" s="3" t="s">
        <v>41</v>
      </c>
      <c r="L554" s="3" t="s">
        <v>42</v>
      </c>
      <c r="M554" s="3" t="s">
        <v>41</v>
      </c>
    </row>
    <row r="555" spans="1:13" ht="230.1">
      <c r="A555" s="22" t="s">
        <v>17</v>
      </c>
      <c r="B555" s="3" t="s">
        <v>1807</v>
      </c>
      <c r="C555" s="3" t="s">
        <v>1808</v>
      </c>
      <c r="D555" s="3" t="s">
        <v>45</v>
      </c>
      <c r="E555" s="3" t="s">
        <v>46</v>
      </c>
      <c r="F555" s="3" t="s">
        <v>1116</v>
      </c>
      <c r="G555" s="3" t="s">
        <v>1201</v>
      </c>
      <c r="H555" s="3" t="s">
        <v>1809</v>
      </c>
      <c r="I555" s="3" t="str">
        <f>HYPERLINK("http://www.jccm.es/sede/tramite/JWS","PROCEDIMIENTO DE CAMBIO DEL PUESTO DE TRABAJO POR RAZONES DE SALUD Y POSIBILIDAD DE REHABILITACION DEL CONYUGE, PAREJA DE HECHO O FAMILIARES A CARGO PERSONAL FUNCIONARIO")</f>
        <v>PROCEDIMIENTO DE CAMBIO DEL PUESTO DE TRABAJO POR RAZONES DE SALUD Y POSIBILIDAD DE REHABILITACION DEL CONYUGE, PAREJA DE HECHO O FAMILIARES A CARGO PERSONAL FUNCIONARIO</v>
      </c>
      <c r="J555" s="3" t="s">
        <v>42</v>
      </c>
      <c r="K555" s="3" t="s">
        <v>41</v>
      </c>
      <c r="L555" s="3" t="s">
        <v>42</v>
      </c>
      <c r="M555" s="3" t="s">
        <v>41</v>
      </c>
    </row>
    <row r="556" spans="1:13" ht="218.45">
      <c r="A556" s="22" t="s">
        <v>17</v>
      </c>
      <c r="B556" s="3" t="s">
        <v>1810</v>
      </c>
      <c r="C556" s="3" t="s">
        <v>1811</v>
      </c>
      <c r="D556" s="3" t="s">
        <v>45</v>
      </c>
      <c r="E556" s="3" t="s">
        <v>95</v>
      </c>
      <c r="F556" s="3" t="s">
        <v>1116</v>
      </c>
      <c r="G556" s="3" t="s">
        <v>1201</v>
      </c>
      <c r="H556" s="3" t="s">
        <v>1812</v>
      </c>
      <c r="I556" s="3" t="str">
        <f>HYPERLINK("http://www.jccm.es/sede/tramite/JWT","PROCEDIMIENTO DE CAMBIO DEL PUESTO DE TRABAJO POR RAZONES DE SALUD Y POSIBILIDAD DE REHABILITACION DEL CONYUGE, PAREJA DE HECHO O FAMILIARES A CARGO PERSONAL LABORAL")</f>
        <v>PROCEDIMIENTO DE CAMBIO DEL PUESTO DE TRABAJO POR RAZONES DE SALUD Y POSIBILIDAD DE REHABILITACION DEL CONYUGE, PAREJA DE HECHO O FAMILIARES A CARGO PERSONAL LABORAL</v>
      </c>
      <c r="J556" s="3" t="s">
        <v>42</v>
      </c>
      <c r="K556" s="3" t="s">
        <v>41</v>
      </c>
      <c r="L556" s="3" t="s">
        <v>42</v>
      </c>
      <c r="M556" s="3" t="s">
        <v>41</v>
      </c>
    </row>
    <row r="557" spans="1:13" ht="138">
      <c r="A557" s="22" t="s">
        <v>17</v>
      </c>
      <c r="B557" s="3" t="s">
        <v>1813</v>
      </c>
      <c r="C557" s="3" t="s">
        <v>1814</v>
      </c>
      <c r="D557" s="3" t="s">
        <v>45</v>
      </c>
      <c r="E557" s="3" t="s">
        <v>46</v>
      </c>
      <c r="F557" s="3" t="s">
        <v>1116</v>
      </c>
      <c r="G557" s="3" t="s">
        <v>1201</v>
      </c>
      <c r="H557" s="3" t="s">
        <v>1815</v>
      </c>
      <c r="I557" s="3" t="str">
        <f>HYPERLINK("http://www.jccm.es/sede/tramite/JWU","ADAPTACION O CAMBIO DE PUESTO DE TRABAJO POR MOTIVOS DE SALUD O REHABILITACION DEL PERSONAL FUNCIONARIO")</f>
        <v>ADAPTACION O CAMBIO DE PUESTO DE TRABAJO POR MOTIVOS DE SALUD O REHABILITACION DEL PERSONAL FUNCIONARIO</v>
      </c>
      <c r="J557" s="3" t="s">
        <v>42</v>
      </c>
      <c r="K557" s="3" t="s">
        <v>41</v>
      </c>
      <c r="L557" s="3" t="s">
        <v>42</v>
      </c>
      <c r="M557" s="3" t="s">
        <v>41</v>
      </c>
    </row>
    <row r="558" spans="1:13" ht="126.6">
      <c r="A558" s="22" t="s">
        <v>17</v>
      </c>
      <c r="B558" s="3" t="s">
        <v>1816</v>
      </c>
      <c r="C558" s="3" t="s">
        <v>1817</v>
      </c>
      <c r="D558" s="3" t="s">
        <v>45</v>
      </c>
      <c r="E558" s="3" t="s">
        <v>95</v>
      </c>
      <c r="F558" s="3" t="s">
        <v>1116</v>
      </c>
      <c r="G558" s="3" t="s">
        <v>1201</v>
      </c>
      <c r="H558" s="3" t="s">
        <v>1818</v>
      </c>
      <c r="I558" s="3" t="str">
        <f>HYPERLINK("http://www.jccm.es/sede/tramite/JWV","ADAPTACION O CAMBIO DE PUESTO DE TRABAJO POR MOTIVOS DE SALUD O REHABILITACION DEL PERSONAL LABORAL")</f>
        <v>ADAPTACION O CAMBIO DE PUESTO DE TRABAJO POR MOTIVOS DE SALUD O REHABILITACION DEL PERSONAL LABORAL</v>
      </c>
      <c r="J558" s="3" t="s">
        <v>42</v>
      </c>
      <c r="K558" s="3" t="s">
        <v>41</v>
      </c>
      <c r="L558" s="3" t="s">
        <v>42</v>
      </c>
      <c r="M558" s="3" t="s">
        <v>41</v>
      </c>
    </row>
    <row r="559" spans="1:13" ht="114.95">
      <c r="A559" s="22" t="s">
        <v>17</v>
      </c>
      <c r="B559" s="3" t="s">
        <v>1819</v>
      </c>
      <c r="C559" s="3" t="s">
        <v>1820</v>
      </c>
      <c r="D559" s="3" t="s">
        <v>1821</v>
      </c>
      <c r="E559" s="3" t="s">
        <v>95</v>
      </c>
      <c r="F559" s="3" t="s">
        <v>1116</v>
      </c>
      <c r="G559" s="3" t="s">
        <v>1201</v>
      </c>
      <c r="H559" s="3" t="s">
        <v>1822</v>
      </c>
      <c r="I559" s="3" t="str">
        <f>HYPERLINK("http://www.jccm.es/sede/tramite/JXQ","LICENCIA SIN SUELDO (PERSONAL LABORAL)")</f>
        <v>LICENCIA SIN SUELDO (PERSONAL LABORAL)</v>
      </c>
      <c r="J559" s="3" t="s">
        <v>42</v>
      </c>
      <c r="K559" s="3" t="s">
        <v>41</v>
      </c>
      <c r="L559" s="3" t="s">
        <v>42</v>
      </c>
      <c r="M559" s="3" t="s">
        <v>41</v>
      </c>
    </row>
    <row r="560" spans="1:13" ht="114.95">
      <c r="A560" s="22" t="s">
        <v>17</v>
      </c>
      <c r="B560" s="3" t="s">
        <v>1823</v>
      </c>
      <c r="C560" s="3" t="s">
        <v>1824</v>
      </c>
      <c r="D560" s="3" t="s">
        <v>374</v>
      </c>
      <c r="E560" s="3" t="s">
        <v>37</v>
      </c>
      <c r="F560" s="3" t="s">
        <v>1116</v>
      </c>
      <c r="G560" s="3" t="s">
        <v>1201</v>
      </c>
      <c r="H560" s="3" t="s">
        <v>1825</v>
      </c>
      <c r="I560" s="3" t="str">
        <f>HYPERLINK("http://www.jccm.es/sede/tramite/F55","LICENCIA POR ASUNTOS PROPIOS (PERSONAL FUNCIONARIO)")</f>
        <v>LICENCIA POR ASUNTOS PROPIOS (PERSONAL FUNCIONARIO)</v>
      </c>
      <c r="J560" s="3" t="s">
        <v>42</v>
      </c>
      <c r="K560" s="3" t="s">
        <v>41</v>
      </c>
      <c r="L560" s="3" t="s">
        <v>42</v>
      </c>
      <c r="M560" s="3" t="s">
        <v>41</v>
      </c>
    </row>
    <row r="561" spans="1:13" ht="114.95">
      <c r="A561" s="22" t="s">
        <v>17</v>
      </c>
      <c r="B561" s="3" t="s">
        <v>1826</v>
      </c>
      <c r="C561" s="3" t="s">
        <v>1827</v>
      </c>
      <c r="D561" s="3" t="s">
        <v>51</v>
      </c>
      <c r="E561" s="3" t="s">
        <v>46</v>
      </c>
      <c r="F561" s="3" t="s">
        <v>1116</v>
      </c>
      <c r="G561" s="3" t="s">
        <v>1201</v>
      </c>
      <c r="H561" s="3" t="s">
        <v>1828</v>
      </c>
      <c r="I561" s="3" t="str">
        <f>HYPERLINK("http://www.jccm.es/sede/tramite/JZ4","JUBILACION VOLUNTARIA DE CLASES PASIVAS DEL ESTADO")</f>
        <v>JUBILACION VOLUNTARIA DE CLASES PASIVAS DEL ESTADO</v>
      </c>
      <c r="J561" s="3" t="s">
        <v>42</v>
      </c>
      <c r="K561" s="3" t="s">
        <v>41</v>
      </c>
      <c r="L561" s="3" t="s">
        <v>42</v>
      </c>
      <c r="M561" s="3" t="s">
        <v>41</v>
      </c>
    </row>
    <row r="562" spans="1:13" ht="114.95">
      <c r="A562" s="22" t="s">
        <v>17</v>
      </c>
      <c r="B562" s="3" t="s">
        <v>1829</v>
      </c>
      <c r="C562" s="3" t="s">
        <v>1830</v>
      </c>
      <c r="D562" s="3" t="s">
        <v>1831</v>
      </c>
      <c r="E562" s="3" t="s">
        <v>46</v>
      </c>
      <c r="F562" s="3" t="s">
        <v>1116</v>
      </c>
      <c r="G562" s="3" t="s">
        <v>1201</v>
      </c>
      <c r="H562" s="3" t="s">
        <v>1832</v>
      </c>
      <c r="I562" s="3" t="str">
        <f>HYPERLINK("http://www.jccm.es/sede/tramite/G35","CONCURSO DE TRASLADOS DE PERSONAL LABORAL")</f>
        <v>CONCURSO DE TRASLADOS DE PERSONAL LABORAL</v>
      </c>
      <c r="J562" s="3" t="s">
        <v>41</v>
      </c>
      <c r="K562" s="3" t="s">
        <v>41</v>
      </c>
      <c r="L562" s="3" t="s">
        <v>42</v>
      </c>
      <c r="M562" s="3" t="s">
        <v>41</v>
      </c>
    </row>
    <row r="563" spans="1:13" ht="172.5">
      <c r="A563" s="22" t="s">
        <v>17</v>
      </c>
      <c r="B563" s="3" t="s">
        <v>1833</v>
      </c>
      <c r="C563" s="3" t="s">
        <v>1834</v>
      </c>
      <c r="D563" s="3" t="s">
        <v>45</v>
      </c>
      <c r="E563" s="3" t="s">
        <v>46</v>
      </c>
      <c r="F563" s="3" t="s">
        <v>1116</v>
      </c>
      <c r="G563" s="3" t="s">
        <v>1117</v>
      </c>
      <c r="H563" s="3" t="s">
        <v>1835</v>
      </c>
      <c r="I563" s="3" t="str">
        <f>HYPERLINK("http://www.jccm.es/sede/tramite/649","PRELACION CONCURSO ORDINARIO HABILITADOS ESTATALES")</f>
        <v>PRELACION CONCURSO ORDINARIO HABILITADOS ESTATALES</v>
      </c>
      <c r="J563" s="3" t="s">
        <v>42</v>
      </c>
      <c r="K563" s="3" t="s">
        <v>41</v>
      </c>
      <c r="L563" s="3" t="s">
        <v>42</v>
      </c>
      <c r="M563" s="3" t="s">
        <v>41</v>
      </c>
    </row>
    <row r="564" spans="1:13" ht="114.95">
      <c r="A564" s="22" t="s">
        <v>17</v>
      </c>
      <c r="B564" s="3" t="s">
        <v>1836</v>
      </c>
      <c r="C564" s="3" t="s">
        <v>1837</v>
      </c>
      <c r="D564" s="3" t="s">
        <v>45</v>
      </c>
      <c r="E564" s="3" t="s">
        <v>46</v>
      </c>
      <c r="F564" s="3" t="s">
        <v>1116</v>
      </c>
      <c r="G564" s="3" t="s">
        <v>1201</v>
      </c>
      <c r="H564" s="3" t="s">
        <v>1838</v>
      </c>
      <c r="I564" s="3" t="str">
        <f>HYPERLINK("http://www.jccm.es/sede/tramite/K32","ANTICIPO NOMINA PERSONAL FUNCIONARIO")</f>
        <v>ANTICIPO NOMINA PERSONAL FUNCIONARIO</v>
      </c>
      <c r="J564" s="3" t="s">
        <v>42</v>
      </c>
      <c r="K564" s="3" t="s">
        <v>41</v>
      </c>
      <c r="L564" s="3" t="s">
        <v>42</v>
      </c>
      <c r="M564" s="3" t="s">
        <v>41</v>
      </c>
    </row>
    <row r="565" spans="1:13" ht="114.95">
      <c r="A565" s="22" t="s">
        <v>17</v>
      </c>
      <c r="B565" s="3" t="s">
        <v>1839</v>
      </c>
      <c r="C565" s="3" t="s">
        <v>1840</v>
      </c>
      <c r="D565" s="3" t="s">
        <v>45</v>
      </c>
      <c r="E565" s="3" t="s">
        <v>95</v>
      </c>
      <c r="F565" s="3" t="s">
        <v>1116</v>
      </c>
      <c r="G565" s="3" t="s">
        <v>1201</v>
      </c>
      <c r="H565" s="3" t="s">
        <v>1841</v>
      </c>
      <c r="I565" s="3" t="str">
        <f>HYPERLINK("http://www.jccm.es/sede/tramite/K33","ANTICIPO NOMINA PERSONAL LABORAL")</f>
        <v>ANTICIPO NOMINA PERSONAL LABORAL</v>
      </c>
      <c r="J565" s="3" t="s">
        <v>42</v>
      </c>
      <c r="K565" s="3" t="s">
        <v>41</v>
      </c>
      <c r="L565" s="3" t="s">
        <v>42</v>
      </c>
      <c r="M565" s="3" t="s">
        <v>41</v>
      </c>
    </row>
    <row r="566" spans="1:13" ht="114.95">
      <c r="A566" s="22" t="s">
        <v>17</v>
      </c>
      <c r="B566" s="3" t="s">
        <v>1842</v>
      </c>
      <c r="C566" s="3" t="s">
        <v>1843</v>
      </c>
      <c r="D566" s="3" t="s">
        <v>45</v>
      </c>
      <c r="E566" s="3" t="s">
        <v>46</v>
      </c>
      <c r="F566" s="3" t="s">
        <v>1116</v>
      </c>
      <c r="G566" s="3" t="s">
        <v>1201</v>
      </c>
      <c r="H566" s="3" t="s">
        <v>1844</v>
      </c>
      <c r="I566" s="3" t="str">
        <f>HYPERLINK("http://www.jccm.es/sede/tramite/K3M","EXCEDENCIA VOLUNTARIA ESPECIAL DE PERSONAL LABORAL")</f>
        <v>EXCEDENCIA VOLUNTARIA ESPECIAL DE PERSONAL LABORAL</v>
      </c>
      <c r="J566" s="3" t="s">
        <v>42</v>
      </c>
      <c r="K566" s="3" t="s">
        <v>41</v>
      </c>
      <c r="L566" s="3" t="s">
        <v>42</v>
      </c>
      <c r="M566" s="3" t="s">
        <v>41</v>
      </c>
    </row>
    <row r="567" spans="1:13" ht="114.95">
      <c r="A567" s="22" t="s">
        <v>17</v>
      </c>
      <c r="B567" s="3" t="s">
        <v>1845</v>
      </c>
      <c r="C567" s="3" t="s">
        <v>1846</v>
      </c>
      <c r="D567" s="3" t="s">
        <v>45</v>
      </c>
      <c r="E567" s="3" t="s">
        <v>37</v>
      </c>
      <c r="F567" s="3" t="s">
        <v>1116</v>
      </c>
      <c r="G567" s="3" t="s">
        <v>1201</v>
      </c>
      <c r="H567" s="3" t="s">
        <v>1847</v>
      </c>
      <c r="I567" s="3" t="str">
        <f>HYPERLINK("http://www.jccm.es/sede/tramite/K61","ANULACION CONCURSO TRASLADOS PERSONAL LABORAL")</f>
        <v>ANULACION CONCURSO TRASLADOS PERSONAL LABORAL</v>
      </c>
      <c r="J567" s="3" t="s">
        <v>41</v>
      </c>
      <c r="K567" s="3" t="s">
        <v>41</v>
      </c>
      <c r="L567" s="3" t="s">
        <v>42</v>
      </c>
      <c r="M567" s="3" t="s">
        <v>41</v>
      </c>
    </row>
    <row r="568" spans="1:13" ht="241.5">
      <c r="A568" s="22" t="s">
        <v>17</v>
      </c>
      <c r="B568" s="3" t="s">
        <v>1848</v>
      </c>
      <c r="C568" s="3" t="s">
        <v>1849</v>
      </c>
      <c r="D568" s="3" t="s">
        <v>1850</v>
      </c>
      <c r="E568" s="3" t="s">
        <v>46</v>
      </c>
      <c r="F568" s="3" t="s">
        <v>1116</v>
      </c>
      <c r="G568" s="3" t="s">
        <v>1201</v>
      </c>
      <c r="H568" s="3" t="s">
        <v>1851</v>
      </c>
      <c r="I568" s="3" t="str">
        <f>HYPERLINK("http://www.jccm.es/sede/tramite/IK7","PARTICIPACION EN CONCURSO GENERAL DE MERITOS (CGM F7/2021) PARA PROVISION DE PUESTOS DE TRABAJO VACANTES EN LA JCCM RESERVADOS A LA ESCALA SUPERIOR DE SANITARIOS LOCALES (VETERINARIA Y FARMACIA)")</f>
        <v>PARTICIPACION EN CONCURSO GENERAL DE MERITOS (CGM F7/2021) PARA PROVISION DE PUESTOS DE TRABAJO VACANTES EN LA JCCM RESERVADOS A LA ESCALA SUPERIOR DE SANITARIOS LOCALES (VETERINARIA Y FARMACIA)</v>
      </c>
      <c r="J568" s="3" t="s">
        <v>41</v>
      </c>
      <c r="K568" s="3" t="s">
        <v>41</v>
      </c>
      <c r="L568" s="3" t="s">
        <v>42</v>
      </c>
      <c r="M568" s="3" t="s">
        <v>41</v>
      </c>
    </row>
    <row r="569" spans="1:13" ht="218.45">
      <c r="A569" s="22" t="s">
        <v>17</v>
      </c>
      <c r="B569" s="3" t="s">
        <v>1852</v>
      </c>
      <c r="C569" s="3" t="s">
        <v>1853</v>
      </c>
      <c r="D569" s="3" t="s">
        <v>327</v>
      </c>
      <c r="E569" s="3" t="s">
        <v>46</v>
      </c>
      <c r="F569" s="3" t="s">
        <v>1116</v>
      </c>
      <c r="G569" s="3" t="s">
        <v>1201</v>
      </c>
      <c r="H569" s="3" t="s">
        <v>1854</v>
      </c>
      <c r="I569" s="3" t="str">
        <f>HYPERLINK("http://www.jccm.es/sede/tramite/K8N","CONVOCATORIA CONCURSO ESCALA SUPERIOR DE LETRADOS")</f>
        <v>CONVOCATORIA CONCURSO ESCALA SUPERIOR DE LETRADOS</v>
      </c>
      <c r="J569" s="3" t="s">
        <v>41</v>
      </c>
      <c r="K569" s="3" t="s">
        <v>41</v>
      </c>
      <c r="L569" s="3" t="s">
        <v>42</v>
      </c>
      <c r="M569" s="3" t="s">
        <v>41</v>
      </c>
    </row>
    <row r="570" spans="1:13" ht="218.45">
      <c r="A570" s="22" t="s">
        <v>17</v>
      </c>
      <c r="B570" s="3" t="s">
        <v>1855</v>
      </c>
      <c r="C570" s="3" t="s">
        <v>1856</v>
      </c>
      <c r="D570" s="3" t="s">
        <v>45</v>
      </c>
      <c r="E570" s="3" t="s">
        <v>46</v>
      </c>
      <c r="F570" s="3" t="s">
        <v>1116</v>
      </c>
      <c r="G570" s="3" t="s">
        <v>1201</v>
      </c>
      <c r="H570" s="3" t="s">
        <v>1857</v>
      </c>
      <c r="I570" s="3" t="str">
        <f>HYPERLINK("http://www.jccm.es/sede/tramite/K9U","REINGRESO DE PERSONAL LABORAL CON RESERVA DE PUESTO")</f>
        <v>REINGRESO DE PERSONAL LABORAL CON RESERVA DE PUESTO</v>
      </c>
      <c r="J570" s="3" t="s">
        <v>41</v>
      </c>
      <c r="K570" s="3" t="s">
        <v>41</v>
      </c>
      <c r="L570" s="3" t="s">
        <v>42</v>
      </c>
      <c r="M570" s="3" t="s">
        <v>41</v>
      </c>
    </row>
    <row r="571" spans="1:13" ht="356.45">
      <c r="A571" s="22" t="s">
        <v>17</v>
      </c>
      <c r="B571" s="3" t="s">
        <v>1858</v>
      </c>
      <c r="C571" s="3" t="s">
        <v>1859</v>
      </c>
      <c r="D571" s="3" t="s">
        <v>1860</v>
      </c>
      <c r="E571" s="3" t="s">
        <v>46</v>
      </c>
      <c r="F571" s="3" t="s">
        <v>1116</v>
      </c>
      <c r="G571" s="3" t="s">
        <v>1201</v>
      </c>
      <c r="H571" s="3" t="s">
        <v>1861</v>
      </c>
      <c r="I571" s="3" t="str">
        <f>HYPERLINK("http://www.jccm.es/sede/tramite/K9Y","CONVOCATORIA DEL MASTER EN ETICA Y DEONTOLOGIA DE LOS SERVIDORES PUBLICOS: PRINCIPIOS FUNDAMENTALES EN LA DIRECCION PUBLICA")</f>
        <v>CONVOCATORIA DEL MASTER EN ETICA Y DEONTOLOGIA DE LOS SERVIDORES PUBLICOS: PRINCIPIOS FUNDAMENTALES EN LA DIRECCION PUBLICA</v>
      </c>
      <c r="J571" s="3" t="s">
        <v>41</v>
      </c>
      <c r="K571" s="3" t="s">
        <v>41</v>
      </c>
      <c r="L571" s="3" t="s">
        <v>42</v>
      </c>
      <c r="M571" s="3" t="s">
        <v>41</v>
      </c>
    </row>
    <row r="572" spans="1:13" ht="310.5">
      <c r="A572" s="22" t="s">
        <v>17</v>
      </c>
      <c r="B572" s="3" t="s">
        <v>1862</v>
      </c>
      <c r="C572" s="3" t="s">
        <v>1863</v>
      </c>
      <c r="D572" s="3" t="s">
        <v>327</v>
      </c>
      <c r="E572" s="3" t="s">
        <v>46</v>
      </c>
      <c r="F572" s="3" t="s">
        <v>1116</v>
      </c>
      <c r="G572" s="3" t="s">
        <v>1201</v>
      </c>
      <c r="H572" s="3" t="s">
        <v>1864</v>
      </c>
      <c r="I572" s="3" t="str">
        <f>HYPERLINK("http://www.jccm.es/sede/tramite/KAN","CONVOCATORIA CONCURSO ESCALA SUPERIOR DE PREVENCION DE RIESGOS LABORALES, TECNICA DE PREVENCION DE RIESGOS LABORALES Y ADMINISTRATIVA DE PREVENCION DE RIESGOS LABORALES DE LA JCCM")</f>
        <v>CONVOCATORIA CONCURSO ESCALA SUPERIOR DE PREVENCION DE RIESGOS LABORALES, TECNICA DE PREVENCION DE RIESGOS LABORALES Y ADMINISTRATIVA DE PREVENCION DE RIESGOS LABORALES DE LA JCCM</v>
      </c>
      <c r="J572" s="3" t="s">
        <v>42</v>
      </c>
      <c r="K572" s="3" t="s">
        <v>41</v>
      </c>
      <c r="L572" s="3" t="s">
        <v>42</v>
      </c>
      <c r="M572" s="3" t="s">
        <v>41</v>
      </c>
    </row>
    <row r="573" spans="1:13" ht="114.95">
      <c r="A573" s="22" t="s">
        <v>17</v>
      </c>
      <c r="B573" s="3" t="s">
        <v>1865</v>
      </c>
      <c r="C573" s="3" t="s">
        <v>1866</v>
      </c>
      <c r="D573" s="3" t="s">
        <v>232</v>
      </c>
      <c r="E573" s="3" t="s">
        <v>46</v>
      </c>
      <c r="F573" s="3" t="s">
        <v>1116</v>
      </c>
      <c r="G573" s="3" t="s">
        <v>1201</v>
      </c>
      <c r="H573" s="3" t="s">
        <v>1867</v>
      </c>
      <c r="I573" s="3" t="str">
        <f>HYPERLINK("http://www.jccm.es/sede/tramite/IWR","CONCURSO ESCALA TECNICA SOCIOSANITARIA.")</f>
        <v>CONCURSO ESCALA TECNICA SOCIOSANITARIA.</v>
      </c>
      <c r="J573" s="3" t="s">
        <v>41</v>
      </c>
      <c r="K573" s="3" t="s">
        <v>41</v>
      </c>
      <c r="L573" s="3" t="s">
        <v>42</v>
      </c>
      <c r="M573" s="3" t="s">
        <v>41</v>
      </c>
    </row>
    <row r="574" spans="1:13" ht="114.95">
      <c r="A574" s="22" t="s">
        <v>17</v>
      </c>
      <c r="B574" s="3" t="s">
        <v>1868</v>
      </c>
      <c r="C574" s="3" t="s">
        <v>1869</v>
      </c>
      <c r="D574" s="3" t="s">
        <v>45</v>
      </c>
      <c r="E574" s="3" t="s">
        <v>46</v>
      </c>
      <c r="F574" s="3" t="s">
        <v>1116</v>
      </c>
      <c r="G574" s="3" t="s">
        <v>1201</v>
      </c>
      <c r="H574" s="3" t="s">
        <v>1870</v>
      </c>
      <c r="I574" s="3" t="str">
        <f>HYPERLINK("http://www.jccm.es/sede/tramite/KC9","JUBILACION VOLUNTARIA ANTICIPADA DE TRABAJADORES LABORALES CON  DISCAPACIDAD")</f>
        <v>JUBILACION VOLUNTARIA ANTICIPADA DE TRABAJADORES LABORALES CON  DISCAPACIDAD</v>
      </c>
      <c r="J574" s="3" t="s">
        <v>41</v>
      </c>
      <c r="K574" s="3" t="s">
        <v>41</v>
      </c>
      <c r="L574" s="3" t="s">
        <v>42</v>
      </c>
      <c r="M574" s="3" t="s">
        <v>41</v>
      </c>
    </row>
    <row r="575" spans="1:13" ht="114.95">
      <c r="A575" s="22" t="s">
        <v>17</v>
      </c>
      <c r="B575" s="3" t="s">
        <v>1871</v>
      </c>
      <c r="C575" s="3" t="s">
        <v>1872</v>
      </c>
      <c r="D575" s="3" t="s">
        <v>45</v>
      </c>
      <c r="E575" s="3" t="s">
        <v>46</v>
      </c>
      <c r="F575" s="3" t="s">
        <v>1116</v>
      </c>
      <c r="G575" s="3" t="s">
        <v>1201</v>
      </c>
      <c r="H575" s="3" t="s">
        <v>1873</v>
      </c>
      <c r="I575" s="3" t="str">
        <f>HYPERLINK("http://www.jccm.es/sede/tramite/KCA","JUBILACION ESPECIAL PERSONAL LABORAL A LOS 64 AÑOS")</f>
        <v>JUBILACION ESPECIAL PERSONAL LABORAL A LOS 64 AÑOS</v>
      </c>
      <c r="J575" s="3" t="s">
        <v>41</v>
      </c>
      <c r="K575" s="3" t="s">
        <v>41</v>
      </c>
      <c r="L575" s="3" t="s">
        <v>42</v>
      </c>
      <c r="M575" s="3" t="s">
        <v>41</v>
      </c>
    </row>
    <row r="576" spans="1:13" ht="390.95">
      <c r="A576" s="22" t="s">
        <v>17</v>
      </c>
      <c r="B576" s="3" t="s">
        <v>1874</v>
      </c>
      <c r="C576" s="3" t="s">
        <v>1875</v>
      </c>
      <c r="D576" s="3" t="s">
        <v>327</v>
      </c>
      <c r="E576" s="3" t="s">
        <v>46</v>
      </c>
      <c r="F576" s="3" t="s">
        <v>1116</v>
      </c>
      <c r="G576" s="3" t="s">
        <v>1201</v>
      </c>
      <c r="H576" s="3" t="s">
        <v>1876</v>
      </c>
      <c r="I576" s="3" t="str">
        <f>HYPERLINK("http://www.jccm.es/sede/tramite/KCO","CONVOCATORIA CONCURSO ESCALA INFORMATICA")</f>
        <v>CONVOCATORIA CONCURSO ESCALA INFORMATICA</v>
      </c>
      <c r="J576" s="3" t="s">
        <v>42</v>
      </c>
      <c r="K576" s="3" t="s">
        <v>41</v>
      </c>
      <c r="L576" s="3" t="s">
        <v>42</v>
      </c>
      <c r="M576" s="3" t="s">
        <v>41</v>
      </c>
    </row>
    <row r="577" spans="1:13" ht="114.95">
      <c r="A577" s="22" t="s">
        <v>17</v>
      </c>
      <c r="B577" s="3" t="s">
        <v>1877</v>
      </c>
      <c r="C577" s="3" t="s">
        <v>1878</v>
      </c>
      <c r="D577" s="3" t="s">
        <v>51</v>
      </c>
      <c r="E577" s="3" t="s">
        <v>46</v>
      </c>
      <c r="F577" s="3" t="s">
        <v>1116</v>
      </c>
      <c r="G577" s="3" t="s">
        <v>1201</v>
      </c>
      <c r="H577" s="3" t="s">
        <v>1879</v>
      </c>
      <c r="I577" s="3" t="str">
        <f>HYPERLINK("http://www.jccm.es/sede/tramite/KYS","RECONOCIMIENTO DE COMPATIBILIDAD PARA EL EJERCICIO DE ACTIVIDADES PRIVADAS")</f>
        <v>RECONOCIMIENTO DE COMPATIBILIDAD PARA EL EJERCICIO DE ACTIVIDADES PRIVADAS</v>
      </c>
      <c r="J577" s="3" t="s">
        <v>41</v>
      </c>
      <c r="K577" s="3" t="s">
        <v>41</v>
      </c>
      <c r="L577" s="3" t="s">
        <v>42</v>
      </c>
      <c r="M577" s="3" t="s">
        <v>41</v>
      </c>
    </row>
    <row r="578" spans="1:13" ht="299.10000000000002">
      <c r="A578" s="22" t="s">
        <v>17</v>
      </c>
      <c r="B578" s="3" t="s">
        <v>1880</v>
      </c>
      <c r="C578" s="3" t="s">
        <v>1881</v>
      </c>
      <c r="D578" s="3" t="s">
        <v>1882</v>
      </c>
      <c r="E578" s="3" t="s">
        <v>46</v>
      </c>
      <c r="F578" s="3" t="s">
        <v>1116</v>
      </c>
      <c r="G578" s="3" t="s">
        <v>1387</v>
      </c>
      <c r="H578" s="3" t="s">
        <v>1883</v>
      </c>
      <c r="I578" s="3" t="str">
        <f>HYPERLINK("http://www.jccm.es/sede/tramite/L94","CONVOCATORIA DE LA ACCION FORMATIVA CURSO EXPERTO EN TRIBUTACION Y ASESORIA FISCAL")</f>
        <v>CONVOCATORIA DE LA ACCION FORMATIVA CURSO EXPERTO EN TRIBUTACION Y ASESORIA FISCAL</v>
      </c>
      <c r="J578" s="3" t="s">
        <v>41</v>
      </c>
      <c r="K578" s="3" t="s">
        <v>41</v>
      </c>
      <c r="L578" s="3" t="s">
        <v>42</v>
      </c>
      <c r="M578" s="3" t="s">
        <v>41</v>
      </c>
    </row>
    <row r="579" spans="1:13" ht="114.95">
      <c r="A579" s="22" t="s">
        <v>17</v>
      </c>
      <c r="B579" s="3" t="s">
        <v>1884</v>
      </c>
      <c r="C579" s="3" t="s">
        <v>1885</v>
      </c>
      <c r="D579" s="3" t="s">
        <v>1886</v>
      </c>
      <c r="E579" s="3" t="s">
        <v>37</v>
      </c>
      <c r="F579" s="3" t="s">
        <v>1116</v>
      </c>
      <c r="G579" s="3" t="s">
        <v>1201</v>
      </c>
      <c r="H579" s="3" t="s">
        <v>1887</v>
      </c>
      <c r="I579" s="3" t="str">
        <f>HYPERLINK("http://www.jccm.es/sede/tramite/LB6","SUSPENSION DE CONTRATO DE TRABAJO POR ACTIVACION DE RESERVISTAS.")</f>
        <v>SUSPENSION DE CONTRATO DE TRABAJO POR ACTIVACION DE RESERVISTAS.</v>
      </c>
      <c r="J579" s="3" t="s">
        <v>41</v>
      </c>
      <c r="K579" s="3" t="s">
        <v>41</v>
      </c>
      <c r="L579" s="3" t="s">
        <v>42</v>
      </c>
      <c r="M579" s="3" t="s">
        <v>41</v>
      </c>
    </row>
    <row r="580" spans="1:13" ht="114.95">
      <c r="A580" s="22" t="s">
        <v>17</v>
      </c>
      <c r="B580" s="3" t="s">
        <v>1888</v>
      </c>
      <c r="C580" s="3" t="s">
        <v>1889</v>
      </c>
      <c r="D580" s="3" t="s">
        <v>95</v>
      </c>
      <c r="E580" s="3" t="s">
        <v>95</v>
      </c>
      <c r="F580" s="3" t="s">
        <v>1116</v>
      </c>
      <c r="G580" s="3" t="s">
        <v>1201</v>
      </c>
      <c r="H580" s="3" t="s">
        <v>1890</v>
      </c>
      <c r="I580" s="3" t="str">
        <f>HYPERLINK("http://www.jccm.es/sede/tramite/LBR","COMUNICACION DE DATOS AL PAGADOR. MODELO 145 DE LA AGENCIA TRIBUTARIA.")</f>
        <v>COMUNICACION DE DATOS AL PAGADOR. MODELO 145 DE LA AGENCIA TRIBUTARIA.</v>
      </c>
      <c r="J580" s="3" t="s">
        <v>41</v>
      </c>
      <c r="K580" s="3" t="s">
        <v>41</v>
      </c>
      <c r="L580" s="3" t="s">
        <v>42</v>
      </c>
      <c r="M580" s="3" t="s">
        <v>41</v>
      </c>
    </row>
    <row r="581" spans="1:13" ht="299.10000000000002">
      <c r="A581" s="22" t="s">
        <v>17</v>
      </c>
      <c r="B581" s="3" t="s">
        <v>1891</v>
      </c>
      <c r="C581" s="3" t="s">
        <v>1892</v>
      </c>
      <c r="D581" s="3" t="s">
        <v>62</v>
      </c>
      <c r="E581" s="3" t="s">
        <v>46</v>
      </c>
      <c r="F581" s="3" t="s">
        <v>1116</v>
      </c>
      <c r="G581" s="3" t="s">
        <v>1387</v>
      </c>
      <c r="H581" s="3" t="s">
        <v>1893</v>
      </c>
      <c r="I581" s="3" t="str">
        <f>HYPERLINK("http://www.jccm.es/sede/tramite/LCP","CONVOCATORIA  ACCION FORMATIVA CURSO PROPIO DE ESPECIALIZACION EN DERECHO ADMINISTRATIVO E INTELIGENCIA ARTIFICIAL")</f>
        <v>CONVOCATORIA  ACCION FORMATIVA CURSO PROPIO DE ESPECIALIZACION EN DERECHO ADMINISTRATIVO E INTELIGENCIA ARTIFICIAL</v>
      </c>
      <c r="J581" s="3" t="s">
        <v>41</v>
      </c>
      <c r="K581" s="3" t="s">
        <v>41</v>
      </c>
      <c r="L581" s="3" t="s">
        <v>42</v>
      </c>
      <c r="M581" s="3" t="s">
        <v>41</v>
      </c>
    </row>
    <row r="582" spans="1:13" ht="126.6">
      <c r="A582" s="22" t="s">
        <v>17</v>
      </c>
      <c r="B582" s="3" t="s">
        <v>1894</v>
      </c>
      <c r="C582" s="3" t="s">
        <v>1895</v>
      </c>
      <c r="D582" s="3" t="s">
        <v>45</v>
      </c>
      <c r="E582" s="3" t="s">
        <v>46</v>
      </c>
      <c r="F582" s="3" t="s">
        <v>1116</v>
      </c>
      <c r="G582" s="3" t="s">
        <v>1201</v>
      </c>
      <c r="H582" s="3" t="s">
        <v>1896</v>
      </c>
      <c r="I582" s="3" t="str">
        <f>HYPERLINK("http://www.jccm.es/sede/tramite/LEK","JUBILACION VOLUNTARIA ANTICIPADA DE PERSONAL LABORAL FIJO EN SITUACION DE JUBILACION PARCIAL")</f>
        <v>JUBILACION VOLUNTARIA ANTICIPADA DE PERSONAL LABORAL FIJO EN SITUACION DE JUBILACION PARCIAL</v>
      </c>
      <c r="J582" s="3" t="s">
        <v>41</v>
      </c>
      <c r="K582" s="3" t="s">
        <v>41</v>
      </c>
      <c r="L582" s="3" t="s">
        <v>42</v>
      </c>
      <c r="M582" s="3" t="s">
        <v>41</v>
      </c>
    </row>
    <row r="583" spans="1:13" ht="333.6">
      <c r="A583" s="22" t="s">
        <v>17</v>
      </c>
      <c r="B583" s="3" t="s">
        <v>1897</v>
      </c>
      <c r="C583" s="3" t="s">
        <v>1898</v>
      </c>
      <c r="D583" s="3" t="s">
        <v>1899</v>
      </c>
      <c r="E583" s="3" t="s">
        <v>95</v>
      </c>
      <c r="F583" s="3" t="s">
        <v>1116</v>
      </c>
      <c r="G583" s="3" t="s">
        <v>1201</v>
      </c>
      <c r="H583" s="3" t="s">
        <v>1900</v>
      </c>
      <c r="I583" s="3" t="str">
        <f>HYPERLINK("http://www.jccm.es/sede/tramite/LI5","COMUNICACION DE PRESUNTO ACOSO SEXUAL O POR RAZON DE SEXO AL PERSONAL DE ADMINISTRACION GENERAL DE LA JCCM Y SUS OOAA")</f>
        <v>COMUNICACION DE PRESUNTO ACOSO SEXUAL O POR RAZON DE SEXO AL PERSONAL DE ADMINISTRACION GENERAL DE LA JCCM Y SUS OOAA</v>
      </c>
      <c r="J583" s="3" t="s">
        <v>42</v>
      </c>
      <c r="K583" s="3" t="s">
        <v>41</v>
      </c>
      <c r="L583" s="3" t="s">
        <v>42</v>
      </c>
      <c r="M583" s="3" t="s">
        <v>41</v>
      </c>
    </row>
    <row r="584" spans="1:13" ht="172.5">
      <c r="A584" s="22" t="s">
        <v>17</v>
      </c>
      <c r="B584" s="3" t="s">
        <v>1901</v>
      </c>
      <c r="C584" s="3" t="s">
        <v>1902</v>
      </c>
      <c r="D584" s="3" t="s">
        <v>1903</v>
      </c>
      <c r="E584" s="3" t="s">
        <v>46</v>
      </c>
      <c r="F584" s="3" t="s">
        <v>1116</v>
      </c>
      <c r="G584" s="3" t="s">
        <v>1201</v>
      </c>
      <c r="H584" s="3" t="s">
        <v>1904</v>
      </c>
      <c r="I584" s="3" t="str">
        <f>HYPERLINK("http://www.jccm.es/sede/tramite/LR0","CONVOCATORIA CURSOS DE HABILITACION FUNCIONAL PARA EL PERSONAL LABORAL DE LA ADMINISTRACION DE LA JUNTA DE COMUNIDADES DE CASTILLA-LA MANCHA")</f>
        <v>CONVOCATORIA CURSOS DE HABILITACION FUNCIONAL PARA EL PERSONAL LABORAL DE LA ADMINISTRACION DE LA JUNTA DE COMUNIDADES DE CASTILLA-LA MANCHA</v>
      </c>
      <c r="J584" s="3" t="s">
        <v>41</v>
      </c>
      <c r="K584" s="3" t="s">
        <v>41</v>
      </c>
      <c r="L584" s="3" t="s">
        <v>42</v>
      </c>
      <c r="M584" s="3" t="s">
        <v>41</v>
      </c>
    </row>
    <row r="585" spans="1:13" ht="310.5">
      <c r="A585" s="22" t="s">
        <v>17</v>
      </c>
      <c r="B585" s="3" t="s">
        <v>1905</v>
      </c>
      <c r="C585" s="3" t="s">
        <v>1906</v>
      </c>
      <c r="D585" s="3" t="s">
        <v>1907</v>
      </c>
      <c r="E585" s="3" t="s">
        <v>46</v>
      </c>
      <c r="F585" s="3" t="s">
        <v>1116</v>
      </c>
      <c r="G585" s="3" t="s">
        <v>1387</v>
      </c>
      <c r="H585" s="3" t="s">
        <v>1908</v>
      </c>
      <c r="I585" s="3" t="str">
        <f>HYPERLINK("http://www.jccm.es/sede/tramite/LSW","CONVOCATORIA DE LA ACCION FORMATIVA  CURSO PROPIO ESPECIALIZACION EN UNION EUROPEA")</f>
        <v>CONVOCATORIA DE LA ACCION FORMATIVA  CURSO PROPIO ESPECIALIZACION EN UNION EUROPEA</v>
      </c>
      <c r="J585" s="3" t="s">
        <v>41</v>
      </c>
      <c r="K585" s="3" t="s">
        <v>41</v>
      </c>
      <c r="L585" s="3" t="s">
        <v>42</v>
      </c>
      <c r="M585" s="3" t="s">
        <v>41</v>
      </c>
    </row>
    <row r="586" spans="1:13" ht="114.95">
      <c r="A586" s="22" t="s">
        <v>17</v>
      </c>
      <c r="B586" s="3" t="s">
        <v>1909</v>
      </c>
      <c r="C586" s="3" t="s">
        <v>1910</v>
      </c>
      <c r="D586" s="3" t="s">
        <v>45</v>
      </c>
      <c r="E586" s="3" t="s">
        <v>46</v>
      </c>
      <c r="F586" s="3" t="s">
        <v>1116</v>
      </c>
      <c r="G586" s="3" t="s">
        <v>1201</v>
      </c>
      <c r="H586" s="3" t="s">
        <v>1911</v>
      </c>
      <c r="I586" s="3" t="str">
        <f>HYPERLINK("http://www.jccm.es/sede/tramite/JT1","CERTIFICADO PARA ADOPCION INTERNACIONAL")</f>
        <v>CERTIFICADO PARA ADOPCION INTERNACIONAL</v>
      </c>
      <c r="J586" s="3" t="s">
        <v>42</v>
      </c>
      <c r="K586" s="3" t="s">
        <v>41</v>
      </c>
      <c r="L586" s="3" t="s">
        <v>42</v>
      </c>
      <c r="M586" s="3" t="s">
        <v>41</v>
      </c>
    </row>
    <row r="587" spans="1:13" ht="114.95">
      <c r="A587" s="22" t="s">
        <v>17</v>
      </c>
      <c r="B587" s="3" t="s">
        <v>1912</v>
      </c>
      <c r="C587" s="3" t="s">
        <v>1913</v>
      </c>
      <c r="D587" s="3" t="s">
        <v>45</v>
      </c>
      <c r="E587" s="3" t="s">
        <v>46</v>
      </c>
      <c r="F587" s="3" t="s">
        <v>1116</v>
      </c>
      <c r="G587" s="3" t="s">
        <v>1201</v>
      </c>
      <c r="H587" s="3" t="s">
        <v>1914</v>
      </c>
      <c r="I587" s="3" t="str">
        <f>HYPERLINK("http://www.jccm.es/sede/tramite/JT0","OTROS CERTIFICADOS")</f>
        <v>OTROS CERTIFICADOS</v>
      </c>
      <c r="J587" s="3" t="s">
        <v>41</v>
      </c>
      <c r="K587" s="3" t="s">
        <v>41</v>
      </c>
      <c r="L587" s="3" t="s">
        <v>42</v>
      </c>
      <c r="M587" s="3" t="s">
        <v>41</v>
      </c>
    </row>
    <row r="588" spans="1:13" ht="138">
      <c r="A588" s="22" t="s">
        <v>17</v>
      </c>
      <c r="B588" s="3" t="s">
        <v>1915</v>
      </c>
      <c r="C588" s="3" t="s">
        <v>1916</v>
      </c>
      <c r="D588" s="3" t="s">
        <v>45</v>
      </c>
      <c r="E588" s="3" t="s">
        <v>46</v>
      </c>
      <c r="F588" s="3" t="s">
        <v>1116</v>
      </c>
      <c r="G588" s="3" t="s">
        <v>1201</v>
      </c>
      <c r="H588" s="3" t="s">
        <v>1917</v>
      </c>
      <c r="I588" s="3" t="str">
        <f>HYPERLINK("http://www.jccm.es/sede/tramite/JST","CERTIFICADO ACREDITATIVO DE LA PERCEPCION/NO PERCEPCION DE AYUDAS DEL PROGRAMA DE ACCION SOCIAL")</f>
        <v>CERTIFICADO ACREDITATIVO DE LA PERCEPCION/NO PERCEPCION DE AYUDAS DEL PROGRAMA DE ACCION SOCIAL</v>
      </c>
      <c r="J588" s="3" t="s">
        <v>42</v>
      </c>
      <c r="K588" s="3" t="s">
        <v>41</v>
      </c>
      <c r="L588" s="3" t="s">
        <v>42</v>
      </c>
      <c r="M588" s="3" t="s">
        <v>41</v>
      </c>
    </row>
    <row r="589" spans="1:13" ht="114.95">
      <c r="A589" s="22" t="s">
        <v>17</v>
      </c>
      <c r="B589" s="3" t="s">
        <v>1918</v>
      </c>
      <c r="C589" s="3" t="s">
        <v>1919</v>
      </c>
      <c r="D589" s="3" t="s">
        <v>45</v>
      </c>
      <c r="E589" s="3" t="s">
        <v>46</v>
      </c>
      <c r="F589" s="3" t="s">
        <v>1116</v>
      </c>
      <c r="G589" s="3" t="s">
        <v>1201</v>
      </c>
      <c r="H589" s="3" t="s">
        <v>1920</v>
      </c>
      <c r="I589" s="3" t="str">
        <f>HYPERLINK("http://www.jccm.es/sede/tramite/JSX","CERTIFICADO DE SERVICIOS PRESTADOS")</f>
        <v>CERTIFICADO DE SERVICIOS PRESTADOS</v>
      </c>
      <c r="J589" s="3" t="s">
        <v>41</v>
      </c>
      <c r="K589" s="3" t="s">
        <v>41</v>
      </c>
      <c r="L589" s="3" t="s">
        <v>42</v>
      </c>
      <c r="M589" s="3" t="s">
        <v>41</v>
      </c>
    </row>
    <row r="590" spans="1:13" ht="114.95">
      <c r="A590" s="22" t="s">
        <v>17</v>
      </c>
      <c r="B590" s="3" t="s">
        <v>1921</v>
      </c>
      <c r="C590" s="3" t="s">
        <v>1922</v>
      </c>
      <c r="D590" s="3" t="s">
        <v>45</v>
      </c>
      <c r="E590" s="3" t="s">
        <v>46</v>
      </c>
      <c r="F590" s="3" t="s">
        <v>1116</v>
      </c>
      <c r="G590" s="3" t="s">
        <v>1201</v>
      </c>
      <c r="H590" s="3" t="s">
        <v>1923</v>
      </c>
      <c r="I590" s="3" t="str">
        <f>HYPERLINK("http://www.jccm.es/sede/tramite/JSV","CAMBIO DE CUENTA BANCARIA EN NOMINA")</f>
        <v>CAMBIO DE CUENTA BANCARIA EN NOMINA</v>
      </c>
      <c r="J590" s="3" t="s">
        <v>42</v>
      </c>
      <c r="K590" s="3" t="s">
        <v>41</v>
      </c>
      <c r="L590" s="3" t="s">
        <v>42</v>
      </c>
      <c r="M590" s="3" t="s">
        <v>41</v>
      </c>
    </row>
    <row r="591" spans="1:13" ht="114.95">
      <c r="A591" s="22" t="s">
        <v>17</v>
      </c>
      <c r="B591" s="3" t="s">
        <v>1924</v>
      </c>
      <c r="C591" s="3" t="s">
        <v>1925</v>
      </c>
      <c r="D591" s="3" t="s">
        <v>45</v>
      </c>
      <c r="E591" s="3" t="s">
        <v>46</v>
      </c>
      <c r="F591" s="3" t="s">
        <v>1116</v>
      </c>
      <c r="G591" s="3" t="s">
        <v>1201</v>
      </c>
      <c r="H591" s="3" t="s">
        <v>1926</v>
      </c>
      <c r="I591" s="3" t="str">
        <f>HYPERLINK("http://www.jccm.es/sede/tramite/JSU","CAMBIO DE DOMICILIO")</f>
        <v>CAMBIO DE DOMICILIO</v>
      </c>
      <c r="J591" s="3" t="s">
        <v>42</v>
      </c>
      <c r="K591" s="3" t="s">
        <v>41</v>
      </c>
      <c r="L591" s="3" t="s">
        <v>42</v>
      </c>
      <c r="M591" s="3" t="s">
        <v>41</v>
      </c>
    </row>
    <row r="592" spans="1:13" ht="114.95">
      <c r="A592" s="22" t="s">
        <v>17</v>
      </c>
      <c r="B592" s="3" t="s">
        <v>1927</v>
      </c>
      <c r="C592" s="3" t="s">
        <v>1928</v>
      </c>
      <c r="D592" s="3" t="s">
        <v>62</v>
      </c>
      <c r="E592" s="3" t="s">
        <v>46</v>
      </c>
      <c r="F592" s="3" t="s">
        <v>1116</v>
      </c>
      <c r="G592" s="3" t="s">
        <v>1201</v>
      </c>
      <c r="H592" s="3" t="s">
        <v>1929</v>
      </c>
      <c r="I592" s="3" t="str">
        <f>HYPERLINK("http://www.jccm.es/sede/tramite/JSW","APLICACION EN NOMINA DE UN PORCENTAJE DE RETENCION POR IRPF SUPERIOR AL LEGAL")</f>
        <v>APLICACION EN NOMINA DE UN PORCENTAJE DE RETENCION POR IRPF SUPERIOR AL LEGAL</v>
      </c>
      <c r="J592" s="3" t="s">
        <v>42</v>
      </c>
      <c r="K592" s="3" t="s">
        <v>41</v>
      </c>
      <c r="L592" s="3" t="s">
        <v>42</v>
      </c>
      <c r="M592" s="3" t="s">
        <v>41</v>
      </c>
    </row>
    <row r="593" spans="1:13" ht="138">
      <c r="A593" s="22" t="s">
        <v>17</v>
      </c>
      <c r="B593" s="3" t="s">
        <v>1930</v>
      </c>
      <c r="C593" s="3" t="s">
        <v>1931</v>
      </c>
      <c r="D593" s="3" t="s">
        <v>62</v>
      </c>
      <c r="E593" s="3" t="s">
        <v>46</v>
      </c>
      <c r="F593" s="3" t="s">
        <v>1116</v>
      </c>
      <c r="G593" s="3" t="s">
        <v>1201</v>
      </c>
      <c r="H593" s="3" t="s">
        <v>1932</v>
      </c>
      <c r="I593" s="3" t="str">
        <f>HYPERLINK("http://www.jccm.es/sede/tramite/JZH","APLICACION EN NOMINA DEL PORCENTAJE DE RETENCION POR IRPF QUE LEGALMENTE CORRESPONDA")</f>
        <v>APLICACION EN NOMINA DEL PORCENTAJE DE RETENCION POR IRPF QUE LEGALMENTE CORRESPONDA</v>
      </c>
      <c r="J593" s="3" t="s">
        <v>42</v>
      </c>
      <c r="K593" s="3" t="s">
        <v>41</v>
      </c>
      <c r="L593" s="3" t="s">
        <v>42</v>
      </c>
      <c r="M593" s="3" t="s">
        <v>41</v>
      </c>
    </row>
    <row r="594" spans="1:13" ht="114.95">
      <c r="A594" s="22" t="s">
        <v>17</v>
      </c>
      <c r="B594" s="3" t="s">
        <v>1933</v>
      </c>
      <c r="C594" s="3" t="s">
        <v>1934</v>
      </c>
      <c r="D594" s="3" t="s">
        <v>327</v>
      </c>
      <c r="E594" s="3" t="s">
        <v>46</v>
      </c>
      <c r="F594" s="3" t="s">
        <v>1116</v>
      </c>
      <c r="G594" s="3" t="s">
        <v>1201</v>
      </c>
      <c r="H594" s="3" t="s">
        <v>1935</v>
      </c>
      <c r="I594" s="3" t="str">
        <f>HYPERLINK("http://www.jccm.es/sede/tramite/IT6","CONCURSO ESCALAS ARCHIVOS BLIBLIOTECAS Y MUSEOS")</f>
        <v>CONCURSO ESCALAS ARCHIVOS BLIBLIOTECAS Y MUSEOS</v>
      </c>
      <c r="J594" s="3" t="s">
        <v>42</v>
      </c>
      <c r="K594" s="3" t="s">
        <v>41</v>
      </c>
      <c r="L594" s="3" t="s">
        <v>42</v>
      </c>
      <c r="M594" s="3" t="s">
        <v>41</v>
      </c>
    </row>
    <row r="595" spans="1:13" ht="114.95">
      <c r="A595" s="22" t="s">
        <v>17</v>
      </c>
      <c r="B595" s="3" t="s">
        <v>1936</v>
      </c>
      <c r="C595" s="3" t="s">
        <v>1937</v>
      </c>
      <c r="D595" s="3" t="s">
        <v>327</v>
      </c>
      <c r="E595" s="3" t="s">
        <v>46</v>
      </c>
      <c r="F595" s="3" t="s">
        <v>1116</v>
      </c>
      <c r="G595" s="3" t="s">
        <v>1201</v>
      </c>
      <c r="H595" s="3" t="s">
        <v>1938</v>
      </c>
      <c r="I595" s="3" t="str">
        <f>HYPERLINK("http://www.jccm.es/sede/tramite/IWS","CONCURSO ESCALA TECNICA EDUCATIVA")</f>
        <v>CONCURSO ESCALA TECNICA EDUCATIVA</v>
      </c>
      <c r="J595" s="3" t="s">
        <v>41</v>
      </c>
      <c r="K595" s="3" t="s">
        <v>41</v>
      </c>
      <c r="L595" s="3" t="s">
        <v>42</v>
      </c>
      <c r="M595" s="3" t="s">
        <v>41</v>
      </c>
    </row>
    <row r="596" spans="1:13" ht="183.95">
      <c r="A596" s="22" t="s">
        <v>17</v>
      </c>
      <c r="B596" s="3" t="s">
        <v>1939</v>
      </c>
      <c r="C596" s="3" t="s">
        <v>1940</v>
      </c>
      <c r="D596" s="3" t="s">
        <v>45</v>
      </c>
      <c r="E596" s="3" t="s">
        <v>46</v>
      </c>
      <c r="F596" s="3" t="s">
        <v>1116</v>
      </c>
      <c r="G596" s="3" t="s">
        <v>1286</v>
      </c>
      <c r="H596" s="3" t="s">
        <v>1941</v>
      </c>
      <c r="I596" s="3" t="str">
        <f>HYPERLINK("http://www.jccm.es/sede/tramite/KKY","CONVOCATORIA PARA LA PROVISION POR EL PROCEDIMIENTO DE LIBRE DESIGNACION (LD. HAC-AAPP F1/2022) DE PUESTOS DE TRABAJO DE PERSONAL FUNCIONARIO.")</f>
        <v>CONVOCATORIA PARA LA PROVISION POR EL PROCEDIMIENTO DE LIBRE DESIGNACION (LD. HAC-AAPP F1/2022) DE PUESTOS DE TRABAJO DE PERSONAL FUNCIONARIO.</v>
      </c>
      <c r="J596" s="3" t="s">
        <v>41</v>
      </c>
      <c r="K596" s="3" t="s">
        <v>41</v>
      </c>
      <c r="L596" s="3" t="s">
        <v>42</v>
      </c>
      <c r="M596" s="3" t="s">
        <v>41</v>
      </c>
    </row>
    <row r="597" spans="1:13" ht="195.6">
      <c r="A597" s="22" t="s">
        <v>17</v>
      </c>
      <c r="B597" s="3" t="s">
        <v>1942</v>
      </c>
      <c r="C597" s="3" t="s">
        <v>1943</v>
      </c>
      <c r="D597" s="3" t="s">
        <v>45</v>
      </c>
      <c r="E597" s="3" t="s">
        <v>46</v>
      </c>
      <c r="F597" s="3" t="s">
        <v>1116</v>
      </c>
      <c r="G597" s="3" t="s">
        <v>1286</v>
      </c>
      <c r="H597" s="3" t="s">
        <v>1944</v>
      </c>
      <c r="I597" s="3" t="str">
        <f>HYPERLINK("http://www.jccm.es/sede/tramite/K8S","CONVOCATORIA DE LA PROVISION, POR EL SISTEMA DE LIBRE DESIGNACION DE PUESTOS RESERVADOS A PERSONAL LABORAL FIJO ( CATEGORIA CONDUCTOR).")</f>
        <v>CONVOCATORIA DE LA PROVISION, POR EL SISTEMA DE LIBRE DESIGNACION DE PUESTOS RESERVADOS A PERSONAL LABORAL FIJO ( CATEGORIA CONDUCTOR).</v>
      </c>
      <c r="J597" s="3" t="s">
        <v>41</v>
      </c>
      <c r="K597" s="3" t="s">
        <v>41</v>
      </c>
      <c r="L597" s="3" t="s">
        <v>42</v>
      </c>
      <c r="M597" s="3" t="s">
        <v>41</v>
      </c>
    </row>
    <row r="598" spans="1:13" ht="368.1">
      <c r="A598" s="22" t="s">
        <v>17</v>
      </c>
      <c r="B598" s="3" t="s">
        <v>1945</v>
      </c>
      <c r="C598" s="3" t="s">
        <v>1946</v>
      </c>
      <c r="D598" s="3" t="s">
        <v>1723</v>
      </c>
      <c r="E598" s="3" t="s">
        <v>46</v>
      </c>
      <c r="F598" s="3" t="s">
        <v>1116</v>
      </c>
      <c r="G598" s="3" t="s">
        <v>1201</v>
      </c>
      <c r="H598" s="3" t="s">
        <v>1947</v>
      </c>
      <c r="I598" s="3" t="str">
        <f>HYPERLINK("http://www.jccm.es/sede/tramite/KPI","CONVOCATORIA DEL PROGRAMA DE FORMACION ESPECIFICA, DENTRO DEL PLAN DE FORMACION PARA EL PERSONAL DE LA ADMINISTRACION DE LA JUNTA DE COMUNIDADES DE CASTILLA-LA MANCHA.")</f>
        <v>CONVOCATORIA DEL PROGRAMA DE FORMACION ESPECIFICA, DENTRO DEL PLAN DE FORMACION PARA EL PERSONAL DE LA ADMINISTRACION DE LA JUNTA DE COMUNIDADES DE CASTILLA-LA MANCHA.</v>
      </c>
      <c r="J598" s="3" t="s">
        <v>41</v>
      </c>
      <c r="K598" s="3" t="s">
        <v>41</v>
      </c>
      <c r="L598" s="3" t="s">
        <v>42</v>
      </c>
      <c r="M598" s="3" t="s">
        <v>41</v>
      </c>
    </row>
    <row r="599" spans="1:13" ht="368.1">
      <c r="A599" s="22" t="s">
        <v>17</v>
      </c>
      <c r="B599" s="3" t="s">
        <v>1948</v>
      </c>
      <c r="C599" s="3" t="s">
        <v>1949</v>
      </c>
      <c r="D599" s="3" t="s">
        <v>1723</v>
      </c>
      <c r="E599" s="3" t="s">
        <v>46</v>
      </c>
      <c r="F599" s="3" t="s">
        <v>1116</v>
      </c>
      <c r="G599" s="3" t="s">
        <v>1387</v>
      </c>
      <c r="H599" s="3" t="s">
        <v>1950</v>
      </c>
      <c r="I599" s="3" t="str">
        <f>HYPERLINK("http://www.jccm.es/sede/tramite/KRU","CONVOCATORIA ACCION FORMATIVA CURSO PROPIO ESPECIALIZACION EN GOBIERNO ABIERTO")</f>
        <v>CONVOCATORIA ACCION FORMATIVA CURSO PROPIO ESPECIALIZACION EN GOBIERNO ABIERTO</v>
      </c>
      <c r="J599" s="3" t="s">
        <v>41</v>
      </c>
      <c r="K599" s="3" t="s">
        <v>41</v>
      </c>
      <c r="L599" s="3" t="s">
        <v>42</v>
      </c>
      <c r="M599" s="3" t="s">
        <v>41</v>
      </c>
    </row>
    <row r="600" spans="1:13" ht="368.1">
      <c r="A600" s="22" t="s">
        <v>17</v>
      </c>
      <c r="B600" s="3" t="s">
        <v>1951</v>
      </c>
      <c r="C600" s="3" t="s">
        <v>1952</v>
      </c>
      <c r="D600" s="3" t="s">
        <v>1723</v>
      </c>
      <c r="E600" s="3" t="s">
        <v>46</v>
      </c>
      <c r="F600" s="3" t="s">
        <v>1116</v>
      </c>
      <c r="G600" s="3" t="s">
        <v>1201</v>
      </c>
      <c r="H600" s="3" t="s">
        <v>1953</v>
      </c>
      <c r="I600" s="3" t="str">
        <f>HYPERLINK("http://www.jccm.es/sede/tramite/J4A","ACCIONES FORMATIVAS EN INGLES ESPECIFICO, COMPRENDIDAS EN EL PROGRAMA DE FORMACION EN IDIOMAS.")</f>
        <v>ACCIONES FORMATIVAS EN INGLES ESPECIFICO, COMPRENDIDAS EN EL PROGRAMA DE FORMACION EN IDIOMAS.</v>
      </c>
      <c r="J600" s="3" t="s">
        <v>41</v>
      </c>
      <c r="K600" s="3" t="s">
        <v>41</v>
      </c>
      <c r="L600" s="3" t="s">
        <v>42</v>
      </c>
      <c r="M600" s="3" t="s">
        <v>41</v>
      </c>
    </row>
    <row r="601" spans="1:13" ht="368.1">
      <c r="A601" s="22" t="s">
        <v>17</v>
      </c>
      <c r="B601" s="3" t="s">
        <v>1954</v>
      </c>
      <c r="C601" s="3" t="s">
        <v>1955</v>
      </c>
      <c r="D601" s="3" t="s">
        <v>1723</v>
      </c>
      <c r="E601" s="3" t="s">
        <v>46</v>
      </c>
      <c r="F601" s="3" t="s">
        <v>1116</v>
      </c>
      <c r="G601" s="3" t="s">
        <v>1387</v>
      </c>
      <c r="H601" s="3" t="s">
        <v>1956</v>
      </c>
      <c r="I601" s="3" t="str">
        <f>HYPERLINK("http://www.jccm.es/sede/tramite/KRZ","CONVOCATORIA DEL PROGRAMA DE AUTOFORMACION,DENTRO DEL PLAN DE FORMACION PARA EL PERSONAL DE LA ADMINISTRACION DE LA JUNTA DE COMUNIDADES DE CASTILLA- LA MANCHA.")</f>
        <v>CONVOCATORIA DEL PROGRAMA DE AUTOFORMACION,DENTRO DEL PLAN DE FORMACION PARA EL PERSONAL DE LA ADMINISTRACION DE LA JUNTA DE COMUNIDADES DE CASTILLA- LA MANCHA.</v>
      </c>
      <c r="J601" s="3" t="s">
        <v>41</v>
      </c>
      <c r="K601" s="3" t="s">
        <v>41</v>
      </c>
      <c r="L601" s="3" t="s">
        <v>42</v>
      </c>
      <c r="M601" s="3" t="s">
        <v>41</v>
      </c>
    </row>
    <row r="602" spans="1:13" ht="368.1">
      <c r="A602" s="22" t="s">
        <v>17</v>
      </c>
      <c r="B602" s="3" t="s">
        <v>1957</v>
      </c>
      <c r="C602" s="3" t="s">
        <v>1958</v>
      </c>
      <c r="D602" s="3" t="s">
        <v>1723</v>
      </c>
      <c r="E602" s="3" t="s">
        <v>46</v>
      </c>
      <c r="F602" s="3" t="s">
        <v>1116</v>
      </c>
      <c r="G602" s="3" t="s">
        <v>1387</v>
      </c>
      <c r="H602" s="3" t="s">
        <v>1959</v>
      </c>
      <c r="I602" s="3" t="str">
        <f>HYPERLINK("http://www.jccm.es/sede/tramite/LVX","CONVOCATORIA DEL TITULO PROPIO DE  MASTER EN CONTRATACION PUBLICA   DENTRO DEL PLAN DE FORMACION PARA EL PERSONAL DE LA ADMINISTRACION DE LA JUNTA DE COMUNIDADES DE CASTILLA- LA MANCHA")</f>
        <v>CONVOCATORIA DEL TITULO PROPIO DE  MASTER EN CONTRATACION PUBLICA   DENTRO DEL PLAN DE FORMACION PARA EL PERSONAL DE LA ADMINISTRACION DE LA JUNTA DE COMUNIDADES DE CASTILLA- LA MANCHA</v>
      </c>
      <c r="J602" s="3" t="s">
        <v>41</v>
      </c>
      <c r="K602" s="3" t="s">
        <v>41</v>
      </c>
      <c r="L602" s="3" t="s">
        <v>42</v>
      </c>
      <c r="M602" s="3" t="s">
        <v>41</v>
      </c>
    </row>
    <row r="603" spans="1:13" ht="207">
      <c r="A603" s="22" t="s">
        <v>17</v>
      </c>
      <c r="B603" s="3" t="s">
        <v>1960</v>
      </c>
      <c r="C603" s="3" t="s">
        <v>1961</v>
      </c>
      <c r="D603" s="3" t="s">
        <v>1899</v>
      </c>
      <c r="E603" s="3" t="s">
        <v>95</v>
      </c>
      <c r="F603" s="3" t="s">
        <v>1116</v>
      </c>
      <c r="G603" s="3" t="s">
        <v>1201</v>
      </c>
      <c r="H603" s="3" t="s">
        <v>1962</v>
      </c>
      <c r="I603" s="3" t="str">
        <f>HYPERLINK("http://www.jccm.es/sede/tramite/KZP","COMUNICACION PRESUNTO ACOSO LABORAL AL PERSONAL DE ADMINISTRACION GENERAL DE LA JCCM Y  SUS OOAA.")</f>
        <v>COMUNICACION PRESUNTO ACOSO LABORAL AL PERSONAL DE ADMINISTRACION GENERAL DE LA JCCM Y  SUS OOAA.</v>
      </c>
      <c r="J603" s="3" t="s">
        <v>41</v>
      </c>
      <c r="K603" s="3" t="s">
        <v>41</v>
      </c>
      <c r="L603" s="3" t="s">
        <v>42</v>
      </c>
      <c r="M603" s="3" t="s">
        <v>41</v>
      </c>
    </row>
    <row r="604" spans="1:13" ht="114.95">
      <c r="A604" s="22" t="s">
        <v>17</v>
      </c>
      <c r="B604" s="3" t="s">
        <v>1963</v>
      </c>
      <c r="C604" s="3" t="s">
        <v>1964</v>
      </c>
      <c r="D604" s="3" t="s">
        <v>1965</v>
      </c>
      <c r="E604" s="3" t="s">
        <v>95</v>
      </c>
      <c r="F604" s="3" t="s">
        <v>1116</v>
      </c>
      <c r="G604" s="3" t="s">
        <v>1201</v>
      </c>
      <c r="H604" s="3" t="s">
        <v>1966</v>
      </c>
      <c r="I604" s="3" t="str">
        <f>HYPERLINK("http://www.jccm.es/sede/tramite/LMI","FINALIZACION DE LA AUTORIZACION DE TELETRABAJO.")</f>
        <v>FINALIZACION DE LA AUTORIZACION DE TELETRABAJO.</v>
      </c>
      <c r="J604" s="3" t="s">
        <v>41</v>
      </c>
      <c r="K604" s="3" t="s">
        <v>41</v>
      </c>
      <c r="L604" s="3" t="s">
        <v>42</v>
      </c>
      <c r="M604" s="3" t="s">
        <v>41</v>
      </c>
    </row>
    <row r="605" spans="1:13" ht="114.95">
      <c r="A605" s="22" t="s">
        <v>17</v>
      </c>
      <c r="B605" s="3" t="s">
        <v>1967</v>
      </c>
      <c r="C605" s="3" t="s">
        <v>1968</v>
      </c>
      <c r="D605" s="3" t="s">
        <v>1965</v>
      </c>
      <c r="E605" s="3" t="s">
        <v>95</v>
      </c>
      <c r="F605" s="3" t="s">
        <v>1116</v>
      </c>
      <c r="G605" s="3" t="s">
        <v>1201</v>
      </c>
      <c r="H605" s="3" t="s">
        <v>1969</v>
      </c>
      <c r="I605" s="3" t="str">
        <f>HYPERLINK("http://www.jccm.es/sede/tramite/LMH","SUSPENSION DE LA AUTORIZACION DE TELETRABAJO.")</f>
        <v>SUSPENSION DE LA AUTORIZACION DE TELETRABAJO.</v>
      </c>
      <c r="J605" s="3" t="s">
        <v>41</v>
      </c>
      <c r="K605" s="3" t="s">
        <v>41</v>
      </c>
      <c r="L605" s="3" t="s">
        <v>42</v>
      </c>
      <c r="M605" s="3" t="s">
        <v>41</v>
      </c>
    </row>
    <row r="606" spans="1:13" ht="114.95">
      <c r="A606" s="22" t="s">
        <v>17</v>
      </c>
      <c r="B606" s="3" t="s">
        <v>1970</v>
      </c>
      <c r="C606" s="3" t="s">
        <v>1971</v>
      </c>
      <c r="D606" s="3" t="s">
        <v>1965</v>
      </c>
      <c r="E606" s="3" t="s">
        <v>95</v>
      </c>
      <c r="F606" s="3" t="s">
        <v>1116</v>
      </c>
      <c r="G606" s="3" t="s">
        <v>1201</v>
      </c>
      <c r="H606" s="3" t="s">
        <v>1972</v>
      </c>
      <c r="I606" s="3" t="str">
        <f>HYPERLINK("http://www.jccm.es/sede/tramite/LME","AUTORIZACION DE TELETRABAJO")</f>
        <v>AUTORIZACION DE TELETRABAJO</v>
      </c>
      <c r="J606" s="3" t="s">
        <v>41</v>
      </c>
      <c r="K606" s="3" t="s">
        <v>41</v>
      </c>
      <c r="L606" s="3" t="s">
        <v>42</v>
      </c>
      <c r="M606" s="3" t="s">
        <v>41</v>
      </c>
    </row>
    <row r="607" spans="1:13" ht="114.95">
      <c r="A607" s="22" t="s">
        <v>17</v>
      </c>
      <c r="B607" s="3" t="s">
        <v>1973</v>
      </c>
      <c r="C607" s="3" t="s">
        <v>1974</v>
      </c>
      <c r="D607" s="3" t="s">
        <v>1965</v>
      </c>
      <c r="E607" s="3" t="s">
        <v>95</v>
      </c>
      <c r="F607" s="3" t="s">
        <v>1116</v>
      </c>
      <c r="G607" s="3" t="s">
        <v>1201</v>
      </c>
      <c r="H607" s="3" t="s">
        <v>1975</v>
      </c>
      <c r="I607" s="3" t="str">
        <f>HYPERLINK("http://www.jccm.es/sede/tramite/LMG","MODIFICACION DE LA AUTORIZACION DE TELETRABAJO.")</f>
        <v>MODIFICACION DE LA AUTORIZACION DE TELETRABAJO.</v>
      </c>
      <c r="J607" s="3" t="s">
        <v>41</v>
      </c>
      <c r="K607" s="3" t="s">
        <v>41</v>
      </c>
      <c r="L607" s="3" t="s">
        <v>42</v>
      </c>
      <c r="M607" s="3" t="s">
        <v>41</v>
      </c>
    </row>
    <row r="608" spans="1:13" ht="114.95">
      <c r="A608" s="22" t="s">
        <v>17</v>
      </c>
      <c r="B608" s="3" t="s">
        <v>1976</v>
      </c>
      <c r="C608" s="3" t="s">
        <v>1977</v>
      </c>
      <c r="D608" s="3" t="s">
        <v>1965</v>
      </c>
      <c r="E608" s="3" t="s">
        <v>95</v>
      </c>
      <c r="F608" s="3" t="s">
        <v>1116</v>
      </c>
      <c r="G608" s="3" t="s">
        <v>1201</v>
      </c>
      <c r="H608" s="3" t="s">
        <v>1978</v>
      </c>
      <c r="I608" s="3" t="str">
        <f>HYPERLINK("http://www.jccm.es/sede/tramite/LMF","PRORROGA DE LA AUTORIZACION DE TELETRABAJO.")</f>
        <v>PRORROGA DE LA AUTORIZACION DE TELETRABAJO.</v>
      </c>
      <c r="J608" s="3" t="s">
        <v>41</v>
      </c>
      <c r="K608" s="3" t="s">
        <v>41</v>
      </c>
      <c r="L608" s="3" t="s">
        <v>42</v>
      </c>
      <c r="M608" s="3" t="s">
        <v>41</v>
      </c>
    </row>
    <row r="609" spans="1:13" ht="183.95">
      <c r="A609" s="22" t="s">
        <v>17</v>
      </c>
      <c r="B609" s="3" t="s">
        <v>1979</v>
      </c>
      <c r="C609" s="3" t="s">
        <v>1980</v>
      </c>
      <c r="D609" s="3" t="s">
        <v>45</v>
      </c>
      <c r="E609" s="3" t="s">
        <v>46</v>
      </c>
      <c r="F609" s="3" t="s">
        <v>1116</v>
      </c>
      <c r="G609" s="3" t="s">
        <v>1286</v>
      </c>
      <c r="H609" s="3" t="s">
        <v>1981</v>
      </c>
      <c r="I609" s="3" t="str">
        <f>HYPERLINK("http://www.jccm.es/sede/tramite/KYF","ENAJENACION DIRECTA DE BIENES INMUEBLES Y DERECHOS REALES SOBRE LOS MISMOS TITULARIDAD DE LA  JCCM.")</f>
        <v>ENAJENACION DIRECTA DE BIENES INMUEBLES Y DERECHOS REALES SOBRE LOS MISMOS TITULARIDAD DE LA  JCCM.</v>
      </c>
      <c r="J609" s="3" t="s">
        <v>42</v>
      </c>
      <c r="K609" s="3" t="s">
        <v>41</v>
      </c>
      <c r="L609" s="3" t="s">
        <v>42</v>
      </c>
      <c r="M609" s="3" t="s">
        <v>41</v>
      </c>
    </row>
    <row r="610" spans="1:13" ht="161.1">
      <c r="A610" s="22" t="s">
        <v>17</v>
      </c>
      <c r="B610" s="3" t="s">
        <v>1982</v>
      </c>
      <c r="C610" s="3" t="s">
        <v>1983</v>
      </c>
      <c r="D610" s="3" t="s">
        <v>45</v>
      </c>
      <c r="E610" s="3" t="s">
        <v>46</v>
      </c>
      <c r="F610" s="3" t="s">
        <v>1116</v>
      </c>
      <c r="G610" s="3" t="s">
        <v>1286</v>
      </c>
      <c r="H610" s="3" t="s">
        <v>1984</v>
      </c>
      <c r="I610" s="3" t="str">
        <f>HYPERLINK("http://www.jccm.es/sede/tramite/KYG","CESION GRATUITA DE BIENES INMUEBLES DE LA JCCM.")</f>
        <v>CESION GRATUITA DE BIENES INMUEBLES DE LA JCCM.</v>
      </c>
      <c r="J610" s="3" t="s">
        <v>42</v>
      </c>
      <c r="K610" s="3" t="s">
        <v>41</v>
      </c>
      <c r="L610" s="3" t="s">
        <v>42</v>
      </c>
      <c r="M610" s="3" t="s">
        <v>41</v>
      </c>
    </row>
    <row r="611" spans="1:13" ht="161.1">
      <c r="A611" s="22" t="s">
        <v>17</v>
      </c>
      <c r="B611" s="3" t="s">
        <v>1985</v>
      </c>
      <c r="C611" s="3" t="s">
        <v>1986</v>
      </c>
      <c r="D611" s="3" t="s">
        <v>45</v>
      </c>
      <c r="E611" s="3" t="s">
        <v>46</v>
      </c>
      <c r="F611" s="3" t="s">
        <v>1116</v>
      </c>
      <c r="G611" s="3" t="s">
        <v>1286</v>
      </c>
      <c r="H611" s="3" t="s">
        <v>1987</v>
      </c>
      <c r="I611" s="3" t="str">
        <f>HYPERLINK("http://www.jccm.es/sede/tramite/KYH","CESION GRATUITA DE USO DE BIENES INMUEBLES DE LA JCCM.")</f>
        <v>CESION GRATUITA DE USO DE BIENES INMUEBLES DE LA JCCM.</v>
      </c>
      <c r="J611" s="3" t="s">
        <v>42</v>
      </c>
      <c r="K611" s="3" t="s">
        <v>41</v>
      </c>
      <c r="L611" s="3" t="s">
        <v>42</v>
      </c>
      <c r="M611" s="3" t="s">
        <v>41</v>
      </c>
    </row>
    <row r="612" spans="1:13" ht="161.1">
      <c r="A612" s="22" t="s">
        <v>17</v>
      </c>
      <c r="B612" s="3" t="s">
        <v>1988</v>
      </c>
      <c r="C612" s="3" t="s">
        <v>1989</v>
      </c>
      <c r="D612" s="3" t="s">
        <v>1990</v>
      </c>
      <c r="E612" s="3" t="s">
        <v>46</v>
      </c>
      <c r="F612" s="3" t="s">
        <v>1116</v>
      </c>
      <c r="G612" s="3" t="s">
        <v>1286</v>
      </c>
      <c r="H612" s="3" t="s">
        <v>1991</v>
      </c>
      <c r="I612" s="3" t="str">
        <f>HYPERLINK("http://www.jccm.es/sede/tramite/KYI","ARRENDAMIENTO DE BIENES INMUEBLES, JCCM COMO ARRENDATARIA, POR ADJUDICACION DIRECTA.")</f>
        <v>ARRENDAMIENTO DE BIENES INMUEBLES, JCCM COMO ARRENDATARIA, POR ADJUDICACION DIRECTA.</v>
      </c>
      <c r="J612" s="3" t="s">
        <v>42</v>
      </c>
      <c r="K612" s="3" t="s">
        <v>41</v>
      </c>
      <c r="L612" s="3" t="s">
        <v>42</v>
      </c>
      <c r="M612" s="3" t="s">
        <v>41</v>
      </c>
    </row>
    <row r="613" spans="1:13" ht="161.1">
      <c r="A613" s="22" t="s">
        <v>17</v>
      </c>
      <c r="B613" s="3" t="s">
        <v>1992</v>
      </c>
      <c r="C613" s="3" t="s">
        <v>1993</v>
      </c>
      <c r="D613" s="3" t="s">
        <v>45</v>
      </c>
      <c r="E613" s="3" t="s">
        <v>46</v>
      </c>
      <c r="F613" s="3" t="s">
        <v>1116</v>
      </c>
      <c r="G613" s="3" t="s">
        <v>1286</v>
      </c>
      <c r="H613" s="3" t="s">
        <v>1994</v>
      </c>
      <c r="I613" s="3" t="str">
        <f>HYPERLINK("http://www.jccm.es/sede/tramite/KYJ","ADQUISICION DE BIENES INMUEBLES POR CESION GRATUITA DE OTRAS ADMINISTRACIONES PUBLICAS.")</f>
        <v>ADQUISICION DE BIENES INMUEBLES POR CESION GRATUITA DE OTRAS ADMINISTRACIONES PUBLICAS.</v>
      </c>
      <c r="J613" s="3" t="s">
        <v>41</v>
      </c>
      <c r="K613" s="3" t="s">
        <v>41</v>
      </c>
      <c r="L613" s="3" t="s">
        <v>42</v>
      </c>
      <c r="M613" s="3" t="s">
        <v>41</v>
      </c>
    </row>
    <row r="614" spans="1:13" ht="172.5">
      <c r="A614" s="22" t="s">
        <v>17</v>
      </c>
      <c r="B614" s="3" t="s">
        <v>1995</v>
      </c>
      <c r="C614" s="3" t="s">
        <v>1996</v>
      </c>
      <c r="D614" s="3" t="s">
        <v>1997</v>
      </c>
      <c r="E614" s="3" t="s">
        <v>46</v>
      </c>
      <c r="F614" s="3" t="s">
        <v>1116</v>
      </c>
      <c r="G614" s="3" t="s">
        <v>1286</v>
      </c>
      <c r="H614" s="3" t="s">
        <v>1998</v>
      </c>
      <c r="I614" s="3" t="str">
        <f>HYPERLINK("http://www.jccm.es/sede/tramite/KYK","ADQUISICION ONEROSA DE BIENES INMUEBLES.")</f>
        <v>ADQUISICION ONEROSA DE BIENES INMUEBLES.</v>
      </c>
      <c r="J614" s="3" t="s">
        <v>41</v>
      </c>
      <c r="K614" s="3" t="s">
        <v>41</v>
      </c>
      <c r="L614" s="3" t="s">
        <v>42</v>
      </c>
      <c r="M614" s="3" t="s">
        <v>41</v>
      </c>
    </row>
    <row r="615" spans="1:13" ht="161.1">
      <c r="A615" s="22" t="s">
        <v>17</v>
      </c>
      <c r="B615" s="3" t="s">
        <v>1999</v>
      </c>
      <c r="C615" s="3" t="s">
        <v>2000</v>
      </c>
      <c r="D615" s="3" t="s">
        <v>2001</v>
      </c>
      <c r="E615" s="3" t="s">
        <v>46</v>
      </c>
      <c r="F615" s="3" t="s">
        <v>1116</v>
      </c>
      <c r="G615" s="3" t="s">
        <v>1286</v>
      </c>
      <c r="H615" s="3" t="s">
        <v>2002</v>
      </c>
      <c r="I615" s="3" t="str">
        <f>HYPERLINK("http://www.jccm.es/sede/tramite/KYL","ENAJENACION POR SUBASTA PUBLICA DE BIENES INMUEBLES  TITULARIDAD DE LA JUNTA DE COMUNIDADES DE CASTILLA - LA MANCHA.")</f>
        <v>ENAJENACION POR SUBASTA PUBLICA DE BIENES INMUEBLES  TITULARIDAD DE LA JUNTA DE COMUNIDADES DE CASTILLA - LA MANCHA.</v>
      </c>
      <c r="J615" s="3" t="s">
        <v>41</v>
      </c>
      <c r="K615" s="3" t="s">
        <v>41</v>
      </c>
      <c r="L615" s="3" t="s">
        <v>42</v>
      </c>
      <c r="M615" s="3" t="s">
        <v>41</v>
      </c>
    </row>
    <row r="616" spans="1:13" ht="161.1">
      <c r="A616" s="22" t="s">
        <v>17</v>
      </c>
      <c r="B616" s="3" t="s">
        <v>2003</v>
      </c>
      <c r="C616" s="3" t="s">
        <v>2004</v>
      </c>
      <c r="D616" s="3" t="s">
        <v>45</v>
      </c>
      <c r="E616" s="3" t="s">
        <v>46</v>
      </c>
      <c r="F616" s="3" t="s">
        <v>1116</v>
      </c>
      <c r="G616" s="3" t="s">
        <v>1286</v>
      </c>
      <c r="H616" s="3" t="s">
        <v>2005</v>
      </c>
      <c r="I616" s="3" t="str">
        <f>HYPERLINK("http://www.jccm.es/sede/tramite/KYM","ADQUISICION A TITULO GRATUITO POR HERENCIA, LEGADO O DONACION.")</f>
        <v>ADQUISICION A TITULO GRATUITO POR HERENCIA, LEGADO O DONACION.</v>
      </c>
      <c r="J616" s="3" t="s">
        <v>41</v>
      </c>
      <c r="K616" s="3" t="s">
        <v>41</v>
      </c>
      <c r="L616" s="3" t="s">
        <v>42</v>
      </c>
      <c r="M616" s="3" t="s">
        <v>41</v>
      </c>
    </row>
    <row r="617" spans="1:13" ht="161.1">
      <c r="A617" s="22" t="s">
        <v>17</v>
      </c>
      <c r="B617" s="3" t="s">
        <v>2006</v>
      </c>
      <c r="C617" s="3" t="s">
        <v>2007</v>
      </c>
      <c r="D617" s="3" t="s">
        <v>2008</v>
      </c>
      <c r="E617" s="3" t="s">
        <v>46</v>
      </c>
      <c r="F617" s="3" t="s">
        <v>1116</v>
      </c>
      <c r="G617" s="3" t="s">
        <v>1286</v>
      </c>
      <c r="H617" s="3" t="s">
        <v>2009</v>
      </c>
      <c r="I617" s="3" t="str">
        <f>HYPERLINK("http://www.jccm.es/sede/tramite/KYN","PROCEDIMIENTO DE DESLINDE ADMINISTRATIVO.")</f>
        <v>PROCEDIMIENTO DE DESLINDE ADMINISTRATIVO.</v>
      </c>
      <c r="J617" s="3" t="s">
        <v>41</v>
      </c>
      <c r="K617" s="3" t="s">
        <v>41</v>
      </c>
      <c r="L617" s="3" t="s">
        <v>42</v>
      </c>
      <c r="M617" s="3" t="s">
        <v>41</v>
      </c>
    </row>
    <row r="618" spans="1:13" ht="161.1">
      <c r="A618" s="22" t="s">
        <v>17</v>
      </c>
      <c r="B618" s="3" t="s">
        <v>2010</v>
      </c>
      <c r="C618" s="3" t="s">
        <v>2011</v>
      </c>
      <c r="D618" s="3" t="s">
        <v>2012</v>
      </c>
      <c r="E618" s="3" t="s">
        <v>1368</v>
      </c>
      <c r="F618" s="3" t="s">
        <v>1116</v>
      </c>
      <c r="G618" s="3" t="s">
        <v>1286</v>
      </c>
      <c r="H618" s="3" t="s">
        <v>2013</v>
      </c>
      <c r="I618" s="3" t="str">
        <f>HYPERLINK("http://www.jccm.es/sede/tramite/KYO","RECUPERACION DE LA POSESION.")</f>
        <v>RECUPERACION DE LA POSESION.</v>
      </c>
      <c r="J618" s="3" t="s">
        <v>42</v>
      </c>
      <c r="K618" s="3" t="s">
        <v>41</v>
      </c>
      <c r="L618" s="3" t="s">
        <v>42</v>
      </c>
      <c r="M618" s="3" t="s">
        <v>41</v>
      </c>
    </row>
    <row r="619" spans="1:13" ht="161.1">
      <c r="A619" s="22" t="s">
        <v>17</v>
      </c>
      <c r="B619" s="3" t="s">
        <v>2014</v>
      </c>
      <c r="C619" s="3" t="s">
        <v>2015</v>
      </c>
      <c r="D619" s="3" t="s">
        <v>2016</v>
      </c>
      <c r="E619" s="3" t="s">
        <v>46</v>
      </c>
      <c r="F619" s="3" t="s">
        <v>1116</v>
      </c>
      <c r="G619" s="3" t="s">
        <v>1286</v>
      </c>
      <c r="H619" s="3" t="s">
        <v>2017</v>
      </c>
      <c r="I619" s="3" t="str">
        <f>HYPERLINK("http://www.jccm.es/sede/tramite/KYP","INVESTIGACION E INSPECCION DE BIENES Y DERECHOS")</f>
        <v>INVESTIGACION E INSPECCION DE BIENES Y DERECHOS</v>
      </c>
      <c r="J619" s="3" t="s">
        <v>41</v>
      </c>
      <c r="K619" s="3" t="s">
        <v>41</v>
      </c>
      <c r="L619" s="3" t="s">
        <v>42</v>
      </c>
      <c r="M619" s="3" t="s">
        <v>41</v>
      </c>
    </row>
    <row r="620" spans="1:13" ht="69">
      <c r="A620" s="22" t="s">
        <v>17</v>
      </c>
      <c r="B620" s="3" t="s">
        <v>2018</v>
      </c>
      <c r="C620" s="3" t="s">
        <v>2019</v>
      </c>
      <c r="D620" s="3" t="s">
        <v>95</v>
      </c>
      <c r="E620" s="3" t="s">
        <v>95</v>
      </c>
      <c r="F620" s="3" t="s">
        <v>1116</v>
      </c>
      <c r="G620" s="3" t="s">
        <v>1116</v>
      </c>
      <c r="H620" s="3" t="s">
        <v>2020</v>
      </c>
      <c r="I620" s="3" t="str">
        <f>HYPERLINK("http://www.jccm.es/sede/tramite/LT2","GESTION DE SINIESTROS DE VEHICULOS DEL PARQUE MOVIL DE LA JCCM.")</f>
        <v>GESTION DE SINIESTROS DE VEHICULOS DEL PARQUE MOVIL DE LA JCCM.</v>
      </c>
      <c r="J620" s="3" t="s">
        <v>41</v>
      </c>
      <c r="K620" s="3" t="s">
        <v>41</v>
      </c>
      <c r="L620" s="3" t="s">
        <v>42</v>
      </c>
      <c r="M620" s="3" t="s">
        <v>41</v>
      </c>
    </row>
    <row r="621" spans="1:13" ht="161.1">
      <c r="A621" s="22" t="s">
        <v>17</v>
      </c>
      <c r="B621" s="3" t="s">
        <v>2021</v>
      </c>
      <c r="C621" s="3" t="s">
        <v>2022</v>
      </c>
      <c r="D621" s="3" t="s">
        <v>459</v>
      </c>
      <c r="E621" s="3" t="s">
        <v>46</v>
      </c>
      <c r="F621" s="3" t="s">
        <v>1116</v>
      </c>
      <c r="G621" s="3" t="s">
        <v>1286</v>
      </c>
      <c r="H621" s="3" t="s">
        <v>2023</v>
      </c>
      <c r="I621" s="3" t="str">
        <f>HYPERLINK("http://www.jccm.es/sede/tramite/LT7","ENAJENACION ONEROSA DE VEHICULOS MEDIANTE ADJUDICACION DIRECTA.")</f>
        <v>ENAJENACION ONEROSA DE VEHICULOS MEDIANTE ADJUDICACION DIRECTA.</v>
      </c>
      <c r="J621" s="3" t="s">
        <v>42</v>
      </c>
      <c r="K621" s="3" t="s">
        <v>41</v>
      </c>
      <c r="L621" s="3" t="s">
        <v>42</v>
      </c>
      <c r="M621" s="3" t="s">
        <v>41</v>
      </c>
    </row>
    <row r="622" spans="1:13" ht="172.5">
      <c r="A622" s="22" t="s">
        <v>17</v>
      </c>
      <c r="B622" s="3" t="s">
        <v>2024</v>
      </c>
      <c r="C622" s="3" t="s">
        <v>2025</v>
      </c>
      <c r="D622" s="3" t="s">
        <v>2026</v>
      </c>
      <c r="E622" s="3" t="s">
        <v>46</v>
      </c>
      <c r="F622" s="3" t="s">
        <v>1116</v>
      </c>
      <c r="G622" s="3" t="s">
        <v>1117</v>
      </c>
      <c r="H622" s="3" t="s">
        <v>2027</v>
      </c>
      <c r="I622" s="3" t="str">
        <f>HYPERLINK("http://www.jccm.es/sede/tramite/516","PUBLICACION DE ANUNCIOS EN DIARIO OFICIAL DE CASTILLA-LA MANCHA.")</f>
        <v>PUBLICACION DE ANUNCIOS EN DIARIO OFICIAL DE CASTILLA-LA MANCHA.</v>
      </c>
      <c r="J622" s="3" t="s">
        <v>42</v>
      </c>
      <c r="K622" s="3" t="s">
        <v>41</v>
      </c>
      <c r="L622" s="3" t="s">
        <v>42</v>
      </c>
      <c r="M622" s="3" t="s">
        <v>41</v>
      </c>
    </row>
    <row r="623" spans="1:13" ht="126.6">
      <c r="A623" s="22" t="s">
        <v>22</v>
      </c>
      <c r="B623" s="3" t="s">
        <v>2028</v>
      </c>
      <c r="C623" s="3" t="s">
        <v>2029</v>
      </c>
      <c r="D623" s="3" t="s">
        <v>1401</v>
      </c>
      <c r="E623" s="3" t="s">
        <v>46</v>
      </c>
      <c r="F623" s="3" t="s">
        <v>2030</v>
      </c>
      <c r="G623" s="3" t="s">
        <v>2031</v>
      </c>
      <c r="H623" s="3" t="s">
        <v>2032</v>
      </c>
      <c r="I623" s="3" t="str">
        <f>HYPERLINK("http://www.jccm.es/sede/tramite/I6C","AUTORIZACION DE INSTALACION DE OFICINAS DE FARMACIA")</f>
        <v>AUTORIZACION DE INSTALACION DE OFICINAS DE FARMACIA</v>
      </c>
      <c r="J623" s="3" t="s">
        <v>41</v>
      </c>
      <c r="K623" s="3" t="s">
        <v>41</v>
      </c>
      <c r="L623" s="3" t="s">
        <v>42</v>
      </c>
      <c r="M623" s="3" t="s">
        <v>42</v>
      </c>
    </row>
    <row r="624" spans="1:13" ht="126.6">
      <c r="A624" s="22" t="s">
        <v>22</v>
      </c>
      <c r="B624" s="3" t="s">
        <v>2033</v>
      </c>
      <c r="C624" s="3" t="s">
        <v>2034</v>
      </c>
      <c r="D624" s="3" t="s">
        <v>45</v>
      </c>
      <c r="E624" s="3" t="s">
        <v>37</v>
      </c>
      <c r="F624" s="3" t="s">
        <v>2030</v>
      </c>
      <c r="G624" s="3" t="s">
        <v>2031</v>
      </c>
      <c r="H624" s="3" t="s">
        <v>2035</v>
      </c>
      <c r="I624" s="3" t="str">
        <f>HYPERLINK("http://www.jccm.es/sede/tramite/JUK","AUTORIZACION FUNCIONAMIENTO OFICINAS DE FARMACIA")</f>
        <v>AUTORIZACION FUNCIONAMIENTO OFICINAS DE FARMACIA</v>
      </c>
      <c r="J624" s="3" t="s">
        <v>41</v>
      </c>
      <c r="K624" s="3" t="s">
        <v>41</v>
      </c>
      <c r="L624" s="3" t="s">
        <v>42</v>
      </c>
      <c r="M624" s="3" t="s">
        <v>42</v>
      </c>
    </row>
    <row r="625" spans="1:13" ht="126.6">
      <c r="A625" s="22" t="s">
        <v>22</v>
      </c>
      <c r="B625" s="3" t="s">
        <v>2036</v>
      </c>
      <c r="C625" s="3" t="s">
        <v>2037</v>
      </c>
      <c r="D625" s="3" t="s">
        <v>62</v>
      </c>
      <c r="E625" s="3" t="s">
        <v>37</v>
      </c>
      <c r="F625" s="3" t="s">
        <v>2030</v>
      </c>
      <c r="G625" s="3" t="s">
        <v>2031</v>
      </c>
      <c r="H625" s="3" t="s">
        <v>2038</v>
      </c>
      <c r="I625" s="3" t="str">
        <f>HYPERLINK("http://www.jccm.es/sede/tramite/JUL","AUTORIZACION DE MODIFICACION DE OFICINA DE FARMACIA")</f>
        <v>AUTORIZACION DE MODIFICACION DE OFICINA DE FARMACIA</v>
      </c>
      <c r="J625" s="3" t="s">
        <v>41</v>
      </c>
      <c r="K625" s="3" t="s">
        <v>41</v>
      </c>
      <c r="L625" s="3" t="s">
        <v>42</v>
      </c>
      <c r="M625" s="3" t="s">
        <v>42</v>
      </c>
    </row>
    <row r="626" spans="1:13" ht="126.6">
      <c r="A626" s="22" t="s">
        <v>22</v>
      </c>
      <c r="B626" s="3" t="s">
        <v>2039</v>
      </c>
      <c r="C626" s="3" t="s">
        <v>2040</v>
      </c>
      <c r="D626" s="3" t="s">
        <v>51</v>
      </c>
      <c r="E626" s="3" t="s">
        <v>46</v>
      </c>
      <c r="F626" s="3" t="s">
        <v>2030</v>
      </c>
      <c r="G626" s="3" t="s">
        <v>2031</v>
      </c>
      <c r="H626" s="3" t="s">
        <v>2041</v>
      </c>
      <c r="I626" s="3" t="str">
        <f>HYPERLINK("http://www.jccm.es/sede/tramite/JUM","AUTORIZACION DE TRANSMISION DE OFICINA DE FARMACIA")</f>
        <v>AUTORIZACION DE TRANSMISION DE OFICINA DE FARMACIA</v>
      </c>
      <c r="J626" s="3" t="s">
        <v>41</v>
      </c>
      <c r="K626" s="3" t="s">
        <v>41</v>
      </c>
      <c r="L626" s="3" t="s">
        <v>42</v>
      </c>
      <c r="M626" s="3" t="s">
        <v>42</v>
      </c>
    </row>
    <row r="627" spans="1:13" ht="126.6">
      <c r="A627" s="22" t="s">
        <v>22</v>
      </c>
      <c r="B627" s="3" t="s">
        <v>2042</v>
      </c>
      <c r="C627" s="3" t="s">
        <v>2043</v>
      </c>
      <c r="D627" s="3" t="s">
        <v>45</v>
      </c>
      <c r="E627" s="3" t="s">
        <v>46</v>
      </c>
      <c r="F627" s="3" t="s">
        <v>2030</v>
      </c>
      <c r="G627" s="3" t="s">
        <v>2031</v>
      </c>
      <c r="H627" s="3" t="s">
        <v>2044</v>
      </c>
      <c r="I627" s="3" t="str">
        <f>HYPERLINK("http://www.jccm.es/sede/tramite/JUN","AUTORIZACION DE TRASLADO DE OFICINA DE FARMACIA.")</f>
        <v>AUTORIZACION DE TRASLADO DE OFICINA DE FARMACIA.</v>
      </c>
      <c r="J627" s="3" t="s">
        <v>41</v>
      </c>
      <c r="K627" s="3" t="s">
        <v>41</v>
      </c>
      <c r="L627" s="3" t="s">
        <v>42</v>
      </c>
      <c r="M627" s="3" t="s">
        <v>42</v>
      </c>
    </row>
    <row r="628" spans="1:13" ht="241.5">
      <c r="A628" s="22" t="s">
        <v>22</v>
      </c>
      <c r="B628" s="3" t="s">
        <v>2045</v>
      </c>
      <c r="C628" s="3" t="s">
        <v>2046</v>
      </c>
      <c r="D628" s="3" t="s">
        <v>2047</v>
      </c>
      <c r="E628" s="3" t="s">
        <v>37</v>
      </c>
      <c r="F628" s="3" t="s">
        <v>2030</v>
      </c>
      <c r="G628" s="3" t="s">
        <v>2031</v>
      </c>
      <c r="H628" s="3" t="s">
        <v>2048</v>
      </c>
      <c r="I628" s="3" t="str">
        <f>HYPERLINK("http://www.jccm.es/sede/tramite/JUO","AUTORIZACION DE CIERRE  DE OFICINAS DE FARMACIA")</f>
        <v>AUTORIZACION DE CIERRE  DE OFICINAS DE FARMACIA</v>
      </c>
      <c r="J628" s="3" t="s">
        <v>41</v>
      </c>
      <c r="K628" s="3" t="s">
        <v>41</v>
      </c>
      <c r="L628" s="3" t="s">
        <v>42</v>
      </c>
      <c r="M628" s="3" t="s">
        <v>42</v>
      </c>
    </row>
    <row r="629" spans="1:13" ht="126.6">
      <c r="A629" s="22" t="s">
        <v>22</v>
      </c>
      <c r="B629" s="3" t="s">
        <v>2049</v>
      </c>
      <c r="C629" s="3" t="s">
        <v>2050</v>
      </c>
      <c r="D629" s="3" t="s">
        <v>45</v>
      </c>
      <c r="E629" s="3" t="s">
        <v>37</v>
      </c>
      <c r="F629" s="3" t="s">
        <v>2030</v>
      </c>
      <c r="G629" s="3" t="s">
        <v>2031</v>
      </c>
      <c r="H629" s="3" t="s">
        <v>2051</v>
      </c>
      <c r="I629" s="3" t="str">
        <f>HYPERLINK("http://www.jccm.es/sede/tramite/JUQ","AUTORIZACION DE FARMACEUTICO REGENTE.")</f>
        <v>AUTORIZACION DE FARMACEUTICO REGENTE.</v>
      </c>
      <c r="J629" s="3" t="s">
        <v>42</v>
      </c>
      <c r="K629" s="3" t="s">
        <v>41</v>
      </c>
      <c r="L629" s="3" t="s">
        <v>42</v>
      </c>
      <c r="M629" s="3" t="s">
        <v>41</v>
      </c>
    </row>
    <row r="630" spans="1:13" ht="126.6">
      <c r="A630" s="22" t="s">
        <v>22</v>
      </c>
      <c r="B630" s="3" t="s">
        <v>2052</v>
      </c>
      <c r="C630" s="3" t="s">
        <v>2053</v>
      </c>
      <c r="D630" s="3" t="s">
        <v>45</v>
      </c>
      <c r="E630" s="3" t="s">
        <v>46</v>
      </c>
      <c r="F630" s="3" t="s">
        <v>2030</v>
      </c>
      <c r="G630" s="3" t="s">
        <v>2031</v>
      </c>
      <c r="H630" s="3" t="s">
        <v>2054</v>
      </c>
      <c r="I630" s="3" t="str">
        <f>HYPERLINK("http://www.jccm.es/sede/tramite/H27","AUTORIZACION DE INSTALACION DE BOTIQUIN")</f>
        <v>AUTORIZACION DE INSTALACION DE BOTIQUIN</v>
      </c>
      <c r="J630" s="3" t="s">
        <v>41</v>
      </c>
      <c r="K630" s="3" t="s">
        <v>41</v>
      </c>
      <c r="L630" s="3" t="s">
        <v>42</v>
      </c>
      <c r="M630" s="3" t="s">
        <v>41</v>
      </c>
    </row>
    <row r="631" spans="1:13" ht="126.6">
      <c r="A631" s="22" t="s">
        <v>22</v>
      </c>
      <c r="B631" s="3" t="s">
        <v>2055</v>
      </c>
      <c r="C631" s="3" t="s">
        <v>2056</v>
      </c>
      <c r="D631" s="3" t="s">
        <v>45</v>
      </c>
      <c r="E631" s="3" t="s">
        <v>37</v>
      </c>
      <c r="F631" s="3" t="s">
        <v>2030</v>
      </c>
      <c r="G631" s="3" t="s">
        <v>2031</v>
      </c>
      <c r="H631" s="3" t="s">
        <v>2057</v>
      </c>
      <c r="I631" s="3" t="str">
        <f>HYPERLINK("http://www.jccm.es/sede/tramite/JUR","AUTORIZACION DE FUNCIONAMIENTO DE BOTIQUIN.")</f>
        <v>AUTORIZACION DE FUNCIONAMIENTO DE BOTIQUIN.</v>
      </c>
      <c r="J631" s="3" t="s">
        <v>41</v>
      </c>
      <c r="K631" s="3" t="s">
        <v>41</v>
      </c>
      <c r="L631" s="3" t="s">
        <v>42</v>
      </c>
      <c r="M631" s="3" t="s">
        <v>41</v>
      </c>
    </row>
    <row r="632" spans="1:13" ht="126.6">
      <c r="A632" s="22" t="s">
        <v>22</v>
      </c>
      <c r="B632" s="3" t="s">
        <v>2058</v>
      </c>
      <c r="C632" s="3" t="s">
        <v>2059</v>
      </c>
      <c r="D632" s="3" t="s">
        <v>62</v>
      </c>
      <c r="E632" s="3" t="s">
        <v>37</v>
      </c>
      <c r="F632" s="3" t="s">
        <v>2030</v>
      </c>
      <c r="G632" s="3" t="s">
        <v>2031</v>
      </c>
      <c r="H632" s="3" t="s">
        <v>2060</v>
      </c>
      <c r="I632" s="3" t="str">
        <f>HYPERLINK("http://www.jccm.es/sede/tramite/JUU","AUTORIZACION DE TRASLADO, MODIFICACION O CIERRE DE BOTIQUIN")</f>
        <v>AUTORIZACION DE TRASLADO, MODIFICACION O CIERRE DE BOTIQUIN</v>
      </c>
      <c r="J632" s="3" t="s">
        <v>41</v>
      </c>
      <c r="K632" s="3" t="s">
        <v>41</v>
      </c>
      <c r="L632" s="3" t="s">
        <v>42</v>
      </c>
      <c r="M632" s="3" t="s">
        <v>41</v>
      </c>
    </row>
    <row r="633" spans="1:13" ht="149.44999999999999">
      <c r="A633" s="22" t="s">
        <v>22</v>
      </c>
      <c r="B633" s="3" t="s">
        <v>2061</v>
      </c>
      <c r="C633" s="3" t="s">
        <v>2062</v>
      </c>
      <c r="D633" s="3" t="s">
        <v>45</v>
      </c>
      <c r="E633" s="3" t="s">
        <v>37</v>
      </c>
      <c r="F633" s="3" t="s">
        <v>2030</v>
      </c>
      <c r="G633" s="3" t="s">
        <v>2031</v>
      </c>
      <c r="H633" s="3" t="s">
        <v>2063</v>
      </c>
      <c r="I633" s="3" t="str">
        <f>HYPERLINK("http://www.jccm.es/sede/tramite/I6I","AUTORIZACION DE HORARIO DE APERTURA DE BOTIQUIN O REDUCCION DEL HORARIO MINIMO OFICIAL EN OFICINA DE FARMACIA.")</f>
        <v>AUTORIZACION DE HORARIO DE APERTURA DE BOTIQUIN O REDUCCION DEL HORARIO MINIMO OFICIAL EN OFICINA DE FARMACIA.</v>
      </c>
      <c r="J633" s="3" t="s">
        <v>41</v>
      </c>
      <c r="K633" s="3" t="s">
        <v>41</v>
      </c>
      <c r="L633" s="3" t="s">
        <v>42</v>
      </c>
      <c r="M633" s="3" t="s">
        <v>41</v>
      </c>
    </row>
    <row r="634" spans="1:13" ht="345">
      <c r="A634" s="22" t="s">
        <v>22</v>
      </c>
      <c r="B634" s="3" t="s">
        <v>2064</v>
      </c>
      <c r="C634" s="3" t="s">
        <v>2065</v>
      </c>
      <c r="D634" s="3" t="s">
        <v>2066</v>
      </c>
      <c r="E634" s="3" t="s">
        <v>37</v>
      </c>
      <c r="F634" s="3" t="s">
        <v>2030</v>
      </c>
      <c r="G634" s="3" t="s">
        <v>2031</v>
      </c>
      <c r="H634" s="3" t="s">
        <v>2067</v>
      </c>
      <c r="I634" s="3" t="str">
        <f>HYPERLINK("http://www.jccm.es/sede/tramite/JUV","PROPUESTA DEL COLEGIO OFICIAL DE FARMACEUTICOS SOBRE OFICINAS DE FARMACIA: HORARIO MINIMO OFICIAL, PROGRAMACION DE GUARDIAS, ORGANIZACION CONJUNTA DE SERVICIOS DE URGENCIA O TURNOS DE VACACIONES.")</f>
        <v>PROPUESTA DEL COLEGIO OFICIAL DE FARMACEUTICOS SOBRE OFICINAS DE FARMACIA: HORARIO MINIMO OFICIAL, PROGRAMACION DE GUARDIAS, ORGANIZACION CONJUNTA DE SERVICIOS DE URGENCIA O TURNOS DE VACACIONES.</v>
      </c>
      <c r="J634" s="3" t="s">
        <v>41</v>
      </c>
      <c r="K634" s="3" t="s">
        <v>41</v>
      </c>
      <c r="L634" s="3" t="s">
        <v>42</v>
      </c>
      <c r="M634" s="3" t="s">
        <v>41</v>
      </c>
    </row>
    <row r="635" spans="1:13" ht="126.6">
      <c r="A635" s="22" t="s">
        <v>22</v>
      </c>
      <c r="B635" s="3" t="s">
        <v>2068</v>
      </c>
      <c r="C635" s="3" t="s">
        <v>2069</v>
      </c>
      <c r="D635" s="3" t="s">
        <v>45</v>
      </c>
      <c r="E635" s="3" t="s">
        <v>37</v>
      </c>
      <c r="F635" s="3" t="s">
        <v>2030</v>
      </c>
      <c r="G635" s="3" t="s">
        <v>2031</v>
      </c>
      <c r="H635" s="3" t="s">
        <v>2070</v>
      </c>
      <c r="I635" s="3" t="str">
        <f>HYPERLINK("http://www.jccm.es/sede/tramite/JUW","AUTORIZACION DE EXENCION DEL SERVICIO DE URGENCIA DE OFICINA DE FARMACIA.")</f>
        <v>AUTORIZACION DE EXENCION DEL SERVICIO DE URGENCIA DE OFICINA DE FARMACIA.</v>
      </c>
      <c r="J635" s="3" t="s">
        <v>41</v>
      </c>
      <c r="K635" s="3" t="s">
        <v>41</v>
      </c>
      <c r="L635" s="3" t="s">
        <v>42</v>
      </c>
      <c r="M635" s="3" t="s">
        <v>41</v>
      </c>
    </row>
    <row r="636" spans="1:13" ht="126.6">
      <c r="A636" s="22" t="s">
        <v>22</v>
      </c>
      <c r="B636" s="3" t="s">
        <v>2071</v>
      </c>
      <c r="C636" s="3" t="s">
        <v>2072</v>
      </c>
      <c r="D636" s="3" t="s">
        <v>95</v>
      </c>
      <c r="E636" s="3" t="s">
        <v>95</v>
      </c>
      <c r="F636" s="3" t="s">
        <v>2030</v>
      </c>
      <c r="G636" s="3" t="s">
        <v>2031</v>
      </c>
      <c r="H636" s="3" t="s">
        <v>2073</v>
      </c>
      <c r="I636" s="3" t="str">
        <f>HYPERLINK("http://www.jccm.es/sede/tramite/I6M","COMUNICACION DE ACTIVIDAD DE DISTRIBUCION DE PRODUCTOS SANITARIOS")</f>
        <v>COMUNICACION DE ACTIVIDAD DE DISTRIBUCION DE PRODUCTOS SANITARIOS</v>
      </c>
      <c r="J636" s="3" t="s">
        <v>42</v>
      </c>
      <c r="K636" s="3" t="s">
        <v>41</v>
      </c>
      <c r="L636" s="3" t="s">
        <v>42</v>
      </c>
      <c r="M636" s="3" t="s">
        <v>42</v>
      </c>
    </row>
    <row r="637" spans="1:13" ht="138">
      <c r="A637" s="22" t="s">
        <v>22</v>
      </c>
      <c r="B637" s="3" t="s">
        <v>2074</v>
      </c>
      <c r="C637" s="3" t="s">
        <v>2075</v>
      </c>
      <c r="D637" s="3" t="s">
        <v>51</v>
      </c>
      <c r="E637" s="3" t="s">
        <v>37</v>
      </c>
      <c r="F637" s="3" t="s">
        <v>2030</v>
      </c>
      <c r="G637" s="3" t="s">
        <v>2031</v>
      </c>
      <c r="H637" s="3" t="s">
        <v>2076</v>
      </c>
      <c r="I637" s="3" t="str">
        <f>HYPERLINK("http://www.jccm.es/sede/tramite/I6H","AUTORIZACION DE INSTALACION DE ESTABLECIMIENTO DE DISPENSACION DE MEDICAMENTOS VETERINARIOS")</f>
        <v>AUTORIZACION DE INSTALACION DE ESTABLECIMIENTO DE DISPENSACION DE MEDICAMENTOS VETERINARIOS</v>
      </c>
      <c r="J637" s="3" t="s">
        <v>42</v>
      </c>
      <c r="K637" s="3" t="s">
        <v>41</v>
      </c>
      <c r="L637" s="3" t="s">
        <v>42</v>
      </c>
      <c r="M637" s="3" t="s">
        <v>41</v>
      </c>
    </row>
    <row r="638" spans="1:13" ht="126.6">
      <c r="A638" s="22" t="s">
        <v>22</v>
      </c>
      <c r="B638" s="3" t="s">
        <v>2077</v>
      </c>
      <c r="C638" s="3" t="s">
        <v>2078</v>
      </c>
      <c r="D638" s="3" t="s">
        <v>2079</v>
      </c>
      <c r="E638" s="3" t="s">
        <v>37</v>
      </c>
      <c r="F638" s="3" t="s">
        <v>2030</v>
      </c>
      <c r="G638" s="3" t="s">
        <v>2031</v>
      </c>
      <c r="H638" s="3" t="s">
        <v>2080</v>
      </c>
      <c r="I638" s="3" t="str">
        <f>HYPERLINK("http://www.jccm.es/sede/tramite/I6G","AUTORIZACION DE INSTALACION DE ENTIDAD DE DISTRIBUCION DE MEDICAMENTOS DE USO HUMANO")</f>
        <v>AUTORIZACION DE INSTALACION DE ENTIDAD DE DISTRIBUCION DE MEDICAMENTOS DE USO HUMANO</v>
      </c>
      <c r="J638" s="3" t="s">
        <v>42</v>
      </c>
      <c r="K638" s="3" t="s">
        <v>41</v>
      </c>
      <c r="L638" s="3" t="s">
        <v>42</v>
      </c>
      <c r="M638" s="3" t="s">
        <v>42</v>
      </c>
    </row>
    <row r="639" spans="1:13" ht="126.6">
      <c r="A639" s="22" t="s">
        <v>22</v>
      </c>
      <c r="B639" s="3" t="s">
        <v>2081</v>
      </c>
      <c r="C639" s="3" t="s">
        <v>2082</v>
      </c>
      <c r="D639" s="3" t="s">
        <v>45</v>
      </c>
      <c r="E639" s="3" t="s">
        <v>37</v>
      </c>
      <c r="F639" s="3" t="s">
        <v>2030</v>
      </c>
      <c r="G639" s="3" t="s">
        <v>2031</v>
      </c>
      <c r="H639" s="3" t="s">
        <v>2083</v>
      </c>
      <c r="I639" s="3" t="str">
        <f>HYPERLINK("http://www.jccm.es/sede/tramite/I6O","AUTORIZACION PREVIA DE LOS MENSAJES PUBLICITARIOS DE PRODUCTOS SANITARIOS")</f>
        <v>AUTORIZACION PREVIA DE LOS MENSAJES PUBLICITARIOS DE PRODUCTOS SANITARIOS</v>
      </c>
      <c r="J639" s="3" t="s">
        <v>42</v>
      </c>
      <c r="K639" s="3" t="s">
        <v>41</v>
      </c>
      <c r="L639" s="3" t="s">
        <v>42</v>
      </c>
      <c r="M639" s="3" t="s">
        <v>41</v>
      </c>
    </row>
    <row r="640" spans="1:13" ht="92.1">
      <c r="A640" s="22" t="s">
        <v>22</v>
      </c>
      <c r="B640" s="3" t="s">
        <v>2084</v>
      </c>
      <c r="C640" s="3" t="s">
        <v>2085</v>
      </c>
      <c r="D640" s="3" t="s">
        <v>2086</v>
      </c>
      <c r="E640" s="3" t="s">
        <v>95</v>
      </c>
      <c r="F640" s="3" t="s">
        <v>2030</v>
      </c>
      <c r="G640" s="3" t="s">
        <v>2087</v>
      </c>
      <c r="H640" s="3" t="s">
        <v>2088</v>
      </c>
      <c r="I640" s="3" t="str">
        <f>HYPERLINK("http://www.jccm.es/sede/tramite/275","AUTORIZACION DE TRASLADO DE CADAVERES Y RESTOS CADAVERICOS")</f>
        <v>AUTORIZACION DE TRASLADO DE CADAVERES Y RESTOS CADAVERICOS</v>
      </c>
      <c r="J640" s="3" t="s">
        <v>42</v>
      </c>
      <c r="K640" s="3" t="s">
        <v>41</v>
      </c>
      <c r="L640" s="3" t="s">
        <v>41</v>
      </c>
      <c r="M640" s="3" t="s">
        <v>41</v>
      </c>
    </row>
    <row r="641" spans="1:13" ht="103.5">
      <c r="A641" s="22" t="s">
        <v>22</v>
      </c>
      <c r="B641" s="3" t="s">
        <v>2089</v>
      </c>
      <c r="C641" s="3" t="s">
        <v>2090</v>
      </c>
      <c r="D641" s="3" t="s">
        <v>45</v>
      </c>
      <c r="E641" s="3" t="s">
        <v>37</v>
      </c>
      <c r="F641" s="3" t="s">
        <v>2030</v>
      </c>
      <c r="G641" s="3" t="s">
        <v>2087</v>
      </c>
      <c r="H641" s="3" t="s">
        <v>2091</v>
      </c>
      <c r="I641" s="3" t="str">
        <f>HYPERLINK("http://www.jccm.es/sede/tramite/IRG","AUTORIZACION DE ESTUDIOS OBSERVACIONALES POST-AUTORIZACION EN CASTILLA-LA MANCHA")</f>
        <v>AUTORIZACION DE ESTUDIOS OBSERVACIONALES POST-AUTORIZACION EN CASTILLA-LA MANCHA</v>
      </c>
      <c r="J641" s="3" t="s">
        <v>42</v>
      </c>
      <c r="K641" s="3" t="s">
        <v>41</v>
      </c>
      <c r="L641" s="3" t="s">
        <v>42</v>
      </c>
      <c r="M641" s="3" t="s">
        <v>41</v>
      </c>
    </row>
    <row r="642" spans="1:13" ht="126.6">
      <c r="A642" s="22" t="s">
        <v>22</v>
      </c>
      <c r="B642" s="3" t="s">
        <v>2092</v>
      </c>
      <c r="C642" s="3" t="s">
        <v>2093</v>
      </c>
      <c r="D642" s="3" t="s">
        <v>95</v>
      </c>
      <c r="E642" s="3" t="s">
        <v>95</v>
      </c>
      <c r="F642" s="3" t="s">
        <v>2030</v>
      </c>
      <c r="G642" s="3" t="s">
        <v>2031</v>
      </c>
      <c r="H642" s="3" t="s">
        <v>2094</v>
      </c>
      <c r="I642" s="3" t="str">
        <f>HYPERLINK("http://www.jccm.es/sede/tramite/J6I","COMUNICACION DE LA VARIACION DE DATOS O CESE DE LA ACTIVIDAD DE LOS VEHICULOS DE TRANSPORTE SANITARIO")</f>
        <v>COMUNICACION DE LA VARIACION DE DATOS O CESE DE LA ACTIVIDAD DE LOS VEHICULOS DE TRANSPORTE SANITARIO</v>
      </c>
      <c r="J642" s="3" t="s">
        <v>42</v>
      </c>
      <c r="K642" s="3" t="s">
        <v>41</v>
      </c>
      <c r="L642" s="3" t="s">
        <v>42</v>
      </c>
      <c r="M642" s="3" t="s">
        <v>41</v>
      </c>
    </row>
    <row r="643" spans="1:13" ht="126.6">
      <c r="A643" s="22" t="s">
        <v>22</v>
      </c>
      <c r="B643" s="3" t="s">
        <v>2095</v>
      </c>
      <c r="C643" s="3" t="s">
        <v>2096</v>
      </c>
      <c r="D643" s="3" t="s">
        <v>62</v>
      </c>
      <c r="E643" s="3" t="s">
        <v>95</v>
      </c>
      <c r="F643" s="3" t="s">
        <v>2030</v>
      </c>
      <c r="G643" s="3" t="s">
        <v>2031</v>
      </c>
      <c r="H643" s="3" t="s">
        <v>2097</v>
      </c>
      <c r="I643" s="3" t="str">
        <f>HYPERLINK("http://www.jccm.es/sede/tramite/JTI","CONSULTA PREVIA SOBRE AUTORIZACIONES DE CENTROS, SERVICIOS Y ESTABLECIMIENTOS SANITARIOS")</f>
        <v>CONSULTA PREVIA SOBRE AUTORIZACIONES DE CENTROS, SERVICIOS Y ESTABLECIMIENTOS SANITARIOS</v>
      </c>
      <c r="J643" s="3" t="s">
        <v>42</v>
      </c>
      <c r="K643" s="3" t="s">
        <v>41</v>
      </c>
      <c r="L643" s="3" t="s">
        <v>42</v>
      </c>
      <c r="M643" s="3" t="s">
        <v>41</v>
      </c>
    </row>
    <row r="644" spans="1:13" ht="138">
      <c r="A644" s="22" t="s">
        <v>22</v>
      </c>
      <c r="B644" s="3" t="s">
        <v>2098</v>
      </c>
      <c r="C644" s="3" t="s">
        <v>2099</v>
      </c>
      <c r="D644" s="3" t="s">
        <v>45</v>
      </c>
      <c r="E644" s="3" t="s">
        <v>37</v>
      </c>
      <c r="F644" s="3" t="s">
        <v>2030</v>
      </c>
      <c r="G644" s="3" t="s">
        <v>2031</v>
      </c>
      <c r="H644" s="3" t="s">
        <v>2100</v>
      </c>
      <c r="I644" s="3" t="str">
        <f>HYPERLINK("http://www.jccm.es/sede/tramite/JV0","AUTORIZACION DE FUNCIONAMIENTO DE ESTABLECIMIENTO DE DISPENSACION DE MEDICAMENTOS VETERINARIOS")</f>
        <v>AUTORIZACION DE FUNCIONAMIENTO DE ESTABLECIMIENTO DE DISPENSACION DE MEDICAMENTOS VETERINARIOS</v>
      </c>
      <c r="J644" s="3" t="s">
        <v>42</v>
      </c>
      <c r="K644" s="3" t="s">
        <v>41</v>
      </c>
      <c r="L644" s="3" t="s">
        <v>42</v>
      </c>
      <c r="M644" s="3" t="s">
        <v>41</v>
      </c>
    </row>
    <row r="645" spans="1:13" ht="126.6">
      <c r="A645" s="22" t="s">
        <v>22</v>
      </c>
      <c r="B645" s="3" t="s">
        <v>2101</v>
      </c>
      <c r="C645" s="3" t="s">
        <v>2102</v>
      </c>
      <c r="D645" s="3" t="s">
        <v>45</v>
      </c>
      <c r="E645" s="3" t="s">
        <v>37</v>
      </c>
      <c r="F645" s="3" t="s">
        <v>2030</v>
      </c>
      <c r="G645" s="3" t="s">
        <v>2031</v>
      </c>
      <c r="H645" s="3" t="s">
        <v>2103</v>
      </c>
      <c r="I645" s="3" t="str">
        <f>HYPERLINK("http://www.jccm.es/sede/tramite/JV1","AUTORIZACION DE CIERRE DE ESTABLECIMIENTO DE DISPENSACION DE MEDICAMENTOS VETERINARIOS")</f>
        <v>AUTORIZACION DE CIERRE DE ESTABLECIMIENTO DE DISPENSACION DE MEDICAMENTOS VETERINARIOS</v>
      </c>
      <c r="J645" s="3" t="s">
        <v>42</v>
      </c>
      <c r="K645" s="3" t="s">
        <v>41</v>
      </c>
      <c r="L645" s="3" t="s">
        <v>42</v>
      </c>
      <c r="M645" s="3" t="s">
        <v>41</v>
      </c>
    </row>
    <row r="646" spans="1:13" ht="80.45">
      <c r="A646" s="22" t="s">
        <v>22</v>
      </c>
      <c r="B646" s="3" t="s">
        <v>2104</v>
      </c>
      <c r="C646" s="3" t="s">
        <v>2105</v>
      </c>
      <c r="D646" s="3" t="s">
        <v>45</v>
      </c>
      <c r="E646" s="3" t="s">
        <v>37</v>
      </c>
      <c r="F646" s="3" t="s">
        <v>2030</v>
      </c>
      <c r="G646" s="3" t="s">
        <v>2087</v>
      </c>
      <c r="H646" s="3" t="s">
        <v>2106</v>
      </c>
      <c r="I646" s="3" t="str">
        <f>HYPERLINK("http://www.jccm.es/sede/tramite/K21","NOTIFICACION DE COMPLEMENTOS ALIMENTICIOS")</f>
        <v>NOTIFICACION DE COMPLEMENTOS ALIMENTICIOS</v>
      </c>
      <c r="J646" s="3" t="s">
        <v>42</v>
      </c>
      <c r="K646" s="3" t="s">
        <v>41</v>
      </c>
      <c r="L646" s="3" t="s">
        <v>42</v>
      </c>
      <c r="M646" s="3" t="s">
        <v>41</v>
      </c>
    </row>
    <row r="647" spans="1:13" ht="103.5">
      <c r="A647" s="22" t="s">
        <v>22</v>
      </c>
      <c r="B647" s="3" t="s">
        <v>2107</v>
      </c>
      <c r="C647" s="3" t="s">
        <v>2108</v>
      </c>
      <c r="D647" s="3" t="s">
        <v>95</v>
      </c>
      <c r="E647" s="3" t="s">
        <v>37</v>
      </c>
      <c r="F647" s="3" t="s">
        <v>2030</v>
      </c>
      <c r="G647" s="3" t="s">
        <v>2087</v>
      </c>
      <c r="H647" s="3" t="s">
        <v>2109</v>
      </c>
      <c r="I647" s="3" t="str">
        <f>HYPERLINK("http://www.jccm.es/sede/tramite/K5L","COMUNICACION DE LA CELEBRACION DE CACERIA CUYAS PIEZAS SE DESTINEN AL CONSUMO")</f>
        <v>COMUNICACION DE LA CELEBRACION DE CACERIA CUYAS PIEZAS SE DESTINEN AL CONSUMO</v>
      </c>
      <c r="J647" s="3" t="s">
        <v>42</v>
      </c>
      <c r="K647" s="3" t="s">
        <v>41</v>
      </c>
      <c r="L647" s="3" t="s">
        <v>42</v>
      </c>
      <c r="M647" s="3" t="s">
        <v>41</v>
      </c>
    </row>
    <row r="648" spans="1:13" ht="172.5">
      <c r="A648" s="22" t="s">
        <v>22</v>
      </c>
      <c r="B648" s="3" t="s">
        <v>2110</v>
      </c>
      <c r="C648" s="3" t="s">
        <v>2111</v>
      </c>
      <c r="D648" s="3" t="s">
        <v>95</v>
      </c>
      <c r="E648" s="3" t="s">
        <v>2112</v>
      </c>
      <c r="F648" s="3" t="s">
        <v>2030</v>
      </c>
      <c r="G648" s="3" t="s">
        <v>2031</v>
      </c>
      <c r="H648" s="3" t="s">
        <v>2113</v>
      </c>
      <c r="I648" s="3" t="str">
        <f>HYPERLINK("http://www.jccm.es/sede/tramite/KPS","COMUNICACION DE CAMBIO DE DIRECTOR TECNICO, DENOMINACION O TITULARIDAD DE ENTIDAD DE DISTRIBUCION DE MEDICAMENTOS DE USO HUMANO")</f>
        <v>COMUNICACION DE CAMBIO DE DIRECTOR TECNICO, DENOMINACION O TITULARIDAD DE ENTIDAD DE DISTRIBUCION DE MEDICAMENTOS DE USO HUMANO</v>
      </c>
      <c r="J648" s="3" t="s">
        <v>42</v>
      </c>
      <c r="K648" s="3" t="s">
        <v>41</v>
      </c>
      <c r="L648" s="3" t="s">
        <v>42</v>
      </c>
      <c r="M648" s="3" t="s">
        <v>41</v>
      </c>
    </row>
    <row r="649" spans="1:13" ht="126.6">
      <c r="A649" s="22" t="s">
        <v>22</v>
      </c>
      <c r="B649" s="3" t="s">
        <v>2114</v>
      </c>
      <c r="C649" s="3" t="s">
        <v>2115</v>
      </c>
      <c r="D649" s="3" t="s">
        <v>2079</v>
      </c>
      <c r="E649" s="3" t="s">
        <v>37</v>
      </c>
      <c r="F649" s="3" t="s">
        <v>2030</v>
      </c>
      <c r="G649" s="3" t="s">
        <v>2031</v>
      </c>
      <c r="H649" s="3" t="s">
        <v>2116</v>
      </c>
      <c r="I649" s="3" t="str">
        <f>HYPERLINK("http://www.jccm.es/sede/tramite/KPT","AUTORIZACION DE FUNCIONAMIENTO DE ENTIDAD DE DISTRIBUCION DE MEDICAMENTOS DE USO HUMANO")</f>
        <v>AUTORIZACION DE FUNCIONAMIENTO DE ENTIDAD DE DISTRIBUCION DE MEDICAMENTOS DE USO HUMANO</v>
      </c>
      <c r="J649" s="3" t="s">
        <v>42</v>
      </c>
      <c r="K649" s="3" t="s">
        <v>41</v>
      </c>
      <c r="L649" s="3" t="s">
        <v>42</v>
      </c>
      <c r="M649" s="3" t="s">
        <v>41</v>
      </c>
    </row>
    <row r="650" spans="1:13" ht="126.6">
      <c r="A650" s="22" t="s">
        <v>22</v>
      </c>
      <c r="B650" s="3" t="s">
        <v>2117</v>
      </c>
      <c r="C650" s="3" t="s">
        <v>2118</v>
      </c>
      <c r="D650" s="3" t="s">
        <v>2079</v>
      </c>
      <c r="E650" s="3" t="s">
        <v>37</v>
      </c>
      <c r="F650" s="3" t="s">
        <v>2030</v>
      </c>
      <c r="G650" s="3" t="s">
        <v>2031</v>
      </c>
      <c r="H650" s="3" t="s">
        <v>2119</v>
      </c>
      <c r="I650" s="3" t="str">
        <f>HYPERLINK("http://www.jccm.es/sede/tramite/KPU","AUTORIZACION DE MODIFICACION DE ENTIDAD DE DISTRIBUCION DE MEDICAMENTOS DE USO HUMANO")</f>
        <v>AUTORIZACION DE MODIFICACION DE ENTIDAD DE DISTRIBUCION DE MEDICAMENTOS DE USO HUMANO</v>
      </c>
      <c r="J650" s="3" t="s">
        <v>42</v>
      </c>
      <c r="K650" s="3" t="s">
        <v>41</v>
      </c>
      <c r="L650" s="3" t="s">
        <v>42</v>
      </c>
      <c r="M650" s="3" t="s">
        <v>41</v>
      </c>
    </row>
    <row r="651" spans="1:13" ht="126.6">
      <c r="A651" s="22" t="s">
        <v>22</v>
      </c>
      <c r="B651" s="3" t="s">
        <v>2120</v>
      </c>
      <c r="C651" s="3" t="s">
        <v>2121</v>
      </c>
      <c r="D651" s="3" t="s">
        <v>2079</v>
      </c>
      <c r="E651" s="3" t="s">
        <v>37</v>
      </c>
      <c r="F651" s="3" t="s">
        <v>2030</v>
      </c>
      <c r="G651" s="3" t="s">
        <v>2031</v>
      </c>
      <c r="H651" s="3" t="s">
        <v>2122</v>
      </c>
      <c r="I651" s="3" t="str">
        <f>HYPERLINK("http://www.jccm.es/sede/tramite/KPV","AUTORIZACION DE CIERRE DE ENTIDAD DE DISTRIBUCION DE MEDICAMENTOS DE USO HUMANO")</f>
        <v>AUTORIZACION DE CIERRE DE ENTIDAD DE DISTRIBUCION DE MEDICAMENTOS DE USO HUMANO</v>
      </c>
      <c r="J651" s="3" t="s">
        <v>42</v>
      </c>
      <c r="K651" s="3" t="s">
        <v>41</v>
      </c>
      <c r="L651" s="3" t="s">
        <v>42</v>
      </c>
      <c r="M651" s="3" t="s">
        <v>41</v>
      </c>
    </row>
    <row r="652" spans="1:13" ht="126.6">
      <c r="A652" s="22" t="s">
        <v>22</v>
      </c>
      <c r="B652" s="3" t="s">
        <v>2123</v>
      </c>
      <c r="C652" s="3" t="s">
        <v>2124</v>
      </c>
      <c r="D652" s="3" t="s">
        <v>95</v>
      </c>
      <c r="E652" s="3" t="s">
        <v>95</v>
      </c>
      <c r="F652" s="3" t="s">
        <v>2030</v>
      </c>
      <c r="G652" s="3" t="s">
        <v>2031</v>
      </c>
      <c r="H652" s="3" t="s">
        <v>2125</v>
      </c>
      <c r="I652" s="3" t="str">
        <f>HYPERLINK("http://www.jccm.es/sede/tramite/KQO","COMUNICACION DE REINICIO DE ACTIVIDAD DE OFICINA DE FARMACIA TRAS CIERRE TEMPORAL.")</f>
        <v>COMUNICACION DE REINICIO DE ACTIVIDAD DE OFICINA DE FARMACIA TRAS CIERRE TEMPORAL.</v>
      </c>
      <c r="J652" s="3" t="s">
        <v>41</v>
      </c>
      <c r="K652" s="3" t="s">
        <v>41</v>
      </c>
      <c r="L652" s="3" t="s">
        <v>42</v>
      </c>
      <c r="M652" s="3" t="s">
        <v>41</v>
      </c>
    </row>
    <row r="653" spans="1:13" ht="195.6">
      <c r="A653" s="22" t="s">
        <v>22</v>
      </c>
      <c r="B653" s="3" t="s">
        <v>2126</v>
      </c>
      <c r="C653" s="3" t="s">
        <v>2127</v>
      </c>
      <c r="D653" s="3" t="s">
        <v>45</v>
      </c>
      <c r="E653" s="3" t="s">
        <v>37</v>
      </c>
      <c r="F653" s="3" t="s">
        <v>2030</v>
      </c>
      <c r="G653" s="3" t="s">
        <v>2031</v>
      </c>
      <c r="H653" s="3" t="s">
        <v>2128</v>
      </c>
      <c r="I653" s="3" t="str">
        <f>HYPERLINK("http://www.jccm.es/sede/tramite/KSC","AUTORIZACION DE ACTIVIDADES DE PROMOCION Y PUBLICIDAD EN APOYO DE LA  DONACION-OBTENCION DE TEJIDOS Y CELULAS DE ORIGEN HUMANO EN CASTILLA-LA MANCHA.")</f>
        <v>AUTORIZACION DE ACTIVIDADES DE PROMOCION Y PUBLICIDAD EN APOYO DE LA  DONACION-OBTENCION DE TEJIDOS Y CELULAS DE ORIGEN HUMANO EN CASTILLA-LA MANCHA.</v>
      </c>
      <c r="J653" s="3" t="s">
        <v>42</v>
      </c>
      <c r="K653" s="3" t="s">
        <v>41</v>
      </c>
      <c r="L653" s="3" t="s">
        <v>42</v>
      </c>
      <c r="M653" s="3" t="s">
        <v>41</v>
      </c>
    </row>
    <row r="654" spans="1:13" ht="161.1">
      <c r="A654" s="22" t="s">
        <v>22</v>
      </c>
      <c r="B654" s="3" t="s">
        <v>2129</v>
      </c>
      <c r="C654" s="3" t="s">
        <v>2130</v>
      </c>
      <c r="D654" s="3" t="s">
        <v>95</v>
      </c>
      <c r="E654" s="3" t="s">
        <v>95</v>
      </c>
      <c r="F654" s="3" t="s">
        <v>2030</v>
      </c>
      <c r="G654" s="3" t="s">
        <v>2031</v>
      </c>
      <c r="H654" s="3" t="s">
        <v>2131</v>
      </c>
      <c r="I654" s="3" t="str">
        <f>HYPERLINK("http://www.jccm.es/sede/tramite/KTI","COMUNICACION PREVIA DE VENTA A DISTANCIA AL PUBLICO DE MEDICAMENTOS VETERINARIOS NO SUJETOS A PRESCRIPCION VETERINARIA.")</f>
        <v>COMUNICACION PREVIA DE VENTA A DISTANCIA AL PUBLICO DE MEDICAMENTOS VETERINARIOS NO SUJETOS A PRESCRIPCION VETERINARIA.</v>
      </c>
      <c r="J654" s="3" t="s">
        <v>41</v>
      </c>
      <c r="K654" s="3" t="s">
        <v>41</v>
      </c>
      <c r="L654" s="3" t="s">
        <v>42</v>
      </c>
      <c r="M654" s="3" t="s">
        <v>41</v>
      </c>
    </row>
    <row r="655" spans="1:13" ht="183.95">
      <c r="A655" s="22" t="s">
        <v>22</v>
      </c>
      <c r="B655" s="3" t="s">
        <v>2132</v>
      </c>
      <c r="C655" s="3" t="s">
        <v>2133</v>
      </c>
      <c r="D655" s="3" t="s">
        <v>45</v>
      </c>
      <c r="E655" s="3" t="s">
        <v>37</v>
      </c>
      <c r="F655" s="3" t="s">
        <v>2030</v>
      </c>
      <c r="G655" s="3" t="s">
        <v>2031</v>
      </c>
      <c r="H655" s="3" t="s">
        <v>2134</v>
      </c>
      <c r="I655" s="3" t="str">
        <f>HYPERLINK("http://www.jccm.es/sede/tramite/KXD","AUTORIZACION DE MODIFICACION DE INSTALACIONES O TRASLADO DE ESTABLECIMIENTO DE DISPENSACION DE MEDICAMENTOS VETERINARIOS")</f>
        <v>AUTORIZACION DE MODIFICACION DE INSTALACIONES O TRASLADO DE ESTABLECIMIENTO DE DISPENSACION DE MEDICAMENTOS VETERINARIOS</v>
      </c>
      <c r="J655" s="3" t="s">
        <v>42</v>
      </c>
      <c r="K655" s="3" t="s">
        <v>41</v>
      </c>
      <c r="L655" s="3" t="s">
        <v>42</v>
      </c>
      <c r="M655" s="3" t="s">
        <v>41</v>
      </c>
    </row>
    <row r="656" spans="1:13" ht="126.6">
      <c r="A656" s="22" t="s">
        <v>22</v>
      </c>
      <c r="B656" s="3" t="s">
        <v>2135</v>
      </c>
      <c r="C656" s="3" t="s">
        <v>2136</v>
      </c>
      <c r="D656" s="3" t="s">
        <v>95</v>
      </c>
      <c r="E656" s="3" t="s">
        <v>95</v>
      </c>
      <c r="F656" s="3" t="s">
        <v>2030</v>
      </c>
      <c r="G656" s="3" t="s">
        <v>2031</v>
      </c>
      <c r="H656" s="3" t="s">
        <v>2137</v>
      </c>
      <c r="I656" s="3" t="str">
        <f>HYPERLINK("http://www.jccm.es/sede/tramite/L0F","COMUNICACION DE BOTIQUIN CLINICO VETERINARIO")</f>
        <v>COMUNICACION DE BOTIQUIN CLINICO VETERINARIO</v>
      </c>
      <c r="J656" s="3" t="s">
        <v>41</v>
      </c>
      <c r="K656" s="3" t="s">
        <v>41</v>
      </c>
      <c r="L656" s="3" t="s">
        <v>42</v>
      </c>
      <c r="M656" s="3" t="s">
        <v>41</v>
      </c>
    </row>
    <row r="657" spans="1:13" ht="195.6">
      <c r="A657" s="22" t="s">
        <v>22</v>
      </c>
      <c r="B657" s="3" t="s">
        <v>2138</v>
      </c>
      <c r="C657" s="3" t="s">
        <v>2139</v>
      </c>
      <c r="D657" s="3" t="s">
        <v>2140</v>
      </c>
      <c r="E657" s="3" t="s">
        <v>46</v>
      </c>
      <c r="F657" s="3" t="s">
        <v>2030</v>
      </c>
      <c r="G657" s="3" t="s">
        <v>2087</v>
      </c>
      <c r="H657" s="3" t="s">
        <v>2141</v>
      </c>
      <c r="I657" s="3" t="str">
        <f>HYPERLINK("http://www.jccm.es/sede/tramite/L1Y","AUTORIZACION COMO VETERINARIO ACTUANTE PARA INSPECCIONES  IN SITU  EN UNA ACTIVIDAD CINEGETICA O INSPECCIONES DE PIEZAS DE CAZA PARA AUTOCONSUMO.")</f>
        <v>AUTORIZACION COMO VETERINARIO ACTUANTE PARA INSPECCIONES  IN SITU  EN UNA ACTIVIDAD CINEGETICA O INSPECCIONES DE PIEZAS DE CAZA PARA AUTOCONSUMO.</v>
      </c>
      <c r="J657" s="3" t="s">
        <v>41</v>
      </c>
      <c r="K657" s="3" t="s">
        <v>41</v>
      </c>
      <c r="L657" s="3" t="s">
        <v>42</v>
      </c>
      <c r="M657" s="3" t="s">
        <v>41</v>
      </c>
    </row>
    <row r="658" spans="1:13" ht="126.6">
      <c r="A658" s="22" t="s">
        <v>22</v>
      </c>
      <c r="B658" s="3" t="s">
        <v>2142</v>
      </c>
      <c r="C658" s="3" t="s">
        <v>2143</v>
      </c>
      <c r="D658" s="3" t="s">
        <v>95</v>
      </c>
      <c r="E658" s="3" t="s">
        <v>95</v>
      </c>
      <c r="F658" s="3" t="s">
        <v>2030</v>
      </c>
      <c r="G658" s="3" t="s">
        <v>2031</v>
      </c>
      <c r="H658" s="3" t="s">
        <v>2144</v>
      </c>
      <c r="I658" s="3" t="str">
        <f>HYPERLINK("http://www.jccm.es/sede/tramite/L43","COMUNICACION DE ELABORACION DE SISTEMAS PERSONALIZADOS DE DOSIFICACION EN OFICINA DE FARMACIA.")</f>
        <v>COMUNICACION DE ELABORACION DE SISTEMAS PERSONALIZADOS DE DOSIFICACION EN OFICINA DE FARMACIA.</v>
      </c>
      <c r="J658" s="3" t="s">
        <v>41</v>
      </c>
      <c r="K658" s="3" t="s">
        <v>41</v>
      </c>
      <c r="L658" s="3" t="s">
        <v>42</v>
      </c>
      <c r="M658" s="3" t="s">
        <v>41</v>
      </c>
    </row>
    <row r="659" spans="1:13" ht="126.6">
      <c r="A659" s="22" t="s">
        <v>22</v>
      </c>
      <c r="B659" s="3" t="s">
        <v>2145</v>
      </c>
      <c r="C659" s="3" t="s">
        <v>2146</v>
      </c>
      <c r="D659" s="3" t="s">
        <v>459</v>
      </c>
      <c r="E659" s="3" t="s">
        <v>37</v>
      </c>
      <c r="F659" s="3" t="s">
        <v>2030</v>
      </c>
      <c r="G659" s="3" t="s">
        <v>2031</v>
      </c>
      <c r="H659" s="3" t="s">
        <v>2147</v>
      </c>
      <c r="I659" s="3" t="str">
        <f>HYPERLINK("http://www.jccm.es/sede/tramite/L4M","SOLICITUD AUTORIZACION DE LIBROS OFICIALES DE OFICINA DE FARMACIA")</f>
        <v>SOLICITUD AUTORIZACION DE LIBROS OFICIALES DE OFICINA DE FARMACIA</v>
      </c>
      <c r="J659" s="3" t="s">
        <v>41</v>
      </c>
      <c r="K659" s="3" t="s">
        <v>41</v>
      </c>
      <c r="L659" s="3" t="s">
        <v>42</v>
      </c>
      <c r="M659" s="3" t="s">
        <v>41</v>
      </c>
    </row>
    <row r="660" spans="1:13" ht="126.6">
      <c r="A660" s="22" t="s">
        <v>22</v>
      </c>
      <c r="B660" s="3" t="s">
        <v>2148</v>
      </c>
      <c r="C660" s="3" t="s">
        <v>2149</v>
      </c>
      <c r="D660" s="3" t="s">
        <v>459</v>
      </c>
      <c r="E660" s="3" t="s">
        <v>37</v>
      </c>
      <c r="F660" s="3" t="s">
        <v>2030</v>
      </c>
      <c r="G660" s="3" t="s">
        <v>2031</v>
      </c>
      <c r="H660" s="3" t="s">
        <v>2150</v>
      </c>
      <c r="I660" s="3" t="str">
        <f>HYPERLINK("http://www.jccm.es/sede/tramite/L4L","COMUNICACION DE DESIGNACION DE LOCAL DE UNA NUEVA OFICINA DE FARMACIA.")</f>
        <v>COMUNICACION DE DESIGNACION DE LOCAL DE UNA NUEVA OFICINA DE FARMACIA.</v>
      </c>
      <c r="J660" s="3" t="s">
        <v>41</v>
      </c>
      <c r="K660" s="3" t="s">
        <v>41</v>
      </c>
      <c r="L660" s="3" t="s">
        <v>42</v>
      </c>
      <c r="M660" s="3" t="s">
        <v>41</v>
      </c>
    </row>
    <row r="661" spans="1:13" ht="126.6">
      <c r="A661" s="22" t="s">
        <v>22</v>
      </c>
      <c r="B661" s="3" t="s">
        <v>2151</v>
      </c>
      <c r="C661" s="3" t="s">
        <v>2152</v>
      </c>
      <c r="D661" s="3" t="s">
        <v>45</v>
      </c>
      <c r="E661" s="3" t="s">
        <v>37</v>
      </c>
      <c r="F661" s="3" t="s">
        <v>2030</v>
      </c>
      <c r="G661" s="3" t="s">
        <v>2031</v>
      </c>
      <c r="H661" s="3" t="s">
        <v>2153</v>
      </c>
      <c r="I661" s="3" t="str">
        <f>HYPERLINK("http://www.jccm.es/sede/tramite/L4O","AUTORIZACION DE INSTALACION DE CARTEL DE LA OFICINA DE FARMACIA EN UBICACION EXTRAORDINARIA")</f>
        <v>AUTORIZACION DE INSTALACION DE CARTEL DE LA OFICINA DE FARMACIA EN UBICACION EXTRAORDINARIA</v>
      </c>
      <c r="J661" s="3" t="s">
        <v>41</v>
      </c>
      <c r="K661" s="3" t="s">
        <v>41</v>
      </c>
      <c r="L661" s="3" t="s">
        <v>42</v>
      </c>
      <c r="M661" s="3" t="s">
        <v>41</v>
      </c>
    </row>
    <row r="662" spans="1:13" ht="126.6">
      <c r="A662" s="22" t="s">
        <v>22</v>
      </c>
      <c r="B662" s="3" t="s">
        <v>2154</v>
      </c>
      <c r="C662" s="3" t="s">
        <v>2155</v>
      </c>
      <c r="D662" s="3" t="s">
        <v>95</v>
      </c>
      <c r="E662" s="3" t="s">
        <v>95</v>
      </c>
      <c r="F662" s="3" t="s">
        <v>2030</v>
      </c>
      <c r="G662" s="3" t="s">
        <v>2031</v>
      </c>
      <c r="H662" s="3" t="s">
        <v>2156</v>
      </c>
      <c r="I662" s="3" t="str">
        <f>HYPERLINK("http://www.jccm.es/sede/tramite/L4N","COMUNICACION DE BUSQUEDA DE FARMACEUTICO ADJUNTO PARA LA OFICINA DE FARMACIA")</f>
        <v>COMUNICACION DE BUSQUEDA DE FARMACEUTICO ADJUNTO PARA LA OFICINA DE FARMACIA</v>
      </c>
      <c r="J662" s="3" t="s">
        <v>41</v>
      </c>
      <c r="K662" s="3" t="s">
        <v>41</v>
      </c>
      <c r="L662" s="3" t="s">
        <v>42</v>
      </c>
      <c r="M662" s="3" t="s">
        <v>41</v>
      </c>
    </row>
    <row r="663" spans="1:13" ht="126.6">
      <c r="A663" s="22" t="s">
        <v>22</v>
      </c>
      <c r="B663" s="3" t="s">
        <v>2157</v>
      </c>
      <c r="C663" s="3" t="s">
        <v>2158</v>
      </c>
      <c r="D663" s="3" t="s">
        <v>62</v>
      </c>
      <c r="E663" s="3" t="s">
        <v>46</v>
      </c>
      <c r="F663" s="3" t="s">
        <v>2030</v>
      </c>
      <c r="G663" s="3" t="s">
        <v>2031</v>
      </c>
      <c r="H663" s="3" t="s">
        <v>2159</v>
      </c>
      <c r="I663" s="3" t="str">
        <f>HYPERLINK("http://www.jccm.es/sede/tramite/L4P","SOLICITUD DE INSTALACION DE UN BOTIQUIN POR AYUNTAMIENTOS")</f>
        <v>SOLICITUD DE INSTALACION DE UN BOTIQUIN POR AYUNTAMIENTOS</v>
      </c>
      <c r="J663" s="3" t="s">
        <v>41</v>
      </c>
      <c r="K663" s="3" t="s">
        <v>41</v>
      </c>
      <c r="L663" s="3" t="s">
        <v>42</v>
      </c>
      <c r="M663" s="3" t="s">
        <v>41</v>
      </c>
    </row>
    <row r="664" spans="1:13" ht="218.45">
      <c r="A664" s="22" t="s">
        <v>22</v>
      </c>
      <c r="B664" s="3" t="s">
        <v>2160</v>
      </c>
      <c r="C664" s="3" t="s">
        <v>2161</v>
      </c>
      <c r="D664" s="3" t="s">
        <v>95</v>
      </c>
      <c r="E664" s="3" t="s">
        <v>95</v>
      </c>
      <c r="F664" s="3" t="s">
        <v>2030</v>
      </c>
      <c r="G664" s="3" t="s">
        <v>2031</v>
      </c>
      <c r="H664" s="3" t="s">
        <v>2162</v>
      </c>
      <c r="I664" s="3" t="str">
        <f>HYPERLINK("http://www.jccm.es/sede/tramite/L7S","COMUNICACION DEL COLEGIO OFICIAL DE FARMACEUTICOS SOBRE HORARIO SUPERIOR AL MINIMO OFICIAL DE OFICINAS DE FARMACIA O SOBRE SUSTITUTO EN CASO DE AUSENCIA POR VACACIONES.")</f>
        <v>COMUNICACION DEL COLEGIO OFICIAL DE FARMACEUTICOS SOBRE HORARIO SUPERIOR AL MINIMO OFICIAL DE OFICINAS DE FARMACIA O SOBRE SUSTITUTO EN CASO DE AUSENCIA POR VACACIONES.</v>
      </c>
      <c r="J664" s="3" t="s">
        <v>41</v>
      </c>
      <c r="K664" s="3" t="s">
        <v>41</v>
      </c>
      <c r="L664" s="3" t="s">
        <v>42</v>
      </c>
      <c r="M664" s="3" t="s">
        <v>41</v>
      </c>
    </row>
    <row r="665" spans="1:13" ht="195.6">
      <c r="A665" s="22" t="s">
        <v>22</v>
      </c>
      <c r="B665" s="3" t="s">
        <v>2163</v>
      </c>
      <c r="C665" s="3" t="s">
        <v>2164</v>
      </c>
      <c r="D665" s="3" t="s">
        <v>95</v>
      </c>
      <c r="E665" s="3" t="s">
        <v>95</v>
      </c>
      <c r="F665" s="3" t="s">
        <v>2030</v>
      </c>
      <c r="G665" s="3" t="s">
        <v>2031</v>
      </c>
      <c r="H665" s="3" t="s">
        <v>2165</v>
      </c>
      <c r="I665" s="3" t="str">
        <f>HYPERLINK("http://www.jccm.es/sede/tramite/L7T","COMUNICACION DE GUARDIAS LOCALIZADAS, PERMUTA DEL SERVICIO DE URGENCIA Y PRESTACION DEL HORARIO MINIMO OFICIAL CONTINUADO EN OFICINAS DE FARMACIA.")</f>
        <v>COMUNICACION DE GUARDIAS LOCALIZADAS, PERMUTA DEL SERVICIO DE URGENCIA Y PRESTACION DEL HORARIO MINIMO OFICIAL CONTINUADO EN OFICINAS DE FARMACIA.</v>
      </c>
      <c r="J665" s="3" t="s">
        <v>41</v>
      </c>
      <c r="K665" s="3" t="s">
        <v>41</v>
      </c>
      <c r="L665" s="3" t="s">
        <v>42</v>
      </c>
      <c r="M665" s="3" t="s">
        <v>41</v>
      </c>
    </row>
    <row r="666" spans="1:13" ht="138">
      <c r="A666" s="22" t="s">
        <v>22</v>
      </c>
      <c r="B666" s="3" t="s">
        <v>2166</v>
      </c>
      <c r="C666" s="3" t="s">
        <v>2167</v>
      </c>
      <c r="D666" s="3" t="s">
        <v>95</v>
      </c>
      <c r="E666" s="3" t="s">
        <v>95</v>
      </c>
      <c r="F666" s="3" t="s">
        <v>2030</v>
      </c>
      <c r="G666" s="3" t="s">
        <v>2031</v>
      </c>
      <c r="H666" s="3" t="s">
        <v>2168</v>
      </c>
      <c r="I666" s="3" t="str">
        <f>HYPERLINK("http://www.jccm.es/sede/tramite/L7U","COMUNICACION DE CIERRE DE OFICINA DE FARMACIA POR ASUNTOS PARTICULARES O POR CAUSAS INVOLUNTARIAS.")</f>
        <v>COMUNICACION DE CIERRE DE OFICINA DE FARMACIA POR ASUNTOS PARTICULARES O POR CAUSAS INVOLUNTARIAS.</v>
      </c>
      <c r="J666" s="3" t="s">
        <v>41</v>
      </c>
      <c r="K666" s="3" t="s">
        <v>41</v>
      </c>
      <c r="L666" s="3" t="s">
        <v>42</v>
      </c>
      <c r="M666" s="3" t="s">
        <v>41</v>
      </c>
    </row>
    <row r="667" spans="1:13" ht="114.95">
      <c r="A667" s="22" t="s">
        <v>22</v>
      </c>
      <c r="B667" s="3" t="s">
        <v>2169</v>
      </c>
      <c r="C667" s="3" t="s">
        <v>2170</v>
      </c>
      <c r="D667" s="3" t="s">
        <v>70</v>
      </c>
      <c r="E667" s="3" t="s">
        <v>46</v>
      </c>
      <c r="F667" s="3" t="s">
        <v>2030</v>
      </c>
      <c r="G667" s="3" t="s">
        <v>2087</v>
      </c>
      <c r="H667" s="3" t="s">
        <v>2171</v>
      </c>
      <c r="I667" s="3" t="str">
        <f>HYPERLINK("http://www.jccm.es/sede/tramite/LAV","AUTORIZACION COMO VETERINARIO COLABORADOR EN MATANZAS DOMICILIARIAS DE CERDOS.")</f>
        <v>AUTORIZACION COMO VETERINARIO COLABORADOR EN MATANZAS DOMICILIARIAS DE CERDOS.</v>
      </c>
      <c r="J667" s="3" t="s">
        <v>41</v>
      </c>
      <c r="K667" s="3" t="s">
        <v>41</v>
      </c>
      <c r="L667" s="3" t="s">
        <v>42</v>
      </c>
      <c r="M667" s="3" t="s">
        <v>41</v>
      </c>
    </row>
    <row r="668" spans="1:13" ht="161.1">
      <c r="A668" s="22" t="s">
        <v>22</v>
      </c>
      <c r="B668" s="3" t="s">
        <v>2172</v>
      </c>
      <c r="C668" s="3" t="s">
        <v>2173</v>
      </c>
      <c r="D668" s="3" t="s">
        <v>232</v>
      </c>
      <c r="E668" s="3" t="s">
        <v>37</v>
      </c>
      <c r="F668" s="3" t="s">
        <v>2030</v>
      </c>
      <c r="G668" s="3" t="s">
        <v>2031</v>
      </c>
      <c r="H668" s="3" t="s">
        <v>2174</v>
      </c>
      <c r="I668" s="3" t="str">
        <f>HYPERLINK("http://www.jccm.es/sede/tramite/L05","COMUNICACION DE CESE TOTAL O PARCIAL DE ACTIVIDADES DE CENTROS, SERVICIOS Y ESTABLECIMIENTOS SANITARIOS SIN INTERNAMIENTO")</f>
        <v>COMUNICACION DE CESE TOTAL O PARCIAL DE ACTIVIDADES DE CENTROS, SERVICIOS Y ESTABLECIMIENTOS SANITARIOS SIN INTERNAMIENTO</v>
      </c>
      <c r="J668" s="3" t="s">
        <v>42</v>
      </c>
      <c r="K668" s="3" t="s">
        <v>41</v>
      </c>
      <c r="L668" s="3" t="s">
        <v>42</v>
      </c>
      <c r="M668" s="3" t="s">
        <v>41</v>
      </c>
    </row>
    <row r="669" spans="1:13" ht="138">
      <c r="A669" s="22" t="s">
        <v>22</v>
      </c>
      <c r="B669" s="3" t="s">
        <v>2175</v>
      </c>
      <c r="C669" s="3" t="s">
        <v>2176</v>
      </c>
      <c r="D669" s="3" t="s">
        <v>232</v>
      </c>
      <c r="E669" s="3" t="s">
        <v>37</v>
      </c>
      <c r="F669" s="3" t="s">
        <v>2030</v>
      </c>
      <c r="G669" s="3" t="s">
        <v>2031</v>
      </c>
      <c r="H669" s="3" t="s">
        <v>2177</v>
      </c>
      <c r="I669" s="3" t="str">
        <f>HYPERLINK("http://www.jccm.es/sede/tramite/JTE","AUTORIZACION DE INSTALACION DE CENTROS, SERVICIOS Y ESTABLECIMIENTOS SANITARIOS SIN INTERNAMIENTO")</f>
        <v>AUTORIZACION DE INSTALACION DE CENTROS, SERVICIOS Y ESTABLECIMIENTOS SANITARIOS SIN INTERNAMIENTO</v>
      </c>
      <c r="J669" s="3" t="s">
        <v>42</v>
      </c>
      <c r="K669" s="3" t="s">
        <v>41</v>
      </c>
      <c r="L669" s="3" t="s">
        <v>42</v>
      </c>
      <c r="M669" s="3" t="s">
        <v>41</v>
      </c>
    </row>
    <row r="670" spans="1:13" ht="161.1">
      <c r="A670" s="22" t="s">
        <v>22</v>
      </c>
      <c r="B670" s="3" t="s">
        <v>2178</v>
      </c>
      <c r="C670" s="3" t="s">
        <v>2179</v>
      </c>
      <c r="D670" s="3" t="s">
        <v>232</v>
      </c>
      <c r="E670" s="3" t="s">
        <v>37</v>
      </c>
      <c r="F670" s="3" t="s">
        <v>2030</v>
      </c>
      <c r="G670" s="3" t="s">
        <v>2031</v>
      </c>
      <c r="H670" s="3" t="s">
        <v>2180</v>
      </c>
      <c r="I670" s="3" t="str">
        <f>HYPERLINK("http://www.jccm.es/sede/tramite/JRE","AUTORIZACION DE MODIFICACION DE ACTIVIDADES DE CENTROS, SERVICIOS Y ESTABLECIMIENTOS SANITARIOS SIN INTERNAMIENTO")</f>
        <v>AUTORIZACION DE MODIFICACION DE ACTIVIDADES DE CENTROS, SERVICIOS Y ESTABLECIMIENTOS SANITARIOS SIN INTERNAMIENTO</v>
      </c>
      <c r="J670" s="3" t="s">
        <v>42</v>
      </c>
      <c r="K670" s="3" t="s">
        <v>41</v>
      </c>
      <c r="L670" s="3" t="s">
        <v>42</v>
      </c>
      <c r="M670" s="3" t="s">
        <v>41</v>
      </c>
    </row>
    <row r="671" spans="1:13" ht="207">
      <c r="A671" s="22" t="s">
        <v>22</v>
      </c>
      <c r="B671" s="3" t="s">
        <v>2181</v>
      </c>
      <c r="C671" s="3" t="s">
        <v>2182</v>
      </c>
      <c r="D671" s="3" t="s">
        <v>232</v>
      </c>
      <c r="E671" s="3" t="s">
        <v>37</v>
      </c>
      <c r="F671" s="3" t="s">
        <v>2030</v>
      </c>
      <c r="G671" s="3" t="s">
        <v>2031</v>
      </c>
      <c r="H671" s="3" t="s">
        <v>2183</v>
      </c>
      <c r="I671" s="3" t="str">
        <f>HYPERLINK("http://www.jccm.es/sede/tramite/JRD","AUTORIZACION DE MODIFICACION QUE REQUIERE LA REALIZACION DE OBRAS O INSTALACIONES DE CENTROS, SERVICIOS Y ESTABLECIMIENTOS SANITARIOS SIN INTERNAMIENTO")</f>
        <v>AUTORIZACION DE MODIFICACION QUE REQUIERE LA REALIZACION DE OBRAS O INSTALACIONES DE CENTROS, SERVICIOS Y ESTABLECIMIENTOS SANITARIOS SIN INTERNAMIENTO</v>
      </c>
      <c r="J671" s="3" t="s">
        <v>42</v>
      </c>
      <c r="K671" s="3" t="s">
        <v>41</v>
      </c>
      <c r="L671" s="3" t="s">
        <v>42</v>
      </c>
      <c r="M671" s="3" t="s">
        <v>41</v>
      </c>
    </row>
    <row r="672" spans="1:13" ht="149.44999999999999">
      <c r="A672" s="22" t="s">
        <v>22</v>
      </c>
      <c r="B672" s="3" t="s">
        <v>2184</v>
      </c>
      <c r="C672" s="3" t="s">
        <v>2185</v>
      </c>
      <c r="D672" s="3" t="s">
        <v>232</v>
      </c>
      <c r="E672" s="3" t="s">
        <v>37</v>
      </c>
      <c r="F672" s="3" t="s">
        <v>2030</v>
      </c>
      <c r="G672" s="3" t="s">
        <v>2031</v>
      </c>
      <c r="H672" s="3" t="s">
        <v>2186</v>
      </c>
      <c r="I672" s="3" t="str">
        <f>HYPERLINK("http://www.jccm.es/sede/tramite/JRC","AUTORIZACION DE PUESTA EN FUNCIONAMIENTO DE CENTROS, SERVICIOS Y ESTABLECIMIENTOS SANITARIOS SIN INTERNAMIENTO")</f>
        <v>AUTORIZACION DE PUESTA EN FUNCIONAMIENTO DE CENTROS, SERVICIOS Y ESTABLECIMIENTOS SANITARIOS SIN INTERNAMIENTO</v>
      </c>
      <c r="J672" s="3" t="s">
        <v>42</v>
      </c>
      <c r="K672" s="3" t="s">
        <v>41</v>
      </c>
      <c r="L672" s="3" t="s">
        <v>42</v>
      </c>
      <c r="M672" s="3" t="s">
        <v>41</v>
      </c>
    </row>
    <row r="673" spans="1:13" ht="126.6">
      <c r="A673" s="22" t="s">
        <v>22</v>
      </c>
      <c r="B673" s="3" t="s">
        <v>2187</v>
      </c>
      <c r="C673" s="3" t="s">
        <v>2188</v>
      </c>
      <c r="D673" s="3" t="s">
        <v>232</v>
      </c>
      <c r="E673" s="3" t="s">
        <v>37</v>
      </c>
      <c r="F673" s="3" t="s">
        <v>2030</v>
      </c>
      <c r="G673" s="3" t="s">
        <v>2031</v>
      </c>
      <c r="H673" s="3" t="s">
        <v>2189</v>
      </c>
      <c r="I673" s="3" t="str">
        <f>HYPERLINK("http://www.jccm.es/sede/tramite/JTF","AUTORIZACION DE CESE TOTAL O PARCIAL DE CENTROS Y SERVICIOS SANITARIOS SIN INTERNAMIENTO")</f>
        <v>AUTORIZACION DE CESE TOTAL O PARCIAL DE CENTROS Y SERVICIOS SANITARIOS SIN INTERNAMIENTO</v>
      </c>
      <c r="J673" s="3" t="s">
        <v>42</v>
      </c>
      <c r="K673" s="3" t="s">
        <v>41</v>
      </c>
      <c r="L673" s="3" t="s">
        <v>42</v>
      </c>
      <c r="M673" s="3" t="s">
        <v>41</v>
      </c>
    </row>
    <row r="674" spans="1:13" ht="195.6">
      <c r="A674" s="22" t="s">
        <v>22</v>
      </c>
      <c r="B674" s="3" t="s">
        <v>2190</v>
      </c>
      <c r="C674" s="3" t="s">
        <v>2191</v>
      </c>
      <c r="D674" s="3" t="s">
        <v>232</v>
      </c>
      <c r="E674" s="3" t="s">
        <v>37</v>
      </c>
      <c r="F674" s="3" t="s">
        <v>2030</v>
      </c>
      <c r="G674" s="3" t="s">
        <v>2031</v>
      </c>
      <c r="H674" s="3" t="s">
        <v>2192</v>
      </c>
      <c r="I674" s="3" t="str">
        <f>HYPERLINK("http://www.jccm.es/sede/tramite/JRF","AUTORIZACION DE RENOVACION DE LA AUTORIZACION DE PUESTA EN FUNCIONAMIENTO DE CENTROS, SERVICIOS Y ESTABLECIMIENTOS SANITARIOS SIN INTERNAMIENTO")</f>
        <v>AUTORIZACION DE RENOVACION DE LA AUTORIZACION DE PUESTA EN FUNCIONAMIENTO DE CENTROS, SERVICIOS Y ESTABLECIMIENTOS SANITARIOS SIN INTERNAMIENTO</v>
      </c>
      <c r="J674" s="3" t="s">
        <v>42</v>
      </c>
      <c r="K674" s="3" t="s">
        <v>41</v>
      </c>
      <c r="L674" s="3" t="s">
        <v>42</v>
      </c>
      <c r="M674" s="3" t="s">
        <v>41</v>
      </c>
    </row>
    <row r="675" spans="1:13" ht="126.6">
      <c r="A675" s="22" t="s">
        <v>22</v>
      </c>
      <c r="B675" s="3" t="s">
        <v>2193</v>
      </c>
      <c r="C675" s="3" t="s">
        <v>2194</v>
      </c>
      <c r="D675" s="3" t="s">
        <v>45</v>
      </c>
      <c r="E675" s="3" t="s">
        <v>37</v>
      </c>
      <c r="F675" s="3" t="s">
        <v>2030</v>
      </c>
      <c r="G675" s="3" t="s">
        <v>2031</v>
      </c>
      <c r="H675" s="3" t="s">
        <v>2195</v>
      </c>
      <c r="I675" s="3" t="str">
        <f>HYPERLINK("http://www.jccm.es/sede/tramite/JRG","CONCESION DE  LICENCIAS DE FUNCIONAMIENTO A LOS FABRICANTES DE PRODUCTOS SANITARIOS A MEDIDA")</f>
        <v>CONCESION DE  LICENCIAS DE FUNCIONAMIENTO A LOS FABRICANTES DE PRODUCTOS SANITARIOS A MEDIDA</v>
      </c>
      <c r="J675" s="3" t="s">
        <v>42</v>
      </c>
      <c r="K675" s="3" t="s">
        <v>41</v>
      </c>
      <c r="L675" s="3" t="s">
        <v>42</v>
      </c>
      <c r="M675" s="3" t="s">
        <v>41</v>
      </c>
    </row>
    <row r="676" spans="1:13" ht="149.44999999999999">
      <c r="A676" s="22" t="s">
        <v>22</v>
      </c>
      <c r="B676" s="3" t="s">
        <v>2196</v>
      </c>
      <c r="C676" s="3" t="s">
        <v>2197</v>
      </c>
      <c r="D676" s="3" t="s">
        <v>45</v>
      </c>
      <c r="E676" s="3" t="s">
        <v>37</v>
      </c>
      <c r="F676" s="3" t="s">
        <v>2030</v>
      </c>
      <c r="G676" s="3" t="s">
        <v>2031</v>
      </c>
      <c r="H676" s="3" t="s">
        <v>2198</v>
      </c>
      <c r="I676" s="3" t="str">
        <f>HYPERLINK("http://www.jccm.es/sede/tramite/JTN","RENOVACION DE LA CONCESION DE LICENCIAS DE FUNCIONAMIENTO A LOS FABRICANTES DE PRODUCTOS SANITARIOS A MEDIDA")</f>
        <v>RENOVACION DE LA CONCESION DE LICENCIAS DE FUNCIONAMIENTO A LOS FABRICANTES DE PRODUCTOS SANITARIOS A MEDIDA</v>
      </c>
      <c r="J676" s="3" t="s">
        <v>42</v>
      </c>
      <c r="K676" s="3" t="s">
        <v>41</v>
      </c>
      <c r="L676" s="3" t="s">
        <v>42</v>
      </c>
      <c r="M676" s="3" t="s">
        <v>41</v>
      </c>
    </row>
    <row r="677" spans="1:13" ht="161.1">
      <c r="A677" s="22" t="s">
        <v>22</v>
      </c>
      <c r="B677" s="3" t="s">
        <v>2199</v>
      </c>
      <c r="C677" s="3" t="s">
        <v>2200</v>
      </c>
      <c r="D677" s="3" t="s">
        <v>95</v>
      </c>
      <c r="E677" s="3" t="s">
        <v>95</v>
      </c>
      <c r="F677" s="3" t="s">
        <v>2030</v>
      </c>
      <c r="G677" s="3" t="s">
        <v>2031</v>
      </c>
      <c r="H677" s="3" t="s">
        <v>2201</v>
      </c>
      <c r="I677" s="3" t="str">
        <f>HYPERLINK("http://www.jccm.es/sede/tramite/JUP","COMUNICACION RELATIVA A PERSONAL DE OFICINA DE FARMACIA (SUSTITUTOS, ADJUNTOS O TECNICOS EN FARMACIA Y PARAFARMACIA).")</f>
        <v>COMUNICACION RELATIVA A PERSONAL DE OFICINA DE FARMACIA (SUSTITUTOS, ADJUNTOS O TECNICOS EN FARMACIA Y PARAFARMACIA).</v>
      </c>
      <c r="J677" s="3" t="s">
        <v>41</v>
      </c>
      <c r="K677" s="3" t="s">
        <v>41</v>
      </c>
      <c r="L677" s="3" t="s">
        <v>42</v>
      </c>
      <c r="M677" s="3" t="s">
        <v>41</v>
      </c>
    </row>
    <row r="678" spans="1:13" ht="126.6">
      <c r="A678" s="22" t="s">
        <v>22</v>
      </c>
      <c r="B678" s="3" t="s">
        <v>2202</v>
      </c>
      <c r="C678" s="3" t="s">
        <v>2203</v>
      </c>
      <c r="D678" s="3" t="s">
        <v>95</v>
      </c>
      <c r="E678" s="3" t="s">
        <v>95</v>
      </c>
      <c r="F678" s="3" t="s">
        <v>2030</v>
      </c>
      <c r="G678" s="3" t="s">
        <v>2031</v>
      </c>
      <c r="H678" s="3" t="s">
        <v>2204</v>
      </c>
      <c r="I678" s="3" t="str">
        <f>HYPERLINK("http://www.jccm.es/sede/tramite/L7R","DESIGNACION COMO SUSTITUTO A OTRO TITULAR DE UNA OFICINA DE FARMACIA PROXIMA.")</f>
        <v>DESIGNACION COMO SUSTITUTO A OTRO TITULAR DE UNA OFICINA DE FARMACIA PROXIMA.</v>
      </c>
      <c r="J678" s="3" t="s">
        <v>41</v>
      </c>
      <c r="K678" s="3" t="s">
        <v>41</v>
      </c>
      <c r="L678" s="3" t="s">
        <v>42</v>
      </c>
      <c r="M678" s="3" t="s">
        <v>41</v>
      </c>
    </row>
    <row r="679" spans="1:13" ht="126.6">
      <c r="A679" s="22" t="s">
        <v>22</v>
      </c>
      <c r="B679" s="3" t="s">
        <v>2205</v>
      </c>
      <c r="C679" s="3" t="s">
        <v>2206</v>
      </c>
      <c r="D679" s="3" t="s">
        <v>45</v>
      </c>
      <c r="E679" s="3" t="s">
        <v>46</v>
      </c>
      <c r="F679" s="3" t="s">
        <v>2030</v>
      </c>
      <c r="G679" s="3" t="s">
        <v>2031</v>
      </c>
      <c r="H679" s="3" t="s">
        <v>2207</v>
      </c>
      <c r="I679" s="3" t="str">
        <f>HYPERLINK("http://www.jccm.es/sede/tramite/JRN","AUTORIZACION DE MODIFICACION DE ACTIVIDADES DE CENTROS SANITARIOS CON INTERNAMIENTO")</f>
        <v>AUTORIZACION DE MODIFICACION DE ACTIVIDADES DE CENTROS SANITARIOS CON INTERNAMIENTO</v>
      </c>
      <c r="J679" s="3" t="s">
        <v>42</v>
      </c>
      <c r="K679" s="3" t="s">
        <v>41</v>
      </c>
      <c r="L679" s="3" t="s">
        <v>42</v>
      </c>
      <c r="M679" s="3" t="s">
        <v>42</v>
      </c>
    </row>
    <row r="680" spans="1:13" ht="126.6">
      <c r="A680" s="22" t="s">
        <v>22</v>
      </c>
      <c r="B680" s="3" t="s">
        <v>2208</v>
      </c>
      <c r="C680" s="3" t="s">
        <v>2209</v>
      </c>
      <c r="D680" s="3" t="s">
        <v>45</v>
      </c>
      <c r="E680" s="3" t="s">
        <v>46</v>
      </c>
      <c r="F680" s="3" t="s">
        <v>2030</v>
      </c>
      <c r="G680" s="3" t="s">
        <v>2031</v>
      </c>
      <c r="H680" s="3" t="s">
        <v>2210</v>
      </c>
      <c r="I680" s="3" t="str">
        <f>HYPERLINK("http://www.jccm.es/sede/tramite/JTJ","AUTORIZACION DE INSTALACION DE CENTROS SANITARIOS CON INTERNAMIENTO")</f>
        <v>AUTORIZACION DE INSTALACION DE CENTROS SANITARIOS CON INTERNAMIENTO</v>
      </c>
      <c r="J680" s="3" t="s">
        <v>42</v>
      </c>
      <c r="K680" s="3" t="s">
        <v>41</v>
      </c>
      <c r="L680" s="3" t="s">
        <v>42</v>
      </c>
      <c r="M680" s="3" t="s">
        <v>42</v>
      </c>
    </row>
    <row r="681" spans="1:13" ht="172.5">
      <c r="A681" s="22" t="s">
        <v>22</v>
      </c>
      <c r="B681" s="3" t="s">
        <v>2211</v>
      </c>
      <c r="C681" s="3" t="s">
        <v>2212</v>
      </c>
      <c r="D681" s="3" t="s">
        <v>45</v>
      </c>
      <c r="E681" s="3" t="s">
        <v>46</v>
      </c>
      <c r="F681" s="3" t="s">
        <v>2030</v>
      </c>
      <c r="G681" s="3" t="s">
        <v>2031</v>
      </c>
      <c r="H681" s="3" t="s">
        <v>2213</v>
      </c>
      <c r="I681" s="3" t="str">
        <f>HYPERLINK("http://www.jccm.es/sede/tramite/JRM","AUTORIZACION DE MODIFICACION QUE REQUIERE LA REALIZACION DE OBRAS O INSTALACIONES DE CENTROS SANITARIOS CON INTERNAMIENTO")</f>
        <v>AUTORIZACION DE MODIFICACION QUE REQUIERE LA REALIZACION DE OBRAS O INSTALACIONES DE CENTROS SANITARIOS CON INTERNAMIENTO</v>
      </c>
      <c r="J681" s="3" t="s">
        <v>42</v>
      </c>
      <c r="K681" s="3" t="s">
        <v>41</v>
      </c>
      <c r="L681" s="3" t="s">
        <v>42</v>
      </c>
      <c r="M681" s="3" t="s">
        <v>42</v>
      </c>
    </row>
    <row r="682" spans="1:13" ht="126.6">
      <c r="A682" s="22" t="s">
        <v>22</v>
      </c>
      <c r="B682" s="3" t="s">
        <v>2214</v>
      </c>
      <c r="C682" s="3" t="s">
        <v>2215</v>
      </c>
      <c r="D682" s="3" t="s">
        <v>45</v>
      </c>
      <c r="E682" s="3" t="s">
        <v>46</v>
      </c>
      <c r="F682" s="3" t="s">
        <v>2030</v>
      </c>
      <c r="G682" s="3" t="s">
        <v>2031</v>
      </c>
      <c r="H682" s="3" t="s">
        <v>2216</v>
      </c>
      <c r="I682" s="3" t="str">
        <f>HYPERLINK("http://www.jccm.es/sede/tramite/JRL","AUTORIZACION DE PUESTA EN FUNCIONAMIENTO DE CENTROS SANITARIOS CON INTERNAMIENTO")</f>
        <v>AUTORIZACION DE PUESTA EN FUNCIONAMIENTO DE CENTROS SANITARIOS CON INTERNAMIENTO</v>
      </c>
      <c r="J682" s="3" t="s">
        <v>42</v>
      </c>
      <c r="K682" s="3" t="s">
        <v>41</v>
      </c>
      <c r="L682" s="3" t="s">
        <v>42</v>
      </c>
      <c r="M682" s="3" t="s">
        <v>42</v>
      </c>
    </row>
    <row r="683" spans="1:13" ht="126.6">
      <c r="A683" s="22" t="s">
        <v>22</v>
      </c>
      <c r="B683" s="3" t="s">
        <v>2217</v>
      </c>
      <c r="C683" s="3" t="s">
        <v>2218</v>
      </c>
      <c r="D683" s="3" t="s">
        <v>45</v>
      </c>
      <c r="E683" s="3" t="s">
        <v>46</v>
      </c>
      <c r="F683" s="3" t="s">
        <v>2030</v>
      </c>
      <c r="G683" s="3" t="s">
        <v>2031</v>
      </c>
      <c r="H683" s="3" t="s">
        <v>2219</v>
      </c>
      <c r="I683" s="3" t="str">
        <f>HYPERLINK("http://www.jccm.es/sede/tramite/JTL","CESE TOTAL O PARCIAL  DE CENTROS SANITARIOS CON INTERNAMIENTO")</f>
        <v>CESE TOTAL O PARCIAL  DE CENTROS SANITARIOS CON INTERNAMIENTO</v>
      </c>
      <c r="J683" s="3" t="s">
        <v>42</v>
      </c>
      <c r="K683" s="3" t="s">
        <v>41</v>
      </c>
      <c r="L683" s="3" t="s">
        <v>42</v>
      </c>
      <c r="M683" s="3" t="s">
        <v>42</v>
      </c>
    </row>
    <row r="684" spans="1:13" ht="161.1">
      <c r="A684" s="22" t="s">
        <v>22</v>
      </c>
      <c r="B684" s="3" t="s">
        <v>2220</v>
      </c>
      <c r="C684" s="3" t="s">
        <v>2221</v>
      </c>
      <c r="D684" s="3" t="s">
        <v>45</v>
      </c>
      <c r="E684" s="3" t="s">
        <v>46</v>
      </c>
      <c r="F684" s="3" t="s">
        <v>2030</v>
      </c>
      <c r="G684" s="3" t="s">
        <v>2031</v>
      </c>
      <c r="H684" s="3" t="s">
        <v>2222</v>
      </c>
      <c r="I684" s="3" t="str">
        <f>HYPERLINK("http://www.jccm.es/sede/tramite/JTK","AUTORIZACION DE RENOVACION DE LA AUTORIZACION DE PUESTA EN FUNCIONAMIENTO DE CENTROS SANITARIOS CON INTERNAMIENTO")</f>
        <v>AUTORIZACION DE RENOVACION DE LA AUTORIZACION DE PUESTA EN FUNCIONAMIENTO DE CENTROS SANITARIOS CON INTERNAMIENTO</v>
      </c>
      <c r="J684" s="3" t="s">
        <v>42</v>
      </c>
      <c r="K684" s="3" t="s">
        <v>41</v>
      </c>
      <c r="L684" s="3" t="s">
        <v>42</v>
      </c>
      <c r="M684" s="3" t="s">
        <v>42</v>
      </c>
    </row>
    <row r="685" spans="1:13" ht="218.45">
      <c r="A685" s="22" t="s">
        <v>22</v>
      </c>
      <c r="B685" s="3" t="s">
        <v>2223</v>
      </c>
      <c r="C685" s="3" t="s">
        <v>2224</v>
      </c>
      <c r="D685" s="3" t="s">
        <v>45</v>
      </c>
      <c r="E685" s="3" t="s">
        <v>46</v>
      </c>
      <c r="F685" s="3" t="s">
        <v>2030</v>
      </c>
      <c r="G685" s="3" t="s">
        <v>2031</v>
      </c>
      <c r="H685" s="3" t="s">
        <v>2225</v>
      </c>
      <c r="I685" s="3" t="str">
        <f>HYPERLINK("http://www.jccm.es/sede/tramite/KXM","AUTORIZACION DE INSTALACION DE CENTROS Y SERVICIOS SIN INTERNAMIENTO DE CIRUGIA MAYOR AMBULATORIA, HEMODIALISIS, RADIOTERAPIA Y MEDICINA NUCLEAR")</f>
        <v>AUTORIZACION DE INSTALACION DE CENTROS Y SERVICIOS SIN INTERNAMIENTO DE CIRUGIA MAYOR AMBULATORIA, HEMODIALISIS, RADIOTERAPIA Y MEDICINA NUCLEAR</v>
      </c>
      <c r="J685" s="3" t="s">
        <v>42</v>
      </c>
      <c r="K685" s="3" t="s">
        <v>41</v>
      </c>
      <c r="L685" s="3" t="s">
        <v>42</v>
      </c>
      <c r="M685" s="3" t="s">
        <v>41</v>
      </c>
    </row>
    <row r="686" spans="1:13" ht="241.5">
      <c r="A686" s="22" t="s">
        <v>22</v>
      </c>
      <c r="B686" s="3" t="s">
        <v>2226</v>
      </c>
      <c r="C686" s="3" t="s">
        <v>2227</v>
      </c>
      <c r="D686" s="3" t="s">
        <v>45</v>
      </c>
      <c r="E686" s="3" t="s">
        <v>46</v>
      </c>
      <c r="F686" s="3" t="s">
        <v>2030</v>
      </c>
      <c r="G686" s="3" t="s">
        <v>2031</v>
      </c>
      <c r="H686" s="3" t="s">
        <v>2228</v>
      </c>
      <c r="I686" s="3" t="str">
        <f>HYPERLINK("http://www.jccm.es/sede/tramite/KXN","AUTORIZACION DE MODIFICACION DE ACTIVIDADES DE CENTROS Y SERVICIOS SIN INTERNAMIENTO DE CIRUGIA MAYOR AMBULATORIA, HEMODIALISIS, RADIOTERAPIA Y MEDICINA NUCLEAR")</f>
        <v>AUTORIZACION DE MODIFICACION DE ACTIVIDADES DE CENTROS Y SERVICIOS SIN INTERNAMIENTO DE CIRUGIA MAYOR AMBULATORIA, HEMODIALISIS, RADIOTERAPIA Y MEDICINA NUCLEAR</v>
      </c>
      <c r="J686" s="3" t="s">
        <v>42</v>
      </c>
      <c r="K686" s="3" t="s">
        <v>41</v>
      </c>
      <c r="L686" s="3" t="s">
        <v>42</v>
      </c>
      <c r="M686" s="3" t="s">
        <v>41</v>
      </c>
    </row>
    <row r="687" spans="1:13" ht="276">
      <c r="A687" s="22" t="s">
        <v>22</v>
      </c>
      <c r="B687" s="3" t="s">
        <v>2229</v>
      </c>
      <c r="C687" s="3" t="s">
        <v>2230</v>
      </c>
      <c r="D687" s="3" t="s">
        <v>45</v>
      </c>
      <c r="E687" s="3" t="s">
        <v>46</v>
      </c>
      <c r="F687" s="3" t="s">
        <v>2030</v>
      </c>
      <c r="G687" s="3" t="s">
        <v>2031</v>
      </c>
      <c r="H687" s="3" t="s">
        <v>2231</v>
      </c>
      <c r="I687" s="3" t="str">
        <f>HYPERLINK("http://www.jccm.es/sede/tramite/KXO","AUTORIZACION DE MODIFICACION QUE REQUIERE REALIZACION DE OBRAS O INSTALACIONES DE CENTROS Y SERVICIOS SIN INTERNAMIENTO DE CIRUGIA MAYOR AMBULATORIA, HEMODIALISIS, RADIOTERAPIA Y MEDICINA NUCLEAR")</f>
        <v>AUTORIZACION DE MODIFICACION QUE REQUIERE REALIZACION DE OBRAS O INSTALACIONES DE CENTROS Y SERVICIOS SIN INTERNAMIENTO DE CIRUGIA MAYOR AMBULATORIA, HEMODIALISIS, RADIOTERAPIA Y MEDICINA NUCLEAR</v>
      </c>
      <c r="J687" s="3" t="s">
        <v>42</v>
      </c>
      <c r="K687" s="3" t="s">
        <v>41</v>
      </c>
      <c r="L687" s="3" t="s">
        <v>42</v>
      </c>
      <c r="M687" s="3" t="s">
        <v>41</v>
      </c>
    </row>
    <row r="688" spans="1:13" ht="230.1">
      <c r="A688" s="22" t="s">
        <v>22</v>
      </c>
      <c r="B688" s="3" t="s">
        <v>2232</v>
      </c>
      <c r="C688" s="3" t="s">
        <v>2233</v>
      </c>
      <c r="D688" s="3" t="s">
        <v>45</v>
      </c>
      <c r="E688" s="3" t="s">
        <v>46</v>
      </c>
      <c r="F688" s="3" t="s">
        <v>2030</v>
      </c>
      <c r="G688" s="3" t="s">
        <v>2031</v>
      </c>
      <c r="H688" s="3" t="s">
        <v>2234</v>
      </c>
      <c r="I688" s="3" t="str">
        <f>HYPERLINK("http://www.jccm.es/sede/tramite/KXL","AUTORIZACION DE PUESTA EN FUNCIONAMIENTO DE CENTROS Y SERVICIOS SIN INTERNAMIENTO DE CIRUGIA MAYOR AMBULATORIA, HEMODIALISIS, RADIOTERAPIA Y MEDICINA NUCLEAR")</f>
        <v>AUTORIZACION DE PUESTA EN FUNCIONAMIENTO DE CENTROS Y SERVICIOS SIN INTERNAMIENTO DE CIRUGIA MAYOR AMBULATORIA, HEMODIALISIS, RADIOTERAPIA Y MEDICINA NUCLEAR</v>
      </c>
      <c r="J688" s="3" t="s">
        <v>42</v>
      </c>
      <c r="K688" s="3" t="s">
        <v>41</v>
      </c>
      <c r="L688" s="3" t="s">
        <v>42</v>
      </c>
      <c r="M688" s="3" t="s">
        <v>41</v>
      </c>
    </row>
    <row r="689" spans="1:13" ht="276">
      <c r="A689" s="22" t="s">
        <v>22</v>
      </c>
      <c r="B689" s="3" t="s">
        <v>2235</v>
      </c>
      <c r="C689" s="3" t="s">
        <v>2236</v>
      </c>
      <c r="D689" s="3" t="s">
        <v>45</v>
      </c>
      <c r="E689" s="3" t="s">
        <v>46</v>
      </c>
      <c r="F689" s="3" t="s">
        <v>2030</v>
      </c>
      <c r="G689" s="3" t="s">
        <v>2031</v>
      </c>
      <c r="H689" s="3" t="s">
        <v>2237</v>
      </c>
      <c r="I689" s="3" t="str">
        <f>HYPERLINK("http://www.jccm.es/sede/tramite/KXP","AUTORIZACION DE RENOVACION DE LA AUTORIZACION DE PUESTA EN FUNCIONAMIENTO DE CENTROS Y SERVICIOS SIN INTERNAMIENTO DE CIRUGIA MAYOR AMBULATORIA, HEMODIALISIS, RADIOTERAPIA Y MEDICINA NUCLEAR")</f>
        <v>AUTORIZACION DE RENOVACION DE LA AUTORIZACION DE PUESTA EN FUNCIONAMIENTO DE CENTROS Y SERVICIOS SIN INTERNAMIENTO DE CIRUGIA MAYOR AMBULATORIA, HEMODIALISIS, RADIOTERAPIA Y MEDICINA NUCLEAR</v>
      </c>
      <c r="J689" s="3" t="s">
        <v>42</v>
      </c>
      <c r="K689" s="3" t="s">
        <v>41</v>
      </c>
      <c r="L689" s="3" t="s">
        <v>42</v>
      </c>
      <c r="M689" s="3" t="s">
        <v>41</v>
      </c>
    </row>
    <row r="690" spans="1:13" ht="126.6">
      <c r="A690" s="22" t="s">
        <v>22</v>
      </c>
      <c r="B690" s="3" t="s">
        <v>2238</v>
      </c>
      <c r="C690" s="3" t="s">
        <v>2239</v>
      </c>
      <c r="D690" s="3" t="s">
        <v>45</v>
      </c>
      <c r="E690" s="3" t="s">
        <v>46</v>
      </c>
      <c r="F690" s="3" t="s">
        <v>2030</v>
      </c>
      <c r="G690" s="3" t="s">
        <v>2031</v>
      </c>
      <c r="H690" s="3" t="s">
        <v>2240</v>
      </c>
      <c r="I690" s="3" t="str">
        <f>HYPERLINK("http://www.jccm.es/sede/tramite/KXJ","AUTORIZACION DE CESE TOTAL O PARCIAL DE CENTROS Y SERVICIOS SIN INTERNAMIENTO DE HEMODIALISIS")</f>
        <v>AUTORIZACION DE CESE TOTAL O PARCIAL DE CENTROS Y SERVICIOS SIN INTERNAMIENTO DE HEMODIALISIS</v>
      </c>
      <c r="J690" s="3" t="s">
        <v>42</v>
      </c>
      <c r="K690" s="3" t="s">
        <v>41</v>
      </c>
      <c r="L690" s="3" t="s">
        <v>42</v>
      </c>
      <c r="M690" s="3" t="s">
        <v>41</v>
      </c>
    </row>
    <row r="691" spans="1:13" ht="183.95">
      <c r="A691" s="22" t="s">
        <v>22</v>
      </c>
      <c r="B691" s="3" t="s">
        <v>2241</v>
      </c>
      <c r="C691" s="3" t="s">
        <v>2242</v>
      </c>
      <c r="D691" s="3" t="s">
        <v>45</v>
      </c>
      <c r="E691" s="3" t="s">
        <v>46</v>
      </c>
      <c r="F691" s="3" t="s">
        <v>2030</v>
      </c>
      <c r="G691" s="3" t="s">
        <v>2031</v>
      </c>
      <c r="H691" s="3" t="s">
        <v>2243</v>
      </c>
      <c r="I691" s="3" t="str">
        <f>HYPERLINK("http://www.jccm.es/sede/tramite/KS9","COMUNICACION DE MODIFICACION O CESE DE ACTIVIDADES DE DONACION-TRASPLANTE DE ORGANOS, TEJIDOS Y CELULAS EN CENTROS CON INTERNAMIENTO.")</f>
        <v>COMUNICACION DE MODIFICACION O CESE DE ACTIVIDADES DE DONACION-TRASPLANTE DE ORGANOS, TEJIDOS Y CELULAS EN CENTROS CON INTERNAMIENTO.</v>
      </c>
      <c r="J691" s="3" t="s">
        <v>42</v>
      </c>
      <c r="K691" s="3" t="s">
        <v>41</v>
      </c>
      <c r="L691" s="3" t="s">
        <v>42</v>
      </c>
      <c r="M691" s="3" t="s">
        <v>41</v>
      </c>
    </row>
    <row r="692" spans="1:13" ht="161.1">
      <c r="A692" s="22" t="s">
        <v>22</v>
      </c>
      <c r="B692" s="3" t="s">
        <v>2244</v>
      </c>
      <c r="C692" s="3" t="s">
        <v>2245</v>
      </c>
      <c r="D692" s="3" t="s">
        <v>45</v>
      </c>
      <c r="E692" s="3" t="s">
        <v>46</v>
      </c>
      <c r="F692" s="3" t="s">
        <v>2030</v>
      </c>
      <c r="G692" s="3" t="s">
        <v>2031</v>
      </c>
      <c r="H692" s="3" t="s">
        <v>2246</v>
      </c>
      <c r="I692" s="3" t="str">
        <f>HYPERLINK("http://www.jccm.es/sede/tramite/KS8","AUTORIZACION DE ACTIVIDADES DE DONACION-TRASPLANTE DE ORGANOS, TEJIDOS Y CELULAS EN CENTROS CON INTERNAMIENTO.")</f>
        <v>AUTORIZACION DE ACTIVIDADES DE DONACION-TRASPLANTE DE ORGANOS, TEJIDOS Y CELULAS EN CENTROS CON INTERNAMIENTO.</v>
      </c>
      <c r="J692" s="3" t="s">
        <v>42</v>
      </c>
      <c r="K692" s="3" t="s">
        <v>41</v>
      </c>
      <c r="L692" s="3" t="s">
        <v>42</v>
      </c>
      <c r="M692" s="3" t="s">
        <v>41</v>
      </c>
    </row>
    <row r="693" spans="1:13" ht="172.5">
      <c r="A693" s="22" t="s">
        <v>22</v>
      </c>
      <c r="B693" s="3" t="s">
        <v>2247</v>
      </c>
      <c r="C693" s="3" t="s">
        <v>2248</v>
      </c>
      <c r="D693" s="3" t="s">
        <v>45</v>
      </c>
      <c r="E693" s="3" t="s">
        <v>37</v>
      </c>
      <c r="F693" s="3" t="s">
        <v>2030</v>
      </c>
      <c r="G693" s="3" t="s">
        <v>2031</v>
      </c>
      <c r="H693" s="3" t="s">
        <v>2249</v>
      </c>
      <c r="I693" s="3" t="str">
        <f>HYPERLINK("http://www.jccm.es/sede/tramite/KSB","COMUNICACION DE MODIFICACION O CESE DE ACTIVIDADES DE DONACION-TRASPLANTE DE  TEJIDOS Y CELULAS EN CENTROS SIN INTERNAMIENTO.")</f>
        <v>COMUNICACION DE MODIFICACION O CESE DE ACTIVIDADES DE DONACION-TRASPLANTE DE  TEJIDOS Y CELULAS EN CENTROS SIN INTERNAMIENTO.</v>
      </c>
      <c r="J693" s="3" t="s">
        <v>42</v>
      </c>
      <c r="K693" s="3" t="s">
        <v>41</v>
      </c>
      <c r="L693" s="3" t="s">
        <v>42</v>
      </c>
      <c r="M693" s="3" t="s">
        <v>41</v>
      </c>
    </row>
    <row r="694" spans="1:13" ht="149.44999999999999">
      <c r="A694" s="22" t="s">
        <v>22</v>
      </c>
      <c r="B694" s="3" t="s">
        <v>2250</v>
      </c>
      <c r="C694" s="3" t="s">
        <v>2251</v>
      </c>
      <c r="D694" s="3" t="s">
        <v>45</v>
      </c>
      <c r="E694" s="3" t="s">
        <v>37</v>
      </c>
      <c r="F694" s="3" t="s">
        <v>2030</v>
      </c>
      <c r="G694" s="3" t="s">
        <v>2031</v>
      </c>
      <c r="H694" s="3" t="s">
        <v>2252</v>
      </c>
      <c r="I694" s="3" t="str">
        <f>HYPERLINK("http://www.jccm.es/sede/tramite/KSA","AUTORIZACION DE ACTIVIDADES DE DONACION-TRASPLANTE DE TEJIDOS Y CELULAS EN CENTROS SIN INTERNAMIENTO.")</f>
        <v>AUTORIZACION DE ACTIVIDADES DE DONACION-TRASPLANTE DE TEJIDOS Y CELULAS EN CENTROS SIN INTERNAMIENTO.</v>
      </c>
      <c r="J694" s="3" t="s">
        <v>42</v>
      </c>
      <c r="K694" s="3" t="s">
        <v>41</v>
      </c>
      <c r="L694" s="3" t="s">
        <v>42</v>
      </c>
      <c r="M694" s="3" t="s">
        <v>41</v>
      </c>
    </row>
    <row r="695" spans="1:13" ht="138">
      <c r="A695" s="22" t="s">
        <v>22</v>
      </c>
      <c r="B695" s="3" t="s">
        <v>2253</v>
      </c>
      <c r="C695" s="3" t="s">
        <v>2254</v>
      </c>
      <c r="D695" s="3" t="s">
        <v>45</v>
      </c>
      <c r="E695" s="3" t="s">
        <v>37</v>
      </c>
      <c r="F695" s="3" t="s">
        <v>2030</v>
      </c>
      <c r="G695" s="3" t="s">
        <v>2031</v>
      </c>
      <c r="H695" s="3" t="s">
        <v>2255</v>
      </c>
      <c r="I695" s="3" t="str">
        <f>HYPERLINK("http://www.jccm.es/sede/tramite/KXH","AUTORIZACION DE INSTALACION DE ALMACEN MAYORISTA DE DISTRIBUCION DE MEDICAMENTOS VETERINARIOS")</f>
        <v>AUTORIZACION DE INSTALACION DE ALMACEN MAYORISTA DE DISTRIBUCION DE MEDICAMENTOS VETERINARIOS</v>
      </c>
      <c r="J695" s="3" t="s">
        <v>42</v>
      </c>
      <c r="K695" s="3" t="s">
        <v>41</v>
      </c>
      <c r="L695" s="3" t="s">
        <v>42</v>
      </c>
      <c r="M695" s="3" t="s">
        <v>41</v>
      </c>
    </row>
    <row r="696" spans="1:13" ht="149.44999999999999">
      <c r="A696" s="22" t="s">
        <v>22</v>
      </c>
      <c r="B696" s="3" t="s">
        <v>2256</v>
      </c>
      <c r="C696" s="3" t="s">
        <v>2257</v>
      </c>
      <c r="D696" s="3" t="s">
        <v>45</v>
      </c>
      <c r="E696" s="3" t="s">
        <v>37</v>
      </c>
      <c r="F696" s="3" t="s">
        <v>2030</v>
      </c>
      <c r="G696" s="3" t="s">
        <v>2031</v>
      </c>
      <c r="H696" s="3" t="s">
        <v>2258</v>
      </c>
      <c r="I696" s="3" t="str">
        <f>HYPERLINK("http://www.jccm.es/sede/tramite/KXG","AUTORIZACION DE FUNCIONAMIENTO DE ALMACEN MAYORISTA DE DISTRIBUCION DE MEDICAMENTOS VETERINARIOS")</f>
        <v>AUTORIZACION DE FUNCIONAMIENTO DE ALMACEN MAYORISTA DE DISTRIBUCION DE MEDICAMENTOS VETERINARIOS</v>
      </c>
      <c r="J696" s="3" t="s">
        <v>42</v>
      </c>
      <c r="K696" s="3" t="s">
        <v>41</v>
      </c>
      <c r="L696" s="3" t="s">
        <v>42</v>
      </c>
      <c r="M696" s="3" t="s">
        <v>41</v>
      </c>
    </row>
    <row r="697" spans="1:13" ht="172.5">
      <c r="A697" s="22" t="s">
        <v>22</v>
      </c>
      <c r="B697" s="3" t="s">
        <v>2259</v>
      </c>
      <c r="C697" s="3" t="s">
        <v>2260</v>
      </c>
      <c r="D697" s="3" t="s">
        <v>45</v>
      </c>
      <c r="E697" s="3" t="s">
        <v>37</v>
      </c>
      <c r="F697" s="3" t="s">
        <v>2030</v>
      </c>
      <c r="G697" s="3" t="s">
        <v>2031</v>
      </c>
      <c r="H697" s="3" t="s">
        <v>2261</v>
      </c>
      <c r="I697" s="3" t="str">
        <f>HYPERLINK("http://www.jccm.es/sede/tramite/KXI","AUTORIZACION DE MODIFICACION DE INSTALACIONES DE ALMACEN MAYORISTA DE DISTRIBUCION DE MEDICAMENTOS VETERINARIOS")</f>
        <v>AUTORIZACION DE MODIFICACION DE INSTALACIONES DE ALMACEN MAYORISTA DE DISTRIBUCION DE MEDICAMENTOS VETERINARIOS</v>
      </c>
      <c r="J697" s="3" t="s">
        <v>42</v>
      </c>
      <c r="K697" s="3" t="s">
        <v>41</v>
      </c>
      <c r="L697" s="3" t="s">
        <v>42</v>
      </c>
      <c r="M697" s="3" t="s">
        <v>41</v>
      </c>
    </row>
    <row r="698" spans="1:13" ht="138">
      <c r="A698" s="22" t="s">
        <v>22</v>
      </c>
      <c r="B698" s="3" t="s">
        <v>2262</v>
      </c>
      <c r="C698" s="3" t="s">
        <v>2263</v>
      </c>
      <c r="D698" s="3" t="s">
        <v>45</v>
      </c>
      <c r="E698" s="3" t="s">
        <v>37</v>
      </c>
      <c r="F698" s="3" t="s">
        <v>2030</v>
      </c>
      <c r="G698" s="3" t="s">
        <v>2031</v>
      </c>
      <c r="H698" s="3" t="s">
        <v>2264</v>
      </c>
      <c r="I698" s="3" t="str">
        <f>HYPERLINK("http://www.jccm.es/sede/tramite/KXF","AUTORIZACION DE CIERRE DE ALMACEN MAYORISTA DE DISTRIBUCION DE MEDICAMENTOS VETERINARIOS")</f>
        <v>AUTORIZACION DE CIERRE DE ALMACEN MAYORISTA DE DISTRIBUCION DE MEDICAMENTOS VETERINARIOS</v>
      </c>
      <c r="J698" s="3" t="s">
        <v>42</v>
      </c>
      <c r="K698" s="3" t="s">
        <v>41</v>
      </c>
      <c r="L698" s="3" t="s">
        <v>42</v>
      </c>
      <c r="M698" s="3" t="s">
        <v>41</v>
      </c>
    </row>
    <row r="699" spans="1:13" ht="114.95">
      <c r="A699" s="22" t="s">
        <v>22</v>
      </c>
      <c r="B699" s="3" t="s">
        <v>2265</v>
      </c>
      <c r="C699" s="3" t="s">
        <v>2266</v>
      </c>
      <c r="D699" s="3" t="s">
        <v>45</v>
      </c>
      <c r="E699" s="3" t="s">
        <v>37</v>
      </c>
      <c r="F699" s="3" t="s">
        <v>2030</v>
      </c>
      <c r="G699" s="3" t="s">
        <v>2087</v>
      </c>
      <c r="H699" s="3" t="s">
        <v>2267</v>
      </c>
      <c r="I699" s="3" t="str">
        <f>HYPERLINK("http://www.jccm.es/sede/tramite/716","SOLICITUD DE INSCRIPCION EN EL REGISTRO OFICIAL DE ESTABLECIMIENTOS Y SERVICIOS BIOCIDAS DE CASTILLA-LA MANCHA")</f>
        <v>SOLICITUD DE INSCRIPCION EN EL REGISTRO OFICIAL DE ESTABLECIMIENTOS Y SERVICIOS BIOCIDAS DE CASTILLA-LA MANCHA</v>
      </c>
      <c r="J699" s="3" t="s">
        <v>42</v>
      </c>
      <c r="K699" s="3" t="s">
        <v>41</v>
      </c>
      <c r="L699" s="3" t="s">
        <v>42</v>
      </c>
      <c r="M699" s="3" t="s">
        <v>41</v>
      </c>
    </row>
    <row r="700" spans="1:13" ht="356.45">
      <c r="A700" s="22" t="s">
        <v>22</v>
      </c>
      <c r="B700" s="3" t="s">
        <v>2268</v>
      </c>
      <c r="C700" s="3" t="s">
        <v>2269</v>
      </c>
      <c r="D700" s="3" t="s">
        <v>45</v>
      </c>
      <c r="E700" s="3" t="s">
        <v>37</v>
      </c>
      <c r="F700" s="3" t="s">
        <v>2030</v>
      </c>
      <c r="G700" s="3" t="s">
        <v>2087</v>
      </c>
      <c r="H700" s="3" t="s">
        <v>2270</v>
      </c>
      <c r="I700" s="3" t="str">
        <f>HYPERLINK("http://www.jccm.es/sede/tramite/KQU",".AUTORIZACION ESPECIFICA  E INSCRIPCION EN EL REGISTRO DE CENTROS DE RECOGIDA Y TENERIAS QUE SUMINISTRAN MATERIA PRIMA PARA LA FABRICACION DE COLAGENO Y GELATINA DE CONSUMO HUMANO")</f>
        <v>.AUTORIZACION ESPECIFICA  E INSCRIPCION EN EL REGISTRO DE CENTROS DE RECOGIDA Y TENERIAS QUE SUMINISTRAN MATERIA PRIMA PARA LA FABRICACION DE COLAGENO Y GELATINA DE CONSUMO HUMANO</v>
      </c>
      <c r="J700" s="3" t="s">
        <v>42</v>
      </c>
      <c r="K700" s="3" t="s">
        <v>41</v>
      </c>
      <c r="L700" s="3" t="s">
        <v>42</v>
      </c>
      <c r="M700" s="3" t="s">
        <v>41</v>
      </c>
    </row>
    <row r="701" spans="1:13" ht="114.95">
      <c r="A701" s="22" t="s">
        <v>22</v>
      </c>
      <c r="B701" s="3" t="s">
        <v>2271</v>
      </c>
      <c r="C701" s="3" t="s">
        <v>2272</v>
      </c>
      <c r="D701" s="3" t="s">
        <v>70</v>
      </c>
      <c r="E701" s="3" t="s">
        <v>37</v>
      </c>
      <c r="F701" s="3" t="s">
        <v>2030</v>
      </c>
      <c r="G701" s="3" t="s">
        <v>2087</v>
      </c>
      <c r="H701" s="3" t="s">
        <v>2273</v>
      </c>
      <c r="I701" s="3" t="str">
        <f>HYPERLINK("http://www.jccm.es/sede/tramite/LI0","REGISTRO SANITARIO DE EMPRESAS Y ESTABLECIMIENTOS ALIMENTARIOS DE CASTILLA-LA MANCHA.")</f>
        <v>REGISTRO SANITARIO DE EMPRESAS Y ESTABLECIMIENTOS ALIMENTARIOS DE CASTILLA-LA MANCHA.</v>
      </c>
      <c r="J701" s="3" t="s">
        <v>42</v>
      </c>
      <c r="K701" s="3" t="s">
        <v>41</v>
      </c>
      <c r="L701" s="3" t="s">
        <v>42</v>
      </c>
      <c r="M701" s="3" t="s">
        <v>41</v>
      </c>
    </row>
    <row r="702" spans="1:13" ht="161.1">
      <c r="A702" s="22" t="s">
        <v>22</v>
      </c>
      <c r="B702" s="3" t="s">
        <v>2274</v>
      </c>
      <c r="C702" s="3" t="s">
        <v>2275</v>
      </c>
      <c r="D702" s="3" t="s">
        <v>45</v>
      </c>
      <c r="E702" s="3" t="s">
        <v>37</v>
      </c>
      <c r="F702" s="3" t="s">
        <v>2030</v>
      </c>
      <c r="G702" s="3" t="s">
        <v>2087</v>
      </c>
      <c r="H702" s="3" t="s">
        <v>2276</v>
      </c>
      <c r="I702" s="3" t="str">
        <f>HYPERLINK("http://www.jccm.es/sede/tramite/LID","REGISTRO DE SOLICITUDES DE VACUNACION COVID-19 PARA PERSONAL DE PRIMERA LINEA EN EL AMBITO SANITARIO Y SOCIOSANITARIO")</f>
        <v>REGISTRO DE SOLICITUDES DE VACUNACION COVID-19 PARA PERSONAL DE PRIMERA LINEA EN EL AMBITO SANITARIO Y SOCIOSANITARIO</v>
      </c>
      <c r="J702" s="3" t="s">
        <v>41</v>
      </c>
      <c r="K702" s="3" t="s">
        <v>41</v>
      </c>
      <c r="L702" s="3" t="s">
        <v>42</v>
      </c>
      <c r="M702" s="3" t="s">
        <v>41</v>
      </c>
    </row>
    <row r="703" spans="1:13" ht="161.1">
      <c r="A703" s="22" t="s">
        <v>22</v>
      </c>
      <c r="B703" s="3" t="s">
        <v>2277</v>
      </c>
      <c r="C703" s="3" t="s">
        <v>2278</v>
      </c>
      <c r="D703" s="3" t="s">
        <v>95</v>
      </c>
      <c r="E703" s="3" t="s">
        <v>95</v>
      </c>
      <c r="F703" s="3" t="s">
        <v>2030</v>
      </c>
      <c r="G703" s="3" t="s">
        <v>2031</v>
      </c>
      <c r="H703" s="3" t="s">
        <v>2279</v>
      </c>
      <c r="I703" s="3" t="str">
        <f>HYPERLINK("http://www.jccm.es/sede/tramite/KU5","COMUNICACION DE MODIFICACION, SUSPENSION O CESE DE DESFIBRILADORES EXTERNOS AUTOMATIZADOS (DEA) FUERA DEL AMBITO SANITARIO")</f>
        <v>COMUNICACION DE MODIFICACION, SUSPENSION O CESE DE DESFIBRILADORES EXTERNOS AUTOMATIZADOS (DEA) FUERA DEL AMBITO SANITARIO</v>
      </c>
      <c r="J703" s="3" t="s">
        <v>42</v>
      </c>
      <c r="K703" s="3" t="s">
        <v>41</v>
      </c>
      <c r="L703" s="3" t="s">
        <v>42</v>
      </c>
      <c r="M703" s="3" t="s">
        <v>41</v>
      </c>
    </row>
    <row r="704" spans="1:13" ht="161.1">
      <c r="A704" s="22" t="s">
        <v>22</v>
      </c>
      <c r="B704" s="3" t="s">
        <v>2280</v>
      </c>
      <c r="C704" s="3" t="s">
        <v>2281</v>
      </c>
      <c r="D704" s="3" t="s">
        <v>95</v>
      </c>
      <c r="E704" s="3" t="s">
        <v>95</v>
      </c>
      <c r="F704" s="3" t="s">
        <v>2030</v>
      </c>
      <c r="G704" s="3" t="s">
        <v>2031</v>
      </c>
      <c r="H704" s="3" t="s">
        <v>2282</v>
      </c>
      <c r="I704" s="3" t="str">
        <f>HYPERLINK("http://www.jccm.es/sede/tramite/JCB","DECLARACION RESPONSABLE DE INSTALACION DE DESFIBRILADORES EXTERNOS AUTOMATIZADOS (DEA) FUERA DEL AMBITO SANITARIO.")</f>
        <v>DECLARACION RESPONSABLE DE INSTALACION DE DESFIBRILADORES EXTERNOS AUTOMATIZADOS (DEA) FUERA DEL AMBITO SANITARIO.</v>
      </c>
      <c r="J704" s="3" t="s">
        <v>41</v>
      </c>
      <c r="K704" s="3" t="s">
        <v>41</v>
      </c>
      <c r="L704" s="3" t="s">
        <v>42</v>
      </c>
      <c r="M704" s="3" t="s">
        <v>41</v>
      </c>
    </row>
    <row r="705" spans="1:13" ht="230.1">
      <c r="A705" s="22" t="s">
        <v>22</v>
      </c>
      <c r="B705" s="3" t="s">
        <v>2283</v>
      </c>
      <c r="C705" s="3" t="s">
        <v>2284</v>
      </c>
      <c r="D705" s="3" t="s">
        <v>2285</v>
      </c>
      <c r="E705" s="3" t="s">
        <v>37</v>
      </c>
      <c r="F705" s="3" t="s">
        <v>2030</v>
      </c>
      <c r="G705" s="3" t="s">
        <v>2286</v>
      </c>
      <c r="H705" s="3" t="s">
        <v>2287</v>
      </c>
      <c r="I705" s="3" t="str">
        <f>HYPERLINK("http://www.jccm.es/sede/tramite/IUY","INSCRIPCION DEL DOCUMENTO DE DECLARACION DE VOLUNTADES ANTICIPADAS EN MATERIA DE LA PROPIA SALUD EN EL REGISTRO DE VOLUNTADES ANTICIPADAS DE CASTILLA-LA MANCHA")</f>
        <v>INSCRIPCION DEL DOCUMENTO DE DECLARACION DE VOLUNTADES ANTICIPADAS EN MATERIA DE LA PROPIA SALUD EN EL REGISTRO DE VOLUNTADES ANTICIPADAS DE CASTILLA-LA MANCHA</v>
      </c>
      <c r="J705" s="3" t="s">
        <v>41</v>
      </c>
      <c r="K705" s="3" t="s">
        <v>41</v>
      </c>
      <c r="L705" s="3" t="s">
        <v>42</v>
      </c>
      <c r="M705" s="3" t="s">
        <v>41</v>
      </c>
    </row>
    <row r="706" spans="1:13" ht="195.6">
      <c r="A706" s="22" t="s">
        <v>22</v>
      </c>
      <c r="B706" s="3" t="s">
        <v>2288</v>
      </c>
      <c r="C706" s="3" t="s">
        <v>2289</v>
      </c>
      <c r="D706" s="3" t="s">
        <v>2285</v>
      </c>
      <c r="E706" s="3" t="s">
        <v>37</v>
      </c>
      <c r="F706" s="3" t="s">
        <v>2030</v>
      </c>
      <c r="G706" s="3" t="s">
        <v>2286</v>
      </c>
      <c r="H706" s="3" t="s">
        <v>2290</v>
      </c>
      <c r="I706" s="3" t="str">
        <f>HYPERLINK("http://www.jccm.es/sede/tramite/L2J","SOLICITUD DE VISITA A DOMICILIO PARA EL OTORGAMIENTO DEL DOCUMENTO DE DECLARACION DE VOLUNTADES ANTICIPADAS EN MATERIA DE LA PROPIA SALUD")</f>
        <v>SOLICITUD DE VISITA A DOMICILIO PARA EL OTORGAMIENTO DEL DOCUMENTO DE DECLARACION DE VOLUNTADES ANTICIPADAS EN MATERIA DE LA PROPIA SALUD</v>
      </c>
      <c r="J706" s="3" t="s">
        <v>42</v>
      </c>
      <c r="K706" s="3" t="s">
        <v>41</v>
      </c>
      <c r="L706" s="3" t="s">
        <v>42</v>
      </c>
      <c r="M706" s="3" t="s">
        <v>41</v>
      </c>
    </row>
    <row r="707" spans="1:13" ht="114.95">
      <c r="A707" s="22" t="s">
        <v>22</v>
      </c>
      <c r="B707" s="3" t="s">
        <v>2291</v>
      </c>
      <c r="C707" s="3" t="s">
        <v>2292</v>
      </c>
      <c r="D707" s="3" t="s">
        <v>45</v>
      </c>
      <c r="E707" s="3" t="s">
        <v>37</v>
      </c>
      <c r="F707" s="3" t="s">
        <v>2030</v>
      </c>
      <c r="G707" s="3" t="s">
        <v>2087</v>
      </c>
      <c r="H707" s="3" t="s">
        <v>2293</v>
      </c>
      <c r="I707" s="3" t="str">
        <f>HYPERLINK("http://www.jccm.es/sede/tramite/514","REGISTRO GENERAL SANITARIO DE EMPRESAS ALIMENTARIAS Y ALIMENTOS. COMUNICACION PREVIA.")</f>
        <v>REGISTRO GENERAL SANITARIO DE EMPRESAS ALIMENTARIAS Y ALIMENTOS. COMUNICACION PREVIA.</v>
      </c>
      <c r="J707" s="3" t="s">
        <v>42</v>
      </c>
      <c r="K707" s="3" t="s">
        <v>41</v>
      </c>
      <c r="L707" s="3" t="s">
        <v>42</v>
      </c>
      <c r="M707" s="3" t="s">
        <v>42</v>
      </c>
    </row>
    <row r="708" spans="1:13" ht="161.1">
      <c r="A708" s="22" t="s">
        <v>22</v>
      </c>
      <c r="B708" s="3" t="s">
        <v>2294</v>
      </c>
      <c r="C708" s="3" t="s">
        <v>2295</v>
      </c>
      <c r="D708" s="3" t="s">
        <v>45</v>
      </c>
      <c r="E708" s="3" t="s">
        <v>37</v>
      </c>
      <c r="F708" s="3" t="s">
        <v>2030</v>
      </c>
      <c r="G708" s="3" t="s">
        <v>2087</v>
      </c>
      <c r="H708" s="3" t="s">
        <v>2296</v>
      </c>
      <c r="I708" s="3" t="str">
        <f>HYPERLINK("http://www.jccm.es/sede/tramite/KAA","REGISTRO GENERAL SANITARIO DE EMPRESAS ALIMENTARIAS Y ALIMENTOS. SOLICITUD DE AUTORIZACION E INSCRIPCION.")</f>
        <v>REGISTRO GENERAL SANITARIO DE EMPRESAS ALIMENTARIAS Y ALIMENTOS. SOLICITUD DE AUTORIZACION E INSCRIPCION.</v>
      </c>
      <c r="J708" s="3" t="s">
        <v>42</v>
      </c>
      <c r="K708" s="3" t="s">
        <v>41</v>
      </c>
      <c r="L708" s="3" t="s">
        <v>42</v>
      </c>
      <c r="M708" s="3" t="s">
        <v>41</v>
      </c>
    </row>
    <row r="709" spans="1:13" ht="207">
      <c r="A709" s="22" t="s">
        <v>22</v>
      </c>
      <c r="B709" s="3" t="s">
        <v>2297</v>
      </c>
      <c r="C709" s="3" t="s">
        <v>2298</v>
      </c>
      <c r="D709" s="3" t="s">
        <v>2299</v>
      </c>
      <c r="E709" s="3" t="s">
        <v>46</v>
      </c>
      <c r="F709" s="3" t="s">
        <v>2030</v>
      </c>
      <c r="G709" s="3" t="s">
        <v>2286</v>
      </c>
      <c r="H709" s="3" t="s">
        <v>2300</v>
      </c>
      <c r="I709" s="3" t="str">
        <f>HYPERLINK("http://www.jccm.es/sede/tramite/G52","SUBVENCIONES A ASOCIACIONES Y ENTIDADES PRIVADAS SIN ANIMO DE LUCRO PARA EL DESARROLLO DE ACTIVIDADES Y PRESTACION DE SERVICIOS EN MATERIA SOCIOSANITARIA.")</f>
        <v>SUBVENCIONES A ASOCIACIONES Y ENTIDADES PRIVADAS SIN ANIMO DE LUCRO PARA EL DESARROLLO DE ACTIVIDADES Y PRESTACION DE SERVICIOS EN MATERIA SOCIOSANITARIA.</v>
      </c>
      <c r="J709" s="3" t="s">
        <v>41</v>
      </c>
      <c r="K709" s="3" t="s">
        <v>41</v>
      </c>
      <c r="L709" s="3" t="s">
        <v>42</v>
      </c>
      <c r="M709" s="3" t="s">
        <v>41</v>
      </c>
    </row>
    <row r="710" spans="1:13" ht="252.95">
      <c r="A710" s="22" t="s">
        <v>22</v>
      </c>
      <c r="B710" s="3" t="s">
        <v>2301</v>
      </c>
      <c r="C710" s="3" t="s">
        <v>2302</v>
      </c>
      <c r="D710" s="3" t="s">
        <v>36</v>
      </c>
      <c r="E710" s="3" t="s">
        <v>46</v>
      </c>
      <c r="F710" s="3" t="s">
        <v>2030</v>
      </c>
      <c r="G710" s="3" t="s">
        <v>2087</v>
      </c>
      <c r="H710" s="3" t="s">
        <v>2303</v>
      </c>
      <c r="I710" s="3" t="str">
        <f>HYPERLINK("http://www.jccm.es/sede/tramite/J38","SUBVENCIONES A ASOCIACIONES Y ENTIDADES PRIVADAS SIN ANIMO DE LUCRO PARA EL FUNCIONAMIENTO DE CENTROS Y DESARROLLO DE PROGRAMAS DE ATENCION A PERSONAS CON ADICCIONES.")</f>
        <v>SUBVENCIONES A ASOCIACIONES Y ENTIDADES PRIVADAS SIN ANIMO DE LUCRO PARA EL FUNCIONAMIENTO DE CENTROS Y DESARROLLO DE PROGRAMAS DE ATENCION A PERSONAS CON ADICCIONES.</v>
      </c>
      <c r="J710" s="3" t="s">
        <v>41</v>
      </c>
      <c r="K710" s="3" t="s">
        <v>41</v>
      </c>
      <c r="L710" s="3" t="s">
        <v>42</v>
      </c>
      <c r="M710" s="3" t="s">
        <v>41</v>
      </c>
    </row>
    <row r="711" spans="1:13" ht="333.6">
      <c r="A711" s="22" t="s">
        <v>22</v>
      </c>
      <c r="B711" s="3" t="s">
        <v>2304</v>
      </c>
      <c r="C711" s="3" t="s">
        <v>2305</v>
      </c>
      <c r="D711" s="3" t="s">
        <v>36</v>
      </c>
      <c r="E711" s="3" t="s">
        <v>46</v>
      </c>
      <c r="F711" s="3" t="s">
        <v>2030</v>
      </c>
      <c r="G711" s="3" t="s">
        <v>2087</v>
      </c>
      <c r="H711" s="3" t="s">
        <v>2306</v>
      </c>
      <c r="I711" s="3" t="str">
        <f>HYPERLINK("http://www.jccm.es/sede/tramite/120","SUBVENCIONES A AYUNTAMIENTOS PARA PROGRAMAS DE PREVENCION SELECTIVA E INDICADA DEL CONSUMO DE DROGAS U OTRAS CONDUCTAS ADICTIVAS Y DE EDUCACION DE CALLE PARA  PERSONAS CON DROGODEPENDENCIA.")</f>
        <v>SUBVENCIONES A AYUNTAMIENTOS PARA PROGRAMAS DE PREVENCION SELECTIVA E INDICADA DEL CONSUMO DE DROGAS U OTRAS CONDUCTAS ADICTIVAS Y DE EDUCACION DE CALLE PARA  PERSONAS CON DROGODEPENDENCIA.</v>
      </c>
      <c r="J711" s="3" t="s">
        <v>41</v>
      </c>
      <c r="K711" s="3" t="s">
        <v>41</v>
      </c>
      <c r="L711" s="3" t="s">
        <v>42</v>
      </c>
      <c r="M711" s="3" t="s">
        <v>41</v>
      </c>
    </row>
    <row r="712" spans="1:13" ht="172.5">
      <c r="A712" s="22" t="s">
        <v>22</v>
      </c>
      <c r="B712" s="3" t="s">
        <v>2307</v>
      </c>
      <c r="C712" s="3" t="s">
        <v>2308</v>
      </c>
      <c r="D712" s="3" t="s">
        <v>327</v>
      </c>
      <c r="E712" s="3" t="s">
        <v>46</v>
      </c>
      <c r="F712" s="3" t="s">
        <v>2030</v>
      </c>
      <c r="G712" s="3" t="s">
        <v>2286</v>
      </c>
      <c r="H712" s="3" t="s">
        <v>2309</v>
      </c>
      <c r="I712" s="3" t="str">
        <f>HYPERLINK("http://www.jccm.es/sede/tramite/LOF","SUBVENCIONES DESTINADAS A LA ATENCION ADECUADA A UNIDADES FAMILIARES CON ALGUN MIEMBRO DIAGNOSTICADO CON UNA ENFERMEDAD RARA")</f>
        <v>SUBVENCIONES DESTINADAS A LA ATENCION ADECUADA A UNIDADES FAMILIARES CON ALGUN MIEMBRO DIAGNOSTICADO CON UNA ENFERMEDAD RARA</v>
      </c>
      <c r="J712" s="3" t="s">
        <v>42</v>
      </c>
      <c r="K712" s="3" t="s">
        <v>41</v>
      </c>
      <c r="L712" s="3" t="s">
        <v>42</v>
      </c>
      <c r="M712" s="3" t="s">
        <v>41</v>
      </c>
    </row>
    <row r="713" spans="1:13" ht="402.6">
      <c r="A713" s="22" t="s">
        <v>22</v>
      </c>
      <c r="B713" s="3" t="s">
        <v>2310</v>
      </c>
      <c r="C713" s="3" t="s">
        <v>2311</v>
      </c>
      <c r="D713" s="3" t="s">
        <v>51</v>
      </c>
      <c r="E713" s="3" t="s">
        <v>46</v>
      </c>
      <c r="F713" s="3" t="s">
        <v>2030</v>
      </c>
      <c r="G713" s="3" t="s">
        <v>2286</v>
      </c>
      <c r="H713" s="3" t="s">
        <v>2312</v>
      </c>
      <c r="I713" s="3" t="str">
        <f>HYPERLINK("http://www.jccm.es/sede/tramite/LWV","SUBVENCIONES A ASOCIACIONES Y ENTIDADES PRIVADAS SIN ANIMO DE LUCRO PARA FINANCIACION DE GASTOS DE MEJORA DE EQUIPAMIENTOS, FORMACION Y MATERIAL EN EL AMBITO DE LA CRONICIDAD")</f>
        <v>SUBVENCIONES A ASOCIACIONES Y ENTIDADES PRIVADAS SIN ANIMO DE LUCRO PARA FINANCIACION DE GASTOS DE MEJORA DE EQUIPAMIENTOS, FORMACION Y MATERIAL EN EL AMBITO DE LA CRONICIDAD</v>
      </c>
      <c r="J713" s="3" t="s">
        <v>41</v>
      </c>
      <c r="K713" s="3" t="s">
        <v>41</v>
      </c>
      <c r="L713" s="3" t="s">
        <v>42</v>
      </c>
      <c r="M713" s="3" t="s">
        <v>41</v>
      </c>
    </row>
    <row r="714" spans="1:13" ht="195.6">
      <c r="A714" s="22" t="s">
        <v>22</v>
      </c>
      <c r="B714" s="3" t="s">
        <v>2313</v>
      </c>
      <c r="C714" s="3" t="s">
        <v>2314</v>
      </c>
      <c r="D714" s="3" t="s">
        <v>1535</v>
      </c>
      <c r="E714" s="3" t="s">
        <v>1368</v>
      </c>
      <c r="F714" s="3" t="s">
        <v>2030</v>
      </c>
      <c r="G714" s="3" t="s">
        <v>2286</v>
      </c>
      <c r="H714" s="3" t="s">
        <v>2315</v>
      </c>
      <c r="I714" s="3" t="str">
        <f>HYPERLINK("http://www.jccm.es/sede/tramite/LXW","ALEGACIONES AL PROCEDIMIENTO DE EXIGENCIA DE  REINTEGRO DE SUBVENCIONES CONCEDIDAS POR LA FUNDACION SOCIOSANITARIA DE CASTILLA - LA MANCHA.")</f>
        <v>ALEGACIONES AL PROCEDIMIENTO DE EXIGENCIA DE  REINTEGRO DE SUBVENCIONES CONCEDIDAS POR LA FUNDACION SOCIOSANITARIA DE CASTILLA - LA MANCHA.</v>
      </c>
      <c r="J714" s="3" t="s">
        <v>41</v>
      </c>
      <c r="K714" s="3" t="s">
        <v>41</v>
      </c>
      <c r="L714" s="3" t="s">
        <v>42</v>
      </c>
      <c r="M714" s="3" t="s">
        <v>41</v>
      </c>
    </row>
    <row r="715" spans="1:13" ht="126.6">
      <c r="A715" s="22" t="s">
        <v>22</v>
      </c>
      <c r="B715" s="3" t="s">
        <v>2316</v>
      </c>
      <c r="C715" s="3" t="s">
        <v>2317</v>
      </c>
      <c r="D715" s="3" t="s">
        <v>442</v>
      </c>
      <c r="E715" s="3" t="s">
        <v>37</v>
      </c>
      <c r="F715" s="3" t="s">
        <v>2030</v>
      </c>
      <c r="G715" s="3" t="s">
        <v>2031</v>
      </c>
      <c r="H715" s="3" t="s">
        <v>2318</v>
      </c>
      <c r="I715" s="3" t="str">
        <f>HYPERLINK("http://www.jccm.es/sede/tramite/350","OBTENCION INICIAL DE LA CERTIFICACION TECNICO-SANITARIA DEL TRANSPORTE SANITARIO POR CARRETERA")</f>
        <v>OBTENCION INICIAL DE LA CERTIFICACION TECNICO-SANITARIA DEL TRANSPORTE SANITARIO POR CARRETERA</v>
      </c>
      <c r="J715" s="3" t="s">
        <v>42</v>
      </c>
      <c r="K715" s="3" t="s">
        <v>41</v>
      </c>
      <c r="L715" s="3" t="s">
        <v>42</v>
      </c>
      <c r="M715" s="3" t="s">
        <v>41</v>
      </c>
    </row>
    <row r="716" spans="1:13" ht="126.6">
      <c r="A716" s="22" t="s">
        <v>22</v>
      </c>
      <c r="B716" s="3" t="s">
        <v>2319</v>
      </c>
      <c r="C716" s="3" t="s">
        <v>2320</v>
      </c>
      <c r="D716" s="3" t="s">
        <v>45</v>
      </c>
      <c r="E716" s="3" t="s">
        <v>37</v>
      </c>
      <c r="F716" s="3" t="s">
        <v>2030</v>
      </c>
      <c r="G716" s="3" t="s">
        <v>2087</v>
      </c>
      <c r="H716" s="3" t="s">
        <v>2321</v>
      </c>
      <c r="I716" s="3" t="str">
        <f>HYPERLINK("http://www.jccm.es/sede/tramite/I6B","ACREDITACION DE OFICINAS DE FARMACIA PARA ELABORAR, CONSERVAR Y DISPENSAR AGONISTAS OPIACEOS")</f>
        <v>ACREDITACION DE OFICINAS DE FARMACIA PARA ELABORAR, CONSERVAR Y DISPENSAR AGONISTAS OPIACEOS</v>
      </c>
      <c r="J716" s="3" t="s">
        <v>42</v>
      </c>
      <c r="K716" s="3" t="s">
        <v>41</v>
      </c>
      <c r="L716" s="3" t="s">
        <v>42</v>
      </c>
      <c r="M716" s="3" t="s">
        <v>41</v>
      </c>
    </row>
    <row r="717" spans="1:13" ht="149.44999999999999">
      <c r="A717" s="22" t="s">
        <v>22</v>
      </c>
      <c r="B717" s="3" t="s">
        <v>2322</v>
      </c>
      <c r="C717" s="3" t="s">
        <v>2323</v>
      </c>
      <c r="D717" s="3" t="s">
        <v>2324</v>
      </c>
      <c r="E717" s="3" t="s">
        <v>37</v>
      </c>
      <c r="F717" s="3" t="s">
        <v>2030</v>
      </c>
      <c r="G717" s="3" t="s">
        <v>2031</v>
      </c>
      <c r="H717" s="3" t="s">
        <v>2325</v>
      </c>
      <c r="I717" s="3" t="str">
        <f>HYPERLINK("http://www.jccm.es/sede/tramite/IHP","DECLARACION DE INTERES SANITARIO O SOCIOSANITARIO EN ACTIVIDADES DE CARACTER CIENTIFICO Y TECNICO")</f>
        <v>DECLARACION DE INTERES SANITARIO O SOCIOSANITARIO EN ACTIVIDADES DE CARACTER CIENTIFICO Y TECNICO</v>
      </c>
      <c r="J717" s="3" t="s">
        <v>42</v>
      </c>
      <c r="K717" s="3" t="s">
        <v>41</v>
      </c>
      <c r="L717" s="3" t="s">
        <v>42</v>
      </c>
      <c r="M717" s="3" t="s">
        <v>41</v>
      </c>
    </row>
    <row r="718" spans="1:13" ht="126.6">
      <c r="A718" s="22" t="s">
        <v>22</v>
      </c>
      <c r="B718" s="3" t="s">
        <v>2326</v>
      </c>
      <c r="C718" s="3" t="s">
        <v>2327</v>
      </c>
      <c r="D718" s="3" t="s">
        <v>51</v>
      </c>
      <c r="E718" s="3" t="s">
        <v>37</v>
      </c>
      <c r="F718" s="3" t="s">
        <v>2030</v>
      </c>
      <c r="G718" s="3" t="s">
        <v>2031</v>
      </c>
      <c r="H718" s="3" t="s">
        <v>2328</v>
      </c>
      <c r="I718" s="3" t="str">
        <f>HYPERLINK("http://www.jccm.es/sede/tramite/J6H","RENOVACION DE LA CERTIFICACION TECNICO-SANITARIA DE TRANSPORTE POR CARRETERA")</f>
        <v>RENOVACION DE LA CERTIFICACION TECNICO-SANITARIA DE TRANSPORTE POR CARRETERA</v>
      </c>
      <c r="J718" s="3" t="s">
        <v>42</v>
      </c>
      <c r="K718" s="3" t="s">
        <v>41</v>
      </c>
      <c r="L718" s="3" t="s">
        <v>42</v>
      </c>
      <c r="M718" s="3" t="s">
        <v>41</v>
      </c>
    </row>
    <row r="719" spans="1:13" ht="138">
      <c r="A719" s="22" t="s">
        <v>22</v>
      </c>
      <c r="B719" s="3" t="s">
        <v>2329</v>
      </c>
      <c r="C719" s="3" t="s">
        <v>2330</v>
      </c>
      <c r="D719" s="3" t="s">
        <v>62</v>
      </c>
      <c r="E719" s="3" t="s">
        <v>37</v>
      </c>
      <c r="F719" s="3" t="s">
        <v>2030</v>
      </c>
      <c r="G719" s="3" t="s">
        <v>2031</v>
      </c>
      <c r="H719" s="3" t="s">
        <v>2331</v>
      </c>
      <c r="I719" s="3" t="str">
        <f>HYPERLINK("http://www.jccm.es/sede/tramite/J6J","CONSULTA PREVIA A LA SOLICITUD DE LA CERTIFICACION TECNICO-SANITARIA DEL TRANSPORTE SANITARIO POR CARRETERA")</f>
        <v>CONSULTA PREVIA A LA SOLICITUD DE LA CERTIFICACION TECNICO-SANITARIA DEL TRANSPORTE SANITARIO POR CARRETERA</v>
      </c>
      <c r="J719" s="3" t="s">
        <v>42</v>
      </c>
      <c r="K719" s="3" t="s">
        <v>41</v>
      </c>
      <c r="L719" s="3" t="s">
        <v>42</v>
      </c>
      <c r="M719" s="3" t="s">
        <v>41</v>
      </c>
    </row>
    <row r="720" spans="1:13" ht="126.6">
      <c r="A720" s="22" t="s">
        <v>22</v>
      </c>
      <c r="B720" s="3" t="s">
        <v>2332</v>
      </c>
      <c r="C720" s="3" t="s">
        <v>2333</v>
      </c>
      <c r="D720" s="3" t="s">
        <v>2334</v>
      </c>
      <c r="E720" s="3" t="s">
        <v>37</v>
      </c>
      <c r="F720" s="3" t="s">
        <v>2030</v>
      </c>
      <c r="G720" s="3" t="s">
        <v>2031</v>
      </c>
      <c r="H720" s="3" t="s">
        <v>2335</v>
      </c>
      <c r="I720" s="3" t="str">
        <f>HYPERLINK("http://www.jccm.es/sede/tramite/JYQ","APLICACION DEL INDICE CORRECTOR DEL MARGEN DE DISPENSACION DE LAS OFICINAS DE FARMACIA")</f>
        <v>APLICACION DEL INDICE CORRECTOR DEL MARGEN DE DISPENSACION DE LAS OFICINAS DE FARMACIA</v>
      </c>
      <c r="J720" s="3" t="s">
        <v>41</v>
      </c>
      <c r="K720" s="3" t="s">
        <v>41</v>
      </c>
      <c r="L720" s="3" t="s">
        <v>42</v>
      </c>
      <c r="M720" s="3" t="s">
        <v>41</v>
      </c>
    </row>
    <row r="721" spans="1:13" ht="80.45">
      <c r="A721" s="22" t="s">
        <v>22</v>
      </c>
      <c r="B721" s="3" t="s">
        <v>2336</v>
      </c>
      <c r="C721" s="3" t="s">
        <v>2337</v>
      </c>
      <c r="D721" s="3" t="s">
        <v>45</v>
      </c>
      <c r="E721" s="3" t="s">
        <v>37</v>
      </c>
      <c r="F721" s="3" t="s">
        <v>2030</v>
      </c>
      <c r="G721" s="3" t="s">
        <v>2087</v>
      </c>
      <c r="H721" s="3" t="s">
        <v>2338</v>
      </c>
      <c r="I721" s="3" t="str">
        <f>HYPERLINK("http://www.jccm.es/sede/tramite/K0H","CERTIFICADO DE LIBRE VENTA PARA LA EXPORTACION")</f>
        <v>CERTIFICADO DE LIBRE VENTA PARA LA EXPORTACION</v>
      </c>
      <c r="J721" s="3" t="s">
        <v>42</v>
      </c>
      <c r="K721" s="3" t="s">
        <v>41</v>
      </c>
      <c r="L721" s="3" t="s">
        <v>42</v>
      </c>
      <c r="M721" s="3" t="s">
        <v>41</v>
      </c>
    </row>
    <row r="722" spans="1:13" ht="138">
      <c r="A722" s="22" t="s">
        <v>22</v>
      </c>
      <c r="B722" s="3" t="s">
        <v>2339</v>
      </c>
      <c r="C722" s="3" t="s">
        <v>2340</v>
      </c>
      <c r="D722" s="3" t="s">
        <v>2341</v>
      </c>
      <c r="E722" s="3" t="s">
        <v>37</v>
      </c>
      <c r="F722" s="3" t="s">
        <v>2030</v>
      </c>
      <c r="G722" s="3" t="s">
        <v>2031</v>
      </c>
      <c r="H722" s="3" t="s">
        <v>2342</v>
      </c>
      <c r="I722" s="3" t="str">
        <f>HYPERLINK("http://www.jccm.es/sede/tramite/KQV","CERTIFICACION DE CUMPLIMIENTO DE BUENAS PRACTICAS DE DISTRIBUCION DE MEDICAMENTOS DE USO HUMANO")</f>
        <v>CERTIFICACION DE CUMPLIMIENTO DE BUENAS PRACTICAS DE DISTRIBUCION DE MEDICAMENTOS DE USO HUMANO</v>
      </c>
      <c r="J722" s="3" t="s">
        <v>42</v>
      </c>
      <c r="K722" s="3" t="s">
        <v>41</v>
      </c>
      <c r="L722" s="3" t="s">
        <v>42</v>
      </c>
      <c r="M722" s="3" t="s">
        <v>41</v>
      </c>
    </row>
    <row r="723" spans="1:13" ht="172.5">
      <c r="A723" s="22" t="s">
        <v>22</v>
      </c>
      <c r="B723" s="3" t="s">
        <v>2343</v>
      </c>
      <c r="C723" s="3" t="s">
        <v>2344</v>
      </c>
      <c r="D723" s="3" t="s">
        <v>2341</v>
      </c>
      <c r="E723" s="3" t="s">
        <v>37</v>
      </c>
      <c r="F723" s="3" t="s">
        <v>2030</v>
      </c>
      <c r="G723" s="3" t="s">
        <v>2031</v>
      </c>
      <c r="H723" s="3" t="s">
        <v>2345</v>
      </c>
      <c r="I723" s="3" t="str">
        <f>HYPERLINK("http://www.jccm.es/sede/tramite/KQW","CERTIFICACION DE CUMPLIMIENTO DE BUENAS PRACTICAS DE DISTRIBUCION DE PRINCIPIOS ACTIVOS PARA MEDICAMENTOS DE USO HUMANO")</f>
        <v>CERTIFICACION DE CUMPLIMIENTO DE BUENAS PRACTICAS DE DISTRIBUCION DE PRINCIPIOS ACTIVOS PARA MEDICAMENTOS DE USO HUMANO</v>
      </c>
      <c r="J723" s="3" t="s">
        <v>42</v>
      </c>
      <c r="K723" s="3" t="s">
        <v>41</v>
      </c>
      <c r="L723" s="3" t="s">
        <v>42</v>
      </c>
      <c r="M723" s="3" t="s">
        <v>41</v>
      </c>
    </row>
    <row r="724" spans="1:13" ht="126.6">
      <c r="A724" s="22" t="s">
        <v>22</v>
      </c>
      <c r="B724" s="3" t="s">
        <v>2346</v>
      </c>
      <c r="C724" s="3" t="s">
        <v>2347</v>
      </c>
      <c r="D724" s="3" t="s">
        <v>45</v>
      </c>
      <c r="E724" s="3" t="s">
        <v>37</v>
      </c>
      <c r="F724" s="3" t="s">
        <v>2030</v>
      </c>
      <c r="G724" s="3" t="s">
        <v>2087</v>
      </c>
      <c r="H724" s="3" t="s">
        <v>2348</v>
      </c>
      <c r="I724" s="3" t="str">
        <f>HYPERLINK("http://www.jccm.es/sede/tramite/KSK","ACREDITACION DE CENTROS Y SERVICIOS PARA REALIZAR TRATAMIENTOS DE DESHABITUACION CON OPIACEOS")</f>
        <v>ACREDITACION DE CENTROS Y SERVICIOS PARA REALIZAR TRATAMIENTOS DE DESHABITUACION CON OPIACEOS</v>
      </c>
      <c r="J724" s="3" t="s">
        <v>42</v>
      </c>
      <c r="K724" s="3" t="s">
        <v>41</v>
      </c>
      <c r="L724" s="3" t="s">
        <v>42</v>
      </c>
      <c r="M724" s="3" t="s">
        <v>41</v>
      </c>
    </row>
    <row r="725" spans="1:13" ht="149.44999999999999">
      <c r="A725" s="22" t="s">
        <v>22</v>
      </c>
      <c r="B725" s="3" t="s">
        <v>2349</v>
      </c>
      <c r="C725" s="3" t="s">
        <v>2350</v>
      </c>
      <c r="D725" s="3" t="s">
        <v>51</v>
      </c>
      <c r="E725" s="3" t="s">
        <v>37</v>
      </c>
      <c r="F725" s="3" t="s">
        <v>2030</v>
      </c>
      <c r="G725" s="3" t="s">
        <v>2087</v>
      </c>
      <c r="H725" s="3" t="s">
        <v>2351</v>
      </c>
      <c r="I725" s="3" t="str">
        <f>HYPERLINK("http://www.jccm.es/sede/tramite/KSL","RENOVACION DE LA ACREDITACION DE CENTROS Y SERVICIOS PARA REALIZAR TRATAMIENTOS DE DESHABITUACION CON OPIACEOS")</f>
        <v>RENOVACION DE LA ACREDITACION DE CENTROS Y SERVICIOS PARA REALIZAR TRATAMIENTOS DE DESHABITUACION CON OPIACEOS</v>
      </c>
      <c r="J725" s="3" t="s">
        <v>42</v>
      </c>
      <c r="K725" s="3" t="s">
        <v>41</v>
      </c>
      <c r="L725" s="3" t="s">
        <v>42</v>
      </c>
      <c r="M725" s="3" t="s">
        <v>41</v>
      </c>
    </row>
    <row r="726" spans="1:13" ht="149.44999999999999">
      <c r="A726" s="22" t="s">
        <v>22</v>
      </c>
      <c r="B726" s="3" t="s">
        <v>2352</v>
      </c>
      <c r="C726" s="3" t="s">
        <v>2353</v>
      </c>
      <c r="D726" s="3" t="s">
        <v>51</v>
      </c>
      <c r="E726" s="3" t="s">
        <v>37</v>
      </c>
      <c r="F726" s="3" t="s">
        <v>2030</v>
      </c>
      <c r="G726" s="3" t="s">
        <v>2087</v>
      </c>
      <c r="H726" s="3" t="s">
        <v>2354</v>
      </c>
      <c r="I726" s="3" t="str">
        <f>HYPERLINK("http://www.jccm.es/sede/tramite/KSN","RENOVACION DE LA ACREDITACION DE OFICINAS DE FARMACIA PARA ELABORAR, CONSERVAR Y DISPENSAR AGONISTAS OPIACEOS")</f>
        <v>RENOVACION DE LA ACREDITACION DE OFICINAS DE FARMACIA PARA ELABORAR, CONSERVAR Y DISPENSAR AGONISTAS OPIACEOS</v>
      </c>
      <c r="J726" s="3" t="s">
        <v>41</v>
      </c>
      <c r="K726" s="3" t="s">
        <v>41</v>
      </c>
      <c r="L726" s="3" t="s">
        <v>42</v>
      </c>
      <c r="M726" s="3" t="s">
        <v>41</v>
      </c>
    </row>
    <row r="727" spans="1:13" ht="172.5">
      <c r="A727" s="22" t="s">
        <v>22</v>
      </c>
      <c r="B727" s="3" t="s">
        <v>2355</v>
      </c>
      <c r="C727" s="3" t="s">
        <v>2356</v>
      </c>
      <c r="D727" s="3" t="s">
        <v>95</v>
      </c>
      <c r="E727" s="3" t="s">
        <v>95</v>
      </c>
      <c r="F727" s="3" t="s">
        <v>2030</v>
      </c>
      <c r="G727" s="3" t="s">
        <v>2087</v>
      </c>
      <c r="H727" s="3" t="s">
        <v>2357</v>
      </c>
      <c r="I727" s="3" t="str">
        <f>HYPERLINK("http://www.jccm.es/sede/tramite/KSM","COMUNICACION DE RENUNCIA A LA ACREDITACION INICIAL DE OFICINAS DE FARMACIA PARA ELABORAR, CONSERVAR Y DISPENSAR AGONISTAS OPIACEOS")</f>
        <v>COMUNICACION DE RENUNCIA A LA ACREDITACION INICIAL DE OFICINAS DE FARMACIA PARA ELABORAR, CONSERVAR Y DISPENSAR AGONISTAS OPIACEOS</v>
      </c>
      <c r="J727" s="3" t="s">
        <v>42</v>
      </c>
      <c r="K727" s="3" t="s">
        <v>41</v>
      </c>
      <c r="L727" s="3" t="s">
        <v>42</v>
      </c>
      <c r="M727" s="3" t="s">
        <v>41</v>
      </c>
    </row>
    <row r="728" spans="1:13" ht="172.5">
      <c r="A728" s="22" t="s">
        <v>22</v>
      </c>
      <c r="B728" s="3" t="s">
        <v>2358</v>
      </c>
      <c r="C728" s="3" t="s">
        <v>2359</v>
      </c>
      <c r="D728" s="3" t="s">
        <v>45</v>
      </c>
      <c r="E728" s="3" t="s">
        <v>37</v>
      </c>
      <c r="F728" s="3" t="s">
        <v>2030</v>
      </c>
      <c r="G728" s="3" t="s">
        <v>2087</v>
      </c>
      <c r="H728" s="3" t="s">
        <v>2360</v>
      </c>
      <c r="I728" s="3" t="str">
        <f>HYPERLINK("http://www.jccm.es/sede/tramite/L7M","COMUNICACION DE MEMORIA FINAL DE ACTIVIDAD FORMATIVA DE PRIMEROS INTERVINIENTES PARA EL USO DE DESFIBRILADORES AUTOMATIZADOS")</f>
        <v>COMUNICACION DE MEMORIA FINAL DE ACTIVIDAD FORMATIVA DE PRIMEROS INTERVINIENTES PARA EL USO DE DESFIBRILADORES AUTOMATIZADOS</v>
      </c>
      <c r="J728" s="3" t="s">
        <v>42</v>
      </c>
      <c r="K728" s="3" t="s">
        <v>41</v>
      </c>
      <c r="L728" s="3" t="s">
        <v>42</v>
      </c>
      <c r="M728" s="3" t="s">
        <v>41</v>
      </c>
    </row>
    <row r="729" spans="1:13" ht="195.6">
      <c r="A729" s="22" t="s">
        <v>22</v>
      </c>
      <c r="B729" s="3" t="s">
        <v>2361</v>
      </c>
      <c r="C729" s="3" t="s">
        <v>2362</v>
      </c>
      <c r="D729" s="3" t="s">
        <v>45</v>
      </c>
      <c r="E729" s="3" t="s">
        <v>37</v>
      </c>
      <c r="F729" s="3" t="s">
        <v>2030</v>
      </c>
      <c r="G729" s="3" t="s">
        <v>2286</v>
      </c>
      <c r="H729" s="3" t="s">
        <v>2363</v>
      </c>
      <c r="I729" s="3" t="str">
        <f>HYPERLINK("http://www.jccm.es/sede/tramite/L7N","SOLICITUD DE INSCRIPCION EN EL REGISTRO DE PERSONA AUTORIZADA PARA EL USO DE DESFIBRILADORES EXTERNOS AUTOMATIZADOS (DEA) FUERA DEL AMBITO SANITARIO")</f>
        <v>SOLICITUD DE INSCRIPCION EN EL REGISTRO DE PERSONA AUTORIZADA PARA EL USO DE DESFIBRILADORES EXTERNOS AUTOMATIZADOS (DEA) FUERA DEL AMBITO SANITARIO</v>
      </c>
      <c r="J729" s="3" t="s">
        <v>42</v>
      </c>
      <c r="K729" s="3" t="s">
        <v>41</v>
      </c>
      <c r="L729" s="3" t="s">
        <v>42</v>
      </c>
      <c r="M729" s="3" t="s">
        <v>41</v>
      </c>
    </row>
    <row r="730" spans="1:13" ht="207">
      <c r="A730" s="22" t="s">
        <v>22</v>
      </c>
      <c r="B730" s="3" t="s">
        <v>2364</v>
      </c>
      <c r="C730" s="3" t="s">
        <v>2365</v>
      </c>
      <c r="D730" s="3" t="s">
        <v>232</v>
      </c>
      <c r="E730" s="3" t="s">
        <v>37</v>
      </c>
      <c r="F730" s="3" t="s">
        <v>2030</v>
      </c>
      <c r="G730" s="3" t="s">
        <v>2031</v>
      </c>
      <c r="H730" s="3" t="s">
        <v>2366</v>
      </c>
      <c r="I730" s="3" t="str">
        <f>HYPERLINK("http://www.jccm.es/sede/tramite/LHD","ACREDITACION DE ENFERMERAS Y ENFERMEROS PARA LA INDICACION, USO Y AUTORIZACION DE LA DISPENSACION DE MEDICAMENTOS Y PRODUCTOS SANITARIOS DE USO HUMANO.")</f>
        <v>ACREDITACION DE ENFERMERAS Y ENFERMEROS PARA LA INDICACION, USO Y AUTORIZACION DE LA DISPENSACION DE MEDICAMENTOS Y PRODUCTOS SANITARIOS DE USO HUMANO.</v>
      </c>
      <c r="J730" s="3" t="s">
        <v>41</v>
      </c>
      <c r="K730" s="3" t="s">
        <v>41</v>
      </c>
      <c r="L730" s="3" t="s">
        <v>42</v>
      </c>
      <c r="M730" s="3" t="s">
        <v>41</v>
      </c>
    </row>
    <row r="731" spans="1:13" ht="34.5">
      <c r="A731" s="22" t="s">
        <v>22</v>
      </c>
      <c r="B731" s="3" t="s">
        <v>2367</v>
      </c>
      <c r="C731" s="3" t="s">
        <v>2368</v>
      </c>
      <c r="D731" s="3" t="s">
        <v>45</v>
      </c>
      <c r="E731" s="3" t="s">
        <v>46</v>
      </c>
      <c r="F731" s="3" t="s">
        <v>2030</v>
      </c>
      <c r="G731" s="3" t="s">
        <v>2030</v>
      </c>
      <c r="H731" s="3" t="s">
        <v>2369</v>
      </c>
      <c r="I731" s="3" t="str">
        <f>HYPERLINK("http://www.jccm.es/sede/tramite/LM7","CERTIFICADO COVID DIGITAL UE")</f>
        <v>CERTIFICADO COVID DIGITAL UE</v>
      </c>
      <c r="J731" s="3" t="s">
        <v>42</v>
      </c>
      <c r="K731" s="3" t="s">
        <v>41</v>
      </c>
      <c r="L731" s="3" t="s">
        <v>42</v>
      </c>
      <c r="M731" s="3" t="s">
        <v>41</v>
      </c>
    </row>
    <row r="732" spans="1:13" ht="172.5">
      <c r="A732" s="22" t="s">
        <v>22</v>
      </c>
      <c r="B732" s="3" t="s">
        <v>2370</v>
      </c>
      <c r="C732" s="3" t="s">
        <v>2371</v>
      </c>
      <c r="D732" s="3" t="s">
        <v>45</v>
      </c>
      <c r="E732" s="3" t="s">
        <v>37</v>
      </c>
      <c r="F732" s="3" t="s">
        <v>2030</v>
      </c>
      <c r="G732" s="3" t="s">
        <v>2087</v>
      </c>
      <c r="H732" s="3" t="s">
        <v>2372</v>
      </c>
      <c r="I732" s="3" t="str">
        <f>HYPERLINK("http://www.jccm.es/sede/tramite/JCA","SOLICITUD DE ACREDITACION DE ENTIDADES PARA IMPARTIR  FORMACION PARA EL USO DE DESFIBRILADORES EXTERNOS AUTOMATIZADOS (DEA).")</f>
        <v>SOLICITUD DE ACREDITACION DE ENTIDADES PARA IMPARTIR  FORMACION PARA EL USO DE DESFIBRILADORES EXTERNOS AUTOMATIZADOS (DEA).</v>
      </c>
      <c r="J732" s="3" t="s">
        <v>42</v>
      </c>
      <c r="K732" s="3" t="s">
        <v>41</v>
      </c>
      <c r="L732" s="3" t="s">
        <v>42</v>
      </c>
      <c r="M732" s="3" t="s">
        <v>41</v>
      </c>
    </row>
    <row r="733" spans="1:13" ht="207">
      <c r="A733" s="22" t="s">
        <v>22</v>
      </c>
      <c r="B733" s="3" t="s">
        <v>2373</v>
      </c>
      <c r="C733" s="3" t="s">
        <v>2374</v>
      </c>
      <c r="D733" s="3" t="s">
        <v>45</v>
      </c>
      <c r="E733" s="3" t="s">
        <v>37</v>
      </c>
      <c r="F733" s="3" t="s">
        <v>2030</v>
      </c>
      <c r="G733" s="3" t="s">
        <v>2087</v>
      </c>
      <c r="H733" s="3" t="s">
        <v>2375</v>
      </c>
      <c r="I733" s="3" t="str">
        <f>HYPERLINK("http://www.jccm.es/sede/tramite/KU6","COMUNICACION DE ACREDITACION DE ENTIDADES SIN SEDE EN CASTILLA-LA MANCHA PARA IMPARTIR  FORMACION PARA EL USO DE DESFIBRILADORES EXTERNOS AUTOMATIZADOS (DEA).")</f>
        <v>COMUNICACION DE ACREDITACION DE ENTIDADES SIN SEDE EN CASTILLA-LA MANCHA PARA IMPARTIR  FORMACION PARA EL USO DE DESFIBRILADORES EXTERNOS AUTOMATIZADOS (DEA).</v>
      </c>
      <c r="J733" s="3" t="s">
        <v>42</v>
      </c>
      <c r="K733" s="3" t="s">
        <v>41</v>
      </c>
      <c r="L733" s="3" t="s">
        <v>42</v>
      </c>
      <c r="M733" s="3" t="s">
        <v>41</v>
      </c>
    </row>
    <row r="734" spans="1:13" ht="264.60000000000002">
      <c r="A734" s="22" t="s">
        <v>22</v>
      </c>
      <c r="B734" s="3" t="s">
        <v>2376</v>
      </c>
      <c r="C734" s="3" t="s">
        <v>2377</v>
      </c>
      <c r="D734" s="3" t="s">
        <v>45</v>
      </c>
      <c r="E734" s="3" t="s">
        <v>37</v>
      </c>
      <c r="F734" s="3" t="s">
        <v>2030</v>
      </c>
      <c r="G734" s="3" t="s">
        <v>2031</v>
      </c>
      <c r="H734" s="3" t="s">
        <v>2378</v>
      </c>
      <c r="I734" s="3" t="str">
        <f>HYPERLINK("http://www.jccm.es/sede/tramite/JRJ","CERTIFICACION DE CUMPLIMIENTO DE NORMAS DE CORRECTA ELABORACION Y CONTROL DE CALIDAD DE FORMULAS MAGISTRALES Y PREPARADOS OFICINALES EN OFICINAS DE FARMACIA Y SERVICIOS FARMACEUTICOS")</f>
        <v>CERTIFICACION DE CUMPLIMIENTO DE NORMAS DE CORRECTA ELABORACION Y CONTROL DE CALIDAD DE FORMULAS MAGISTRALES Y PREPARADOS OFICINALES EN OFICINAS DE FARMACIA Y SERVICIOS FARMACEUTICOS</v>
      </c>
      <c r="J734" s="3" t="s">
        <v>41</v>
      </c>
      <c r="K734" s="3" t="s">
        <v>41</v>
      </c>
      <c r="L734" s="3" t="s">
        <v>42</v>
      </c>
      <c r="M734" s="3" t="s">
        <v>41</v>
      </c>
    </row>
    <row r="735" spans="1:13" ht="195.6">
      <c r="A735" s="22" t="s">
        <v>22</v>
      </c>
      <c r="B735" s="3" t="s">
        <v>2379</v>
      </c>
      <c r="C735" s="3" t="s">
        <v>2380</v>
      </c>
      <c r="D735" s="3" t="s">
        <v>45</v>
      </c>
      <c r="E735" s="3" t="s">
        <v>37</v>
      </c>
      <c r="F735" s="3" t="s">
        <v>2030</v>
      </c>
      <c r="G735" s="3" t="s">
        <v>2031</v>
      </c>
      <c r="H735" s="3" t="s">
        <v>2381</v>
      </c>
      <c r="I735" s="3" t="str">
        <f>HYPERLINK("http://www.jccm.es/sede/tramite/JRH","AUTORIZACION PARA ELABORACION DE FORMULAS MAGISTRALES Y PREPARADOS OFICINALES A TERCEROS EN OFICINAS DE FARMACIA Y SERVICIOS FARMACEUTICOS")</f>
        <v>AUTORIZACION PARA ELABORACION DE FORMULAS MAGISTRALES Y PREPARADOS OFICINALES A TERCEROS EN OFICINAS DE FARMACIA Y SERVICIOS FARMACEUTICOS</v>
      </c>
      <c r="J735" s="3" t="s">
        <v>41</v>
      </c>
      <c r="K735" s="3" t="s">
        <v>41</v>
      </c>
      <c r="L735" s="3" t="s">
        <v>42</v>
      </c>
      <c r="M735" s="3" t="s">
        <v>41</v>
      </c>
    </row>
    <row r="736" spans="1:13" ht="114.95">
      <c r="A736" s="22" t="s">
        <v>22</v>
      </c>
      <c r="B736" s="3" t="s">
        <v>2382</v>
      </c>
      <c r="C736" s="3" t="s">
        <v>2383</v>
      </c>
      <c r="D736" s="3" t="s">
        <v>95</v>
      </c>
      <c r="E736" s="3" t="s">
        <v>95</v>
      </c>
      <c r="F736" s="3" t="s">
        <v>2030</v>
      </c>
      <c r="G736" s="3" t="s">
        <v>2087</v>
      </c>
      <c r="H736" s="3" t="s">
        <v>2384</v>
      </c>
      <c r="I736" s="3" t="str">
        <f>HYPERLINK("http://www.jccm.es/sede/tramite/KOH","DECLARACION RESPONSABLE PARA LA EXENCION DE SOCORRISTA EN PISCINAS DE USO PUBLICO")</f>
        <v>DECLARACION RESPONSABLE PARA LA EXENCION DE SOCORRISTA EN PISCINAS DE USO PUBLICO</v>
      </c>
      <c r="J736" s="3" t="s">
        <v>42</v>
      </c>
      <c r="K736" s="3" t="s">
        <v>41</v>
      </c>
      <c r="L736" s="3" t="s">
        <v>42</v>
      </c>
      <c r="M736" s="3" t="s">
        <v>41</v>
      </c>
    </row>
    <row r="737" spans="1:13" ht="92.1">
      <c r="A737" s="22" t="s">
        <v>22</v>
      </c>
      <c r="B737" s="3" t="s">
        <v>2385</v>
      </c>
      <c r="C737" s="3" t="s">
        <v>2386</v>
      </c>
      <c r="D737" s="3" t="s">
        <v>95</v>
      </c>
      <c r="E737" s="3" t="s">
        <v>95</v>
      </c>
      <c r="F737" s="3" t="s">
        <v>2030</v>
      </c>
      <c r="G737" s="3" t="s">
        <v>2087</v>
      </c>
      <c r="H737" s="3" t="s">
        <v>2387</v>
      </c>
      <c r="I737" s="3" t="str">
        <f>HYPERLINK("http://www.jccm.es/sede/tramite/KOG","COMUNICACION PREVIA DE REAPERTURA DE PISCINAS DE USO PUBLICO")</f>
        <v>COMUNICACION PREVIA DE REAPERTURA DE PISCINAS DE USO PUBLICO</v>
      </c>
      <c r="J737" s="3" t="s">
        <v>42</v>
      </c>
      <c r="K737" s="3" t="s">
        <v>41</v>
      </c>
      <c r="L737" s="3" t="s">
        <v>42</v>
      </c>
      <c r="M737" s="3" t="s">
        <v>41</v>
      </c>
    </row>
    <row r="738" spans="1:13" ht="138">
      <c r="A738" s="22" t="s">
        <v>22</v>
      </c>
      <c r="B738" s="3" t="s">
        <v>2388</v>
      </c>
      <c r="C738" s="3" t="s">
        <v>2389</v>
      </c>
      <c r="D738" s="3" t="s">
        <v>95</v>
      </c>
      <c r="E738" s="3" t="s">
        <v>95</v>
      </c>
      <c r="F738" s="3" t="s">
        <v>2030</v>
      </c>
      <c r="G738" s="3" t="s">
        <v>2087</v>
      </c>
      <c r="H738" s="3" t="s">
        <v>2390</v>
      </c>
      <c r="I738" s="3" t="str">
        <f>HYPERLINK("http://www.jccm.es/sede/tramite/JZW","SOLICITUD DE ANALISIS SANITARIO EN LOS LABORATORIOS DE SALUD PUBLICA DE LA CONSEJERIA DE SANIDAD Y ASUNTOS SOCIALES.")</f>
        <v>SOLICITUD DE ANALISIS SANITARIO EN LOS LABORATORIOS DE SALUD PUBLICA DE LA CONSEJERIA DE SANIDAD Y ASUNTOS SOCIALES.</v>
      </c>
      <c r="J738" s="3" t="s">
        <v>42</v>
      </c>
      <c r="K738" s="3" t="s">
        <v>41</v>
      </c>
      <c r="L738" s="3" t="s">
        <v>42</v>
      </c>
      <c r="M738" s="3" t="s">
        <v>41</v>
      </c>
    </row>
    <row r="739" spans="1:13" ht="114.95">
      <c r="A739" s="22" t="s">
        <v>22</v>
      </c>
      <c r="B739" s="3" t="s">
        <v>2391</v>
      </c>
      <c r="C739" s="3" t="s">
        <v>2392</v>
      </c>
      <c r="D739" s="3" t="s">
        <v>45</v>
      </c>
      <c r="E739" s="3" t="s">
        <v>37</v>
      </c>
      <c r="F739" s="3" t="s">
        <v>2030</v>
      </c>
      <c r="G739" s="3" t="s">
        <v>2286</v>
      </c>
      <c r="H739" s="3" t="s">
        <v>2393</v>
      </c>
      <c r="I739" s="3" t="str">
        <f>HYPERLINK("http://www.jccm.es/sede/tramite/L5X","INFORMACION Y ACOMPAÑAMIENTO A PERSONAS AFECTADAS POR UNA ENFERMEDAD RARA")</f>
        <v>INFORMACION Y ACOMPAÑAMIENTO A PERSONAS AFECTADAS POR UNA ENFERMEDAD RARA</v>
      </c>
      <c r="J739" s="3" t="s">
        <v>42</v>
      </c>
      <c r="K739" s="3" t="s">
        <v>41</v>
      </c>
      <c r="L739" s="3" t="s">
        <v>42</v>
      </c>
      <c r="M739" s="3" t="s">
        <v>41</v>
      </c>
    </row>
    <row r="740" spans="1:13" ht="230.1">
      <c r="A740" s="22" t="s">
        <v>22</v>
      </c>
      <c r="B740" s="3" t="s">
        <v>2394</v>
      </c>
      <c r="C740" s="3" t="s">
        <v>2395</v>
      </c>
      <c r="D740" s="3" t="s">
        <v>70</v>
      </c>
      <c r="E740" s="3" t="s">
        <v>37</v>
      </c>
      <c r="F740" s="3" t="s">
        <v>2030</v>
      </c>
      <c r="G740" s="3" t="s">
        <v>2087</v>
      </c>
      <c r="H740" s="3" t="s">
        <v>2396</v>
      </c>
      <c r="I740" s="3" t="str">
        <f>HYPERLINK("http://www.jccm.es/sede/tramite/L8X","JUSTIFICACION DEL GASTO EN EL CONVENIO DE COLABORACION EN MATERIA DE DROGODEPENDENCIA CON EL CONSEJO DE COLEGIOS OFICIALES DE FARMACEUTICOS DE CASTILLA-LA MANCHA")</f>
        <v>JUSTIFICACION DEL GASTO EN EL CONVENIO DE COLABORACION EN MATERIA DE DROGODEPENDENCIA CON EL CONSEJO DE COLEGIOS OFICIALES DE FARMACEUTICOS DE CASTILLA-LA MANCHA</v>
      </c>
      <c r="J740" s="3" t="s">
        <v>41</v>
      </c>
      <c r="K740" s="3" t="s">
        <v>41</v>
      </c>
      <c r="L740" s="3" t="s">
        <v>42</v>
      </c>
      <c r="M740" s="3" t="s">
        <v>41</v>
      </c>
    </row>
    <row r="741" spans="1:13" ht="138">
      <c r="A741" s="22" t="s">
        <v>22</v>
      </c>
      <c r="B741" s="3" t="s">
        <v>2397</v>
      </c>
      <c r="C741" s="3" t="s">
        <v>2398</v>
      </c>
      <c r="D741" s="3" t="s">
        <v>45</v>
      </c>
      <c r="E741" s="3" t="s">
        <v>37</v>
      </c>
      <c r="F741" s="3" t="s">
        <v>2030</v>
      </c>
      <c r="G741" s="3" t="s">
        <v>2087</v>
      </c>
      <c r="H741" s="3" t="s">
        <v>2399</v>
      </c>
      <c r="I741" s="3" t="str">
        <f>HYPERLINK("http://www.jccm.es/sede/tramite/K0B","RECONOCIMIENTO DE APLICACION DE DEDUCCIONES EN LAS TASAS POR INSPECCION Y CONTROL SANITARIO DE CARNES FRESCAS")</f>
        <v>RECONOCIMIENTO DE APLICACION DE DEDUCCIONES EN LAS TASAS POR INSPECCION Y CONTROL SANITARIO DE CARNES FRESCAS</v>
      </c>
      <c r="J741" s="3" t="s">
        <v>42</v>
      </c>
      <c r="K741" s="3" t="s">
        <v>41</v>
      </c>
      <c r="L741" s="3" t="s">
        <v>42</v>
      </c>
      <c r="M741" s="3" t="s">
        <v>41</v>
      </c>
    </row>
    <row r="742" spans="1:13" ht="126.6">
      <c r="A742" s="22" t="s">
        <v>22</v>
      </c>
      <c r="B742" s="3" t="s">
        <v>2400</v>
      </c>
      <c r="C742" s="3" t="s">
        <v>2401</v>
      </c>
      <c r="D742" s="3" t="s">
        <v>51</v>
      </c>
      <c r="E742" s="3" t="s">
        <v>46</v>
      </c>
      <c r="F742" s="3" t="s">
        <v>2030</v>
      </c>
      <c r="G742" s="3" t="s">
        <v>2402</v>
      </c>
      <c r="H742" s="3" t="s">
        <v>2403</v>
      </c>
      <c r="I742" s="3" t="str">
        <f>HYPERLINK("http://www.jccm.es/sede/tramite/KFC","PARTICIPACION EN PROCEDIMIENTO PARA PROVISION DE PUESTOS DE TRABAJO EN LA ADMINISTRACION DE LA JUNTA DE COMUNIDADES DE CASTILLA-LA MANCHA POR EL SISTEMA DE LIBRE DESIGNACION (LD SANIDAD F1/2022)")</f>
        <v>PARTICIPACION EN PROCEDIMIENTO PARA PROVISION DE PUESTOS DE TRABAJO EN LA ADMINISTRACION DE LA JUNTA DE COMUNIDADES DE CASTILLA-LA MANCHA POR EL SISTEMA DE LIBRE DESIGNACION (LD SANIDAD F1/2022)</v>
      </c>
      <c r="J742" s="3" t="s">
        <v>41</v>
      </c>
      <c r="K742" s="3" t="s">
        <v>41</v>
      </c>
      <c r="L742" s="3" t="s">
        <v>42</v>
      </c>
      <c r="M742" s="3" t="s">
        <v>41</v>
      </c>
    </row>
    <row r="743" spans="1:13" ht="172.5">
      <c r="A743" s="22" t="s">
        <v>22</v>
      </c>
      <c r="B743" s="3" t="s">
        <v>2404</v>
      </c>
      <c r="C743" s="3" t="s">
        <v>2405</v>
      </c>
      <c r="D743" s="3" t="s">
        <v>2406</v>
      </c>
      <c r="E743" s="3" t="s">
        <v>46</v>
      </c>
      <c r="F743" s="3" t="s">
        <v>2030</v>
      </c>
      <c r="G743" s="3" t="s">
        <v>2402</v>
      </c>
      <c r="H743" s="3" t="s">
        <v>2407</v>
      </c>
      <c r="I743" s="3" t="str">
        <f>HYPERLINK("http://www.jccm.es/sede/tramite/LF2","INSCRIPCION EN BOLSA DE PERSONAL FUNCIONARIO DE LA ESCALA SUPERIOR DE SANITARIOS LOCALES (ESPECIALIDADES DE VETERINARIA Y FARMACIA)")</f>
        <v>INSCRIPCION EN BOLSA DE PERSONAL FUNCIONARIO DE LA ESCALA SUPERIOR DE SANITARIOS LOCALES (ESPECIALIDADES DE VETERINARIA Y FARMACIA)</v>
      </c>
      <c r="J743" s="3" t="s">
        <v>42</v>
      </c>
      <c r="K743" s="3" t="s">
        <v>41</v>
      </c>
      <c r="L743" s="3" t="s">
        <v>42</v>
      </c>
      <c r="M743" s="3" t="s">
        <v>41</v>
      </c>
    </row>
    <row r="744" spans="1:13" ht="241.5">
      <c r="A744" s="22" t="s">
        <v>22</v>
      </c>
      <c r="B744" s="3" t="s">
        <v>2408</v>
      </c>
      <c r="C744" s="3" t="s">
        <v>2409</v>
      </c>
      <c r="D744" s="3" t="s">
        <v>51</v>
      </c>
      <c r="E744" s="3" t="s">
        <v>46</v>
      </c>
      <c r="F744" s="3" t="s">
        <v>2030</v>
      </c>
      <c r="G744" s="3" t="s">
        <v>2402</v>
      </c>
      <c r="H744" s="3" t="s">
        <v>2410</v>
      </c>
      <c r="I744" s="3" t="str">
        <f>HYPERLINK("http://www.jccm.es/sede/tramite/LTQ","PROVISION DE PUESTOS POR EL PROCEDIMIENTO DE LIBRE DESIGNACION (CONSEJERIA DE SANIDAD) RESERVADOS A LA ESCALA SUPERIOR DE SANITARIOS LOCALES, ESPECIALIDAD VETERINARIA (LD SANIDAD F2/2022)")</f>
        <v>PROVISION DE PUESTOS POR EL PROCEDIMIENTO DE LIBRE DESIGNACION (CONSEJERIA DE SANIDAD) RESERVADOS A LA ESCALA SUPERIOR DE SANITARIOS LOCALES, ESPECIALIDAD VETERINARIA (LD SANIDAD F2/2022)</v>
      </c>
      <c r="J744" s="3" t="s">
        <v>41</v>
      </c>
      <c r="K744" s="3" t="s">
        <v>41</v>
      </c>
      <c r="L744" s="3" t="s">
        <v>42</v>
      </c>
      <c r="M744" s="3" t="s">
        <v>41</v>
      </c>
    </row>
    <row r="745" spans="1:13" ht="183.95">
      <c r="A745" s="22" t="s">
        <v>22</v>
      </c>
      <c r="B745" s="3" t="s">
        <v>2411</v>
      </c>
      <c r="C745" s="3" t="s">
        <v>2412</v>
      </c>
      <c r="D745" s="3" t="s">
        <v>36</v>
      </c>
      <c r="E745" s="3" t="s">
        <v>46</v>
      </c>
      <c r="F745" s="3" t="s">
        <v>2030</v>
      </c>
      <c r="G745" s="3" t="s">
        <v>2402</v>
      </c>
      <c r="H745" s="3" t="s">
        <v>2413</v>
      </c>
      <c r="I745" s="3" t="str">
        <f>HYPERLINK("http://www.jccm.es/sede/tramite/LZ1","PROVISION DE PUESTOS DE TRABAJO EN LA ADMINISTRACION DE LA JCCM POR EL SISTEMA DE CONCURSO SINGULARIZADO DE MERITOS (CMS SANIDAD 1/2022).")</f>
        <v>PROVISION DE PUESTOS DE TRABAJO EN LA ADMINISTRACION DE LA JCCM POR EL SISTEMA DE CONCURSO SINGULARIZADO DE MERITOS (CMS SANIDAD 1/2022).</v>
      </c>
      <c r="J745" s="3" t="s">
        <v>41</v>
      </c>
      <c r="K745" s="3" t="s">
        <v>41</v>
      </c>
      <c r="L745" s="3" t="s">
        <v>42</v>
      </c>
      <c r="M745" s="3" t="s">
        <v>41</v>
      </c>
    </row>
    <row r="746" spans="1:13" ht="126.6">
      <c r="A746" s="22" t="s">
        <v>11</v>
      </c>
      <c r="B746" s="3" t="s">
        <v>2414</v>
      </c>
      <c r="C746" s="3" t="s">
        <v>2415</v>
      </c>
      <c r="D746" s="3" t="s">
        <v>2416</v>
      </c>
      <c r="E746" s="3" t="s">
        <v>37</v>
      </c>
      <c r="F746" s="3" t="s">
        <v>2417</v>
      </c>
      <c r="G746" s="3" t="s">
        <v>2418</v>
      </c>
      <c r="H746" s="3" t="s">
        <v>2419</v>
      </c>
      <c r="I746" s="3" t="str">
        <f>HYPERLINK("http://www.jccm.es/sede/tramite/IO4","AUTORIZACION DE ESTACIONES DE INSPECCION TECNICA DE VEHICULOS (ITV) FIJAS")</f>
        <v>AUTORIZACION DE ESTACIONES DE INSPECCION TECNICA DE VEHICULOS (ITV) FIJAS</v>
      </c>
      <c r="J746" s="3" t="s">
        <v>42</v>
      </c>
      <c r="K746" s="3" t="s">
        <v>41</v>
      </c>
      <c r="L746" s="3" t="s">
        <v>42</v>
      </c>
      <c r="M746" s="3" t="s">
        <v>41</v>
      </c>
    </row>
    <row r="747" spans="1:13" ht="126.6">
      <c r="A747" s="22" t="s">
        <v>11</v>
      </c>
      <c r="B747" s="3" t="s">
        <v>2420</v>
      </c>
      <c r="C747" s="3" t="s">
        <v>2421</v>
      </c>
      <c r="D747" s="3" t="s">
        <v>1129</v>
      </c>
      <c r="E747" s="3" t="s">
        <v>95</v>
      </c>
      <c r="F747" s="3" t="s">
        <v>2417</v>
      </c>
      <c r="G747" s="3" t="s">
        <v>2418</v>
      </c>
      <c r="H747" s="3" t="s">
        <v>2422</v>
      </c>
      <c r="I747" s="3" t="str">
        <f>HYPERLINK("http://www.jccm.es/sede/tramite/JF1","COMUNICACION DE AUSENCIA DEL/LA JEFE/A DE EQUIPO DE LA UNIDAD MOVIL DE LA ESTACION DE ITV")</f>
        <v>COMUNICACION DE AUSENCIA DEL/LA JEFE/A DE EQUIPO DE LA UNIDAD MOVIL DE LA ESTACION DE ITV</v>
      </c>
      <c r="J747" s="3" t="s">
        <v>42</v>
      </c>
      <c r="K747" s="3" t="s">
        <v>41</v>
      </c>
      <c r="L747" s="3" t="s">
        <v>42</v>
      </c>
      <c r="M747" s="3" t="s">
        <v>41</v>
      </c>
    </row>
    <row r="748" spans="1:13" ht="183.95">
      <c r="A748" s="22" t="s">
        <v>11</v>
      </c>
      <c r="B748" s="3" t="s">
        <v>2423</v>
      </c>
      <c r="C748" s="3" t="s">
        <v>2424</v>
      </c>
      <c r="D748" s="3" t="s">
        <v>1129</v>
      </c>
      <c r="E748" s="3" t="s">
        <v>37</v>
      </c>
      <c r="F748" s="3" t="s">
        <v>2417</v>
      </c>
      <c r="G748" s="3" t="s">
        <v>2418</v>
      </c>
      <c r="H748" s="3" t="s">
        <v>2425</v>
      </c>
      <c r="I748" s="3" t="str">
        <f>HYPERLINK("http://www.jccm.es/sede/tramite/JF2","SOLICITUD DE AUTORIZACION DE LA DELEGACION DE FIRMA DE LA DIRECCION TECNICA DE ESTACION DE ITV O DEL/LA JEFE/A DE EQUIPO DE LA UNIDAD MOVIL")</f>
        <v>SOLICITUD DE AUTORIZACION DE LA DELEGACION DE FIRMA DE LA DIRECCION TECNICA DE ESTACION DE ITV O DEL/LA JEFE/A DE EQUIPO DE LA UNIDAD MOVIL</v>
      </c>
      <c r="J748" s="3" t="s">
        <v>42</v>
      </c>
      <c r="K748" s="3" t="s">
        <v>41</v>
      </c>
      <c r="L748" s="3" t="s">
        <v>42</v>
      </c>
      <c r="M748" s="3" t="s">
        <v>41</v>
      </c>
    </row>
    <row r="749" spans="1:13" ht="126.6">
      <c r="A749" s="22" t="s">
        <v>11</v>
      </c>
      <c r="B749" s="3" t="s">
        <v>2426</v>
      </c>
      <c r="C749" s="3" t="s">
        <v>2427</v>
      </c>
      <c r="D749" s="3" t="s">
        <v>45</v>
      </c>
      <c r="E749" s="3" t="s">
        <v>37</v>
      </c>
      <c r="F749" s="3" t="s">
        <v>2417</v>
      </c>
      <c r="G749" s="3" t="s">
        <v>2418</v>
      </c>
      <c r="H749" s="3" t="s">
        <v>2428</v>
      </c>
      <c r="I749" s="3" t="str">
        <f>HYPERLINK("http://www.jccm.es/sede/tramite/JEM","AUTORIZACION DE CENTRO TECNICO DE TACOGRAFOS")</f>
        <v>AUTORIZACION DE CENTRO TECNICO DE TACOGRAFOS</v>
      </c>
      <c r="J749" s="3" t="s">
        <v>42</v>
      </c>
      <c r="K749" s="3" t="s">
        <v>41</v>
      </c>
      <c r="L749" s="3" t="s">
        <v>42</v>
      </c>
      <c r="M749" s="3" t="s">
        <v>42</v>
      </c>
    </row>
    <row r="750" spans="1:13" ht="126.6">
      <c r="A750" s="22" t="s">
        <v>11</v>
      </c>
      <c r="B750" s="3" t="s">
        <v>2429</v>
      </c>
      <c r="C750" s="3" t="s">
        <v>2430</v>
      </c>
      <c r="D750" s="3" t="s">
        <v>45</v>
      </c>
      <c r="E750" s="3" t="s">
        <v>37</v>
      </c>
      <c r="F750" s="3" t="s">
        <v>2417</v>
      </c>
      <c r="G750" s="3" t="s">
        <v>2418</v>
      </c>
      <c r="H750" s="3" t="s">
        <v>2431</v>
      </c>
      <c r="I750" s="3" t="str">
        <f>HYPERLINK("http://www.jccm.es/sede/tramite/JEQ","AUTORIZACION DE TALLER DE DISPOSITIVOS DE LIMITACION DE VELOCIDAD")</f>
        <v>AUTORIZACION DE TALLER DE DISPOSITIVOS DE LIMITACION DE VELOCIDAD</v>
      </c>
      <c r="J750" s="3" t="s">
        <v>42</v>
      </c>
      <c r="K750" s="3" t="s">
        <v>41</v>
      </c>
      <c r="L750" s="3" t="s">
        <v>42</v>
      </c>
      <c r="M750" s="3" t="s">
        <v>42</v>
      </c>
    </row>
    <row r="751" spans="1:13" ht="126.6">
      <c r="A751" s="22" t="s">
        <v>11</v>
      </c>
      <c r="B751" s="3" t="s">
        <v>2432</v>
      </c>
      <c r="C751" s="3" t="s">
        <v>2433</v>
      </c>
      <c r="D751" s="3" t="s">
        <v>51</v>
      </c>
      <c r="E751" s="3" t="s">
        <v>37</v>
      </c>
      <c r="F751" s="3" t="s">
        <v>2417</v>
      </c>
      <c r="G751" s="3" t="s">
        <v>2418</v>
      </c>
      <c r="H751" s="3" t="s">
        <v>2434</v>
      </c>
      <c r="I751" s="3" t="str">
        <f>HYPERLINK("http://www.jccm.es/sede/tramite/JD3","BAJA DE UN ORGANISMO AUTORIZADO DE VERIFICACION METROLOGICA")</f>
        <v>BAJA DE UN ORGANISMO AUTORIZADO DE VERIFICACION METROLOGICA</v>
      </c>
      <c r="J751" s="3" t="s">
        <v>42</v>
      </c>
      <c r="K751" s="3" t="s">
        <v>41</v>
      </c>
      <c r="L751" s="3" t="s">
        <v>42</v>
      </c>
      <c r="M751" s="3" t="s">
        <v>41</v>
      </c>
    </row>
    <row r="752" spans="1:13" ht="207">
      <c r="A752" s="22" t="s">
        <v>11</v>
      </c>
      <c r="B752" s="3" t="s">
        <v>2435</v>
      </c>
      <c r="C752" s="3" t="s">
        <v>2436</v>
      </c>
      <c r="D752" s="3" t="s">
        <v>51</v>
      </c>
      <c r="E752" s="3" t="s">
        <v>37</v>
      </c>
      <c r="F752" s="3" t="s">
        <v>2417</v>
      </c>
      <c r="G752" s="3" t="s">
        <v>2418</v>
      </c>
      <c r="H752" s="3" t="s">
        <v>2437</v>
      </c>
      <c r="I752" s="3" t="str">
        <f>HYPERLINK("http://www.jccm.es/sede/tramite/JD6","BAJA DE ENTIDAD FABRICANTE / COMERCIALIZADORA / IMPORTADORA / ARRENDADORA DE INSTRUMENTOS DE MEDIDA SOMETIDOS A CONTROL METROLOGICO DEL ESTADO.")</f>
        <v>BAJA DE ENTIDAD FABRICANTE / COMERCIALIZADORA / IMPORTADORA / ARRENDADORA DE INSTRUMENTOS DE MEDIDA SOMETIDOS A CONTROL METROLOGICO DEL ESTADO.</v>
      </c>
      <c r="J752" s="3" t="s">
        <v>42</v>
      </c>
      <c r="K752" s="3" t="s">
        <v>41</v>
      </c>
      <c r="L752" s="3" t="s">
        <v>42</v>
      </c>
      <c r="M752" s="3" t="s">
        <v>41</v>
      </c>
    </row>
    <row r="753" spans="1:13" ht="126.6">
      <c r="A753" s="22" t="s">
        <v>11</v>
      </c>
      <c r="B753" s="3" t="s">
        <v>2438</v>
      </c>
      <c r="C753" s="3" t="s">
        <v>2439</v>
      </c>
      <c r="D753" s="3" t="s">
        <v>51</v>
      </c>
      <c r="E753" s="3" t="s">
        <v>37</v>
      </c>
      <c r="F753" s="3" t="s">
        <v>2417</v>
      </c>
      <c r="G753" s="3" t="s">
        <v>2418</v>
      </c>
      <c r="H753" s="3" t="s">
        <v>2440</v>
      </c>
      <c r="I753" s="3" t="str">
        <f>HYPERLINK("http://www.jccm.es/sede/tramite/JEJ","BAJA DE ORGANISMO NOTIFICADO U ORGANISMO DE CONTROL METROLOGICO")</f>
        <v>BAJA DE ORGANISMO NOTIFICADO U ORGANISMO DE CONTROL METROLOGICO</v>
      </c>
      <c r="J753" s="3" t="s">
        <v>42</v>
      </c>
      <c r="K753" s="3" t="s">
        <v>41</v>
      </c>
      <c r="L753" s="3" t="s">
        <v>42</v>
      </c>
      <c r="M753" s="3" t="s">
        <v>41</v>
      </c>
    </row>
    <row r="754" spans="1:13" ht="172.5">
      <c r="A754" s="22" t="s">
        <v>11</v>
      </c>
      <c r="B754" s="3" t="s">
        <v>2441</v>
      </c>
      <c r="C754" s="3" t="s">
        <v>2442</v>
      </c>
      <c r="D754" s="3" t="s">
        <v>327</v>
      </c>
      <c r="E754" s="3" t="s">
        <v>46</v>
      </c>
      <c r="F754" s="3" t="s">
        <v>2417</v>
      </c>
      <c r="G754" s="3" t="s">
        <v>2418</v>
      </c>
      <c r="H754" s="3" t="s">
        <v>2443</v>
      </c>
      <c r="I754" s="3" t="str">
        <f>HYPERLINK("http://www.jccm.es/sede/tramite/J9E","AUTORIZACION ADMINISTRATIVA PREVIA  DE NUEVA INSTALACION  O MODIFICACION SUSTANCIAL DE INSTALACION  ELECTRICA DEL GRUPO PRIMERO.")</f>
        <v>AUTORIZACION ADMINISTRATIVA PREVIA  DE NUEVA INSTALACION  O MODIFICACION SUSTANCIAL DE INSTALACION  ELECTRICA DEL GRUPO PRIMERO.</v>
      </c>
      <c r="J754" s="3" t="s">
        <v>42</v>
      </c>
      <c r="K754" s="3" t="s">
        <v>41</v>
      </c>
      <c r="L754" s="3" t="s">
        <v>42</v>
      </c>
      <c r="M754" s="3" t="s">
        <v>42</v>
      </c>
    </row>
    <row r="755" spans="1:13" ht="195.6">
      <c r="A755" s="22" t="s">
        <v>11</v>
      </c>
      <c r="B755" s="3" t="s">
        <v>2444</v>
      </c>
      <c r="C755" s="3" t="s">
        <v>2445</v>
      </c>
      <c r="D755" s="3" t="s">
        <v>45</v>
      </c>
      <c r="E755" s="3" t="s">
        <v>46</v>
      </c>
      <c r="F755" s="3" t="s">
        <v>2417</v>
      </c>
      <c r="G755" s="3" t="s">
        <v>2418</v>
      </c>
      <c r="H755" s="3" t="s">
        <v>2446</v>
      </c>
      <c r="I755" s="3" t="str">
        <f>HYPERLINK("http://www.jccm.es/sede/tramite/J9H","AUTORIZACION ADMINISTRATIVA DE CONSTRUCCION DE NUEVA INSTALACION  O MODIFICACION SUSTANCIAL DE INSTALACION  ELECTRICA DEL GRUPO PRIMERO.")</f>
        <v>AUTORIZACION ADMINISTRATIVA DE CONSTRUCCION DE NUEVA INSTALACION  O MODIFICACION SUSTANCIAL DE INSTALACION  ELECTRICA DEL GRUPO PRIMERO.</v>
      </c>
      <c r="J755" s="3" t="s">
        <v>42</v>
      </c>
      <c r="K755" s="3" t="s">
        <v>41</v>
      </c>
      <c r="L755" s="3" t="s">
        <v>42</v>
      </c>
      <c r="M755" s="3" t="s">
        <v>42</v>
      </c>
    </row>
    <row r="756" spans="1:13" ht="207">
      <c r="A756" s="22" t="s">
        <v>11</v>
      </c>
      <c r="B756" s="3" t="s">
        <v>2447</v>
      </c>
      <c r="C756" s="3" t="s">
        <v>2448</v>
      </c>
      <c r="D756" s="3" t="s">
        <v>45</v>
      </c>
      <c r="E756" s="3" t="s">
        <v>46</v>
      </c>
      <c r="F756" s="3" t="s">
        <v>2417</v>
      </c>
      <c r="G756" s="3" t="s">
        <v>2418</v>
      </c>
      <c r="H756" s="3" t="s">
        <v>2449</v>
      </c>
      <c r="I756" s="3" t="str">
        <f>HYPERLINK("http://www.jccm.es/sede/tramite/J9M","AUTORIZACION ADMINISTRATIVA PREVIA  Y DE CONSTRUCCION DE NUEVA INSTALACION  O MODIFICACION SUSTANCIAL DE INSTALACION  ELECTRICA DEL GRUPO SEGUNDO.")</f>
        <v>AUTORIZACION ADMINISTRATIVA PREVIA  Y DE CONSTRUCCION DE NUEVA INSTALACION  O MODIFICACION SUSTANCIAL DE INSTALACION  ELECTRICA DEL GRUPO SEGUNDO.</v>
      </c>
      <c r="J756" s="3" t="s">
        <v>42</v>
      </c>
      <c r="K756" s="3" t="s">
        <v>41</v>
      </c>
      <c r="L756" s="3" t="s">
        <v>42</v>
      </c>
      <c r="M756" s="3" t="s">
        <v>42</v>
      </c>
    </row>
    <row r="757" spans="1:13" ht="126.6">
      <c r="A757" s="22" t="s">
        <v>11</v>
      </c>
      <c r="B757" s="3" t="s">
        <v>2450</v>
      </c>
      <c r="C757" s="3" t="s">
        <v>2451</v>
      </c>
      <c r="D757" s="3" t="s">
        <v>2452</v>
      </c>
      <c r="E757" s="3" t="s">
        <v>95</v>
      </c>
      <c r="F757" s="3" t="s">
        <v>2417</v>
      </c>
      <c r="G757" s="3" t="s">
        <v>2418</v>
      </c>
      <c r="H757" s="3" t="s">
        <v>2453</v>
      </c>
      <c r="I757" s="3" t="str">
        <f>HYPERLINK("http://www.jccm.es/sede/tramite/IZ5","COMUNICACION DE INSTALACIONES ELECTRICAS DEL GRUPO TERCERO")</f>
        <v>COMUNICACION DE INSTALACIONES ELECTRICAS DEL GRUPO TERCERO</v>
      </c>
      <c r="J757" s="3" t="s">
        <v>42</v>
      </c>
      <c r="K757" s="3" t="s">
        <v>41</v>
      </c>
      <c r="L757" s="3" t="s">
        <v>42</v>
      </c>
      <c r="M757" s="3" t="s">
        <v>41</v>
      </c>
    </row>
    <row r="758" spans="1:13" ht="126.6">
      <c r="A758" s="22" t="s">
        <v>11</v>
      </c>
      <c r="B758" s="3" t="s">
        <v>2454</v>
      </c>
      <c r="C758" s="3" t="s">
        <v>2455</v>
      </c>
      <c r="D758" s="3" t="s">
        <v>62</v>
      </c>
      <c r="E758" s="3" t="s">
        <v>46</v>
      </c>
      <c r="F758" s="3" t="s">
        <v>2417</v>
      </c>
      <c r="G758" s="3" t="s">
        <v>2418</v>
      </c>
      <c r="H758" s="3" t="s">
        <v>2456</v>
      </c>
      <c r="I758" s="3" t="str">
        <f>HYPERLINK("http://www.jccm.es/sede/tramite/IZ4","AUTORIZACION DE TRANSMISION DE INSTALACIONES ELECTRICAS AUTORIZADAS .")</f>
        <v>AUTORIZACION DE TRANSMISION DE INSTALACIONES ELECTRICAS AUTORIZADAS .</v>
      </c>
      <c r="J758" s="3" t="s">
        <v>42</v>
      </c>
      <c r="K758" s="3" t="s">
        <v>41</v>
      </c>
      <c r="L758" s="3" t="s">
        <v>42</v>
      </c>
      <c r="M758" s="3" t="s">
        <v>41</v>
      </c>
    </row>
    <row r="759" spans="1:13" ht="126.6">
      <c r="A759" s="22" t="s">
        <v>11</v>
      </c>
      <c r="B759" s="3" t="s">
        <v>2457</v>
      </c>
      <c r="C759" s="3" t="s">
        <v>2458</v>
      </c>
      <c r="D759" s="3" t="s">
        <v>62</v>
      </c>
      <c r="E759" s="3" t="s">
        <v>46</v>
      </c>
      <c r="F759" s="3" t="s">
        <v>2417</v>
      </c>
      <c r="G759" s="3" t="s">
        <v>2418</v>
      </c>
      <c r="H759" s="3" t="s">
        <v>2459</v>
      </c>
      <c r="I759" s="3" t="str">
        <f>HYPERLINK("http://www.jccm.es/sede/tramite/IZ3","AUTORIZACION DE CIERRE DE INSTALACIONES ELECTRICAS AUTORIZADAS.")</f>
        <v>AUTORIZACION DE CIERRE DE INSTALACIONES ELECTRICAS AUTORIZADAS.</v>
      </c>
      <c r="J759" s="3" t="s">
        <v>42</v>
      </c>
      <c r="K759" s="3" t="s">
        <v>41</v>
      </c>
      <c r="L759" s="3" t="s">
        <v>42</v>
      </c>
      <c r="M759" s="3" t="s">
        <v>41</v>
      </c>
    </row>
    <row r="760" spans="1:13" ht="241.5">
      <c r="A760" s="22" t="s">
        <v>11</v>
      </c>
      <c r="B760" s="3" t="s">
        <v>2460</v>
      </c>
      <c r="C760" s="3" t="s">
        <v>2461</v>
      </c>
      <c r="D760" s="3" t="s">
        <v>327</v>
      </c>
      <c r="E760" s="3" t="s">
        <v>46</v>
      </c>
      <c r="F760" s="3" t="s">
        <v>2417</v>
      </c>
      <c r="G760" s="3" t="s">
        <v>2418</v>
      </c>
      <c r="H760" s="3" t="s">
        <v>2462</v>
      </c>
      <c r="I760" s="3" t="str">
        <f>HYPERLINK("http://www.jccm.es/sede/tramite/J9S","AUTORIZACION ADMINISTRATIVA PARA LA CONSTRUCCION, AMPLIACION O MODIFICACION SUSTANCIAL DE INSTALACION DE TRASPORTE SECUNDARIO DE GAS DE COMPETENCIA AUTONOMICA")</f>
        <v>AUTORIZACION ADMINISTRATIVA PARA LA CONSTRUCCION, AMPLIACION O MODIFICACION SUSTANCIAL DE INSTALACION DE TRASPORTE SECUNDARIO DE GAS DE COMPETENCIA AUTONOMICA</v>
      </c>
      <c r="J760" s="3" t="s">
        <v>42</v>
      </c>
      <c r="K760" s="3" t="s">
        <v>41</v>
      </c>
      <c r="L760" s="3" t="s">
        <v>42</v>
      </c>
      <c r="M760" s="3" t="s">
        <v>42</v>
      </c>
    </row>
    <row r="761" spans="1:13" ht="230.1">
      <c r="A761" s="22" t="s">
        <v>11</v>
      </c>
      <c r="B761" s="3" t="s">
        <v>2463</v>
      </c>
      <c r="C761" s="3" t="s">
        <v>2464</v>
      </c>
      <c r="D761" s="3" t="s">
        <v>327</v>
      </c>
      <c r="E761" s="3" t="s">
        <v>46</v>
      </c>
      <c r="F761" s="3" t="s">
        <v>2417</v>
      </c>
      <c r="G761" s="3" t="s">
        <v>2418</v>
      </c>
      <c r="H761" s="3" t="s">
        <v>2465</v>
      </c>
      <c r="I761" s="3" t="str">
        <f>HYPERLINK("http://www.jccm.es/sede/tramite/J9R","AUTORIZACION ADMINISTRATIVA PARA LA CONSTRUCCION, AMPLIACION O MODIFICACION SUSTANCIAL DE INSTALACIONES DE DISTRIBUCION DE GAS DE COMPETENCIA AUTONOMICA")</f>
        <v>AUTORIZACION ADMINISTRATIVA PARA LA CONSTRUCCION, AMPLIACION O MODIFICACION SUSTANCIAL DE INSTALACIONES DE DISTRIBUCION DE GAS DE COMPETENCIA AUTONOMICA</v>
      </c>
      <c r="J761" s="3" t="s">
        <v>42</v>
      </c>
      <c r="K761" s="3" t="s">
        <v>41</v>
      </c>
      <c r="L761" s="3" t="s">
        <v>42</v>
      </c>
      <c r="M761" s="3" t="s">
        <v>41</v>
      </c>
    </row>
    <row r="762" spans="1:13" ht="149.44999999999999">
      <c r="A762" s="22" t="s">
        <v>11</v>
      </c>
      <c r="B762" s="3" t="s">
        <v>2466</v>
      </c>
      <c r="C762" s="3" t="s">
        <v>2467</v>
      </c>
      <c r="D762" s="3" t="s">
        <v>45</v>
      </c>
      <c r="E762" s="3" t="s">
        <v>46</v>
      </c>
      <c r="F762" s="3" t="s">
        <v>2417</v>
      </c>
      <c r="G762" s="3" t="s">
        <v>2418</v>
      </c>
      <c r="H762" s="3" t="s">
        <v>2468</v>
      </c>
      <c r="I762" s="3" t="str">
        <f>HYPERLINK("http://www.jccm.es/sede/tramite/J9P","AUTORIZACION ADMINISTRATIVA PARA LA TRANSMISION DE INSTALACIONES GASISTAS DE COMPETENCIA AUTONOMICA")</f>
        <v>AUTORIZACION ADMINISTRATIVA PARA LA TRANSMISION DE INSTALACIONES GASISTAS DE COMPETENCIA AUTONOMICA</v>
      </c>
      <c r="J762" s="3" t="s">
        <v>42</v>
      </c>
      <c r="K762" s="3" t="s">
        <v>41</v>
      </c>
      <c r="L762" s="3" t="s">
        <v>42</v>
      </c>
      <c r="M762" s="3" t="s">
        <v>41</v>
      </c>
    </row>
    <row r="763" spans="1:13" ht="138">
      <c r="A763" s="22" t="s">
        <v>11</v>
      </c>
      <c r="B763" s="3" t="s">
        <v>2469</v>
      </c>
      <c r="C763" s="3" t="s">
        <v>2470</v>
      </c>
      <c r="D763" s="3" t="s">
        <v>45</v>
      </c>
      <c r="E763" s="3" t="s">
        <v>46</v>
      </c>
      <c r="F763" s="3" t="s">
        <v>2417</v>
      </c>
      <c r="G763" s="3" t="s">
        <v>2418</v>
      </c>
      <c r="H763" s="3" t="s">
        <v>2471</v>
      </c>
      <c r="I763" s="3" t="str">
        <f>HYPERLINK("http://www.jccm.es/sede/tramite/J9L","AUTORIZACION ADMINISTRATIVA PARA EL CIERRE DE INSTALACIONES GASISTAS DE COMPETENCIA AUTONOMICA")</f>
        <v>AUTORIZACION ADMINISTRATIVA PARA EL CIERRE DE INSTALACIONES GASISTAS DE COMPETENCIA AUTONOMICA</v>
      </c>
      <c r="J763" s="3" t="s">
        <v>42</v>
      </c>
      <c r="K763" s="3" t="s">
        <v>41</v>
      </c>
      <c r="L763" s="3" t="s">
        <v>42</v>
      </c>
      <c r="M763" s="3" t="s">
        <v>41</v>
      </c>
    </row>
    <row r="764" spans="1:13" ht="126.6">
      <c r="A764" s="22" t="s">
        <v>11</v>
      </c>
      <c r="B764" s="3" t="s">
        <v>2472</v>
      </c>
      <c r="C764" s="3" t="s">
        <v>2473</v>
      </c>
      <c r="D764" s="3" t="s">
        <v>327</v>
      </c>
      <c r="E764" s="3" t="s">
        <v>46</v>
      </c>
      <c r="F764" s="3" t="s">
        <v>2417</v>
      </c>
      <c r="G764" s="3" t="s">
        <v>2418</v>
      </c>
      <c r="H764" s="3" t="s">
        <v>2474</v>
      </c>
      <c r="I764" s="3" t="str">
        <f>HYPERLINK("http://www.jccm.es/sede/tramite/J93","AUTORIZACION SECCIONES A)")</f>
        <v>AUTORIZACION SECCIONES A)</v>
      </c>
      <c r="J764" s="3" t="s">
        <v>42</v>
      </c>
      <c r="K764" s="3" t="s">
        <v>41</v>
      </c>
      <c r="L764" s="3" t="s">
        <v>42</v>
      </c>
      <c r="M764" s="3" t="s">
        <v>41</v>
      </c>
    </row>
    <row r="765" spans="1:13" ht="126.6">
      <c r="A765" s="22" t="s">
        <v>11</v>
      </c>
      <c r="B765" s="3" t="s">
        <v>2475</v>
      </c>
      <c r="C765" s="3" t="s">
        <v>2476</v>
      </c>
      <c r="D765" s="3" t="s">
        <v>327</v>
      </c>
      <c r="E765" s="3" t="s">
        <v>46</v>
      </c>
      <c r="F765" s="3" t="s">
        <v>2417</v>
      </c>
      <c r="G765" s="3" t="s">
        <v>2418</v>
      </c>
      <c r="H765" s="3" t="s">
        <v>2477</v>
      </c>
      <c r="I765" s="3" t="str">
        <f>HYPERLINK("http://www.jccm.es/sede/tramite/J94","AUTORIZACION SECCIONES B) (EXCEPTO AGUAS)")</f>
        <v>AUTORIZACION SECCIONES B) (EXCEPTO AGUAS)</v>
      </c>
      <c r="J765" s="3" t="s">
        <v>42</v>
      </c>
      <c r="K765" s="3" t="s">
        <v>41</v>
      </c>
      <c r="L765" s="3" t="s">
        <v>42</v>
      </c>
      <c r="M765" s="3" t="s">
        <v>41</v>
      </c>
    </row>
    <row r="766" spans="1:13" ht="126.6">
      <c r="A766" s="22" t="s">
        <v>11</v>
      </c>
      <c r="B766" s="3" t="s">
        <v>2478</v>
      </c>
      <c r="C766" s="3" t="s">
        <v>2479</v>
      </c>
      <c r="D766" s="3" t="s">
        <v>327</v>
      </c>
      <c r="E766" s="3" t="s">
        <v>46</v>
      </c>
      <c r="F766" s="3" t="s">
        <v>2417</v>
      </c>
      <c r="G766" s="3" t="s">
        <v>2418</v>
      </c>
      <c r="H766" s="3" t="s">
        <v>2480</v>
      </c>
      <c r="I766" s="3" t="str">
        <f>HYPERLINK("http://www.jccm.es/sede/tramite/I5O","OTORGAMIENTO CONCESION DIRECTA DE SECCION C) Y D)")</f>
        <v>OTORGAMIENTO CONCESION DIRECTA DE SECCION C) Y D)</v>
      </c>
      <c r="J766" s="3" t="s">
        <v>42</v>
      </c>
      <c r="K766" s="3" t="s">
        <v>41</v>
      </c>
      <c r="L766" s="3" t="s">
        <v>42</v>
      </c>
      <c r="M766" s="3" t="s">
        <v>41</v>
      </c>
    </row>
    <row r="767" spans="1:13" ht="126.6">
      <c r="A767" s="22" t="s">
        <v>11</v>
      </c>
      <c r="B767" s="3" t="s">
        <v>2481</v>
      </c>
      <c r="C767" s="3" t="s">
        <v>2482</v>
      </c>
      <c r="D767" s="3" t="s">
        <v>327</v>
      </c>
      <c r="E767" s="3" t="s">
        <v>46</v>
      </c>
      <c r="F767" s="3" t="s">
        <v>2417</v>
      </c>
      <c r="G767" s="3" t="s">
        <v>2418</v>
      </c>
      <c r="H767" s="3" t="s">
        <v>2483</v>
      </c>
      <c r="I767" s="3" t="str">
        <f>HYPERLINK("http://www.jccm.es/sede/tramite/J8S","OTORGAMIENTO CONCESION DERIVADA DE SECCION C) Y D)")</f>
        <v>OTORGAMIENTO CONCESION DERIVADA DE SECCION C) Y D)</v>
      </c>
      <c r="J767" s="3" t="s">
        <v>42</v>
      </c>
      <c r="K767" s="3" t="s">
        <v>41</v>
      </c>
      <c r="L767" s="3" t="s">
        <v>42</v>
      </c>
      <c r="M767" s="3" t="s">
        <v>41</v>
      </c>
    </row>
    <row r="768" spans="1:13" ht="126.6">
      <c r="A768" s="22" t="s">
        <v>11</v>
      </c>
      <c r="B768" s="3" t="s">
        <v>2484</v>
      </c>
      <c r="C768" s="3" t="s">
        <v>2485</v>
      </c>
      <c r="D768" s="3" t="s">
        <v>45</v>
      </c>
      <c r="E768" s="3" t="s">
        <v>46</v>
      </c>
      <c r="F768" s="3" t="s">
        <v>2417</v>
      </c>
      <c r="G768" s="3" t="s">
        <v>2418</v>
      </c>
      <c r="H768" s="3" t="s">
        <v>2486</v>
      </c>
      <c r="I768" s="3" t="str">
        <f>HYPERLINK("http://www.jccm.es/sede/tramite/J8Y","OTORGAMIENTO DE DEMASIAS")</f>
        <v>OTORGAMIENTO DE DEMASIAS</v>
      </c>
      <c r="J768" s="3" t="s">
        <v>42</v>
      </c>
      <c r="K768" s="3" t="s">
        <v>41</v>
      </c>
      <c r="L768" s="3" t="s">
        <v>42</v>
      </c>
      <c r="M768" s="3" t="s">
        <v>41</v>
      </c>
    </row>
    <row r="769" spans="1:13" ht="126.6">
      <c r="A769" s="22" t="s">
        <v>11</v>
      </c>
      <c r="B769" s="3" t="s">
        <v>2487</v>
      </c>
      <c r="C769" s="3" t="s">
        <v>2488</v>
      </c>
      <c r="D769" s="3" t="s">
        <v>327</v>
      </c>
      <c r="E769" s="3" t="s">
        <v>46</v>
      </c>
      <c r="F769" s="3" t="s">
        <v>2417</v>
      </c>
      <c r="G769" s="3" t="s">
        <v>2418</v>
      </c>
      <c r="H769" s="3" t="s">
        <v>2489</v>
      </c>
      <c r="I769" s="3" t="str">
        <f>HYPERLINK("http://www.jccm.es/sede/tramite/I5N","OTORGAMIENTO PERMISO DE INVESTIGACION SECCION C) Y D)")</f>
        <v>OTORGAMIENTO PERMISO DE INVESTIGACION SECCION C) Y D)</v>
      </c>
      <c r="J769" s="3" t="s">
        <v>42</v>
      </c>
      <c r="K769" s="3" t="s">
        <v>41</v>
      </c>
      <c r="L769" s="3" t="s">
        <v>42</v>
      </c>
      <c r="M769" s="3" t="s">
        <v>42</v>
      </c>
    </row>
    <row r="770" spans="1:13" ht="126.6">
      <c r="A770" s="22" t="s">
        <v>11</v>
      </c>
      <c r="B770" s="3" t="s">
        <v>2490</v>
      </c>
      <c r="C770" s="3" t="s">
        <v>2491</v>
      </c>
      <c r="D770" s="3" t="s">
        <v>327</v>
      </c>
      <c r="E770" s="3" t="s">
        <v>46</v>
      </c>
      <c r="F770" s="3" t="s">
        <v>2417</v>
      </c>
      <c r="G770" s="3" t="s">
        <v>2418</v>
      </c>
      <c r="H770" s="3" t="s">
        <v>2492</v>
      </c>
      <c r="I770" s="3" t="str">
        <f>HYPERLINK("http://www.jccm.es/sede/tramite/I5M","OTORGAMIENTO PERMISO DE EXPLORACION DE RECURSOS DE LA SECCION C) O D)")</f>
        <v>OTORGAMIENTO PERMISO DE EXPLORACION DE RECURSOS DE LA SECCION C) O D)</v>
      </c>
      <c r="J770" s="3" t="s">
        <v>42</v>
      </c>
      <c r="K770" s="3" t="s">
        <v>41</v>
      </c>
      <c r="L770" s="3" t="s">
        <v>42</v>
      </c>
      <c r="M770" s="3" t="s">
        <v>42</v>
      </c>
    </row>
    <row r="771" spans="1:13" ht="126.6">
      <c r="A771" s="22" t="s">
        <v>11</v>
      </c>
      <c r="B771" s="3" t="s">
        <v>2493</v>
      </c>
      <c r="C771" s="3" t="s">
        <v>2494</v>
      </c>
      <c r="D771" s="3" t="s">
        <v>45</v>
      </c>
      <c r="E771" s="3" t="s">
        <v>46</v>
      </c>
      <c r="F771" s="3" t="s">
        <v>2417</v>
      </c>
      <c r="G771" s="3" t="s">
        <v>2418</v>
      </c>
      <c r="H771" s="3" t="s">
        <v>2495</v>
      </c>
      <c r="I771" s="3" t="str">
        <f>HYPERLINK("http://www.jccm.es/sede/tramite/J91","AUTORIZACION DE PRORROGAS DE DERECHOS MINEROS")</f>
        <v>AUTORIZACION DE PRORROGAS DE DERECHOS MINEROS</v>
      </c>
      <c r="J771" s="3" t="s">
        <v>42</v>
      </c>
      <c r="K771" s="3" t="s">
        <v>41</v>
      </c>
      <c r="L771" s="3" t="s">
        <v>42</v>
      </c>
      <c r="M771" s="3" t="s">
        <v>41</v>
      </c>
    </row>
    <row r="772" spans="1:13" ht="126.6">
      <c r="A772" s="22" t="s">
        <v>11</v>
      </c>
      <c r="B772" s="3" t="s">
        <v>2496</v>
      </c>
      <c r="C772" s="3" t="s">
        <v>2497</v>
      </c>
      <c r="D772" s="3" t="s">
        <v>45</v>
      </c>
      <c r="E772" s="3" t="s">
        <v>46</v>
      </c>
      <c r="F772" s="3" t="s">
        <v>2417</v>
      </c>
      <c r="G772" s="3" t="s">
        <v>2418</v>
      </c>
      <c r="H772" s="3" t="s">
        <v>2498</v>
      </c>
      <c r="I772" s="3" t="str">
        <f>HYPERLINK("http://www.jccm.es/sede/tramite/J8Z","AUTORIZACION DE ESTABLECIMIENTOS DE BENEFICIO")</f>
        <v>AUTORIZACION DE ESTABLECIMIENTOS DE BENEFICIO</v>
      </c>
      <c r="J772" s="3" t="s">
        <v>42</v>
      </c>
      <c r="K772" s="3" t="s">
        <v>41</v>
      </c>
      <c r="L772" s="3" t="s">
        <v>42</v>
      </c>
      <c r="M772" s="3" t="s">
        <v>41</v>
      </c>
    </row>
    <row r="773" spans="1:13" ht="126.6">
      <c r="A773" s="22" t="s">
        <v>11</v>
      </c>
      <c r="B773" s="3" t="s">
        <v>2499</v>
      </c>
      <c r="C773" s="3" t="s">
        <v>2500</v>
      </c>
      <c r="D773" s="3" t="s">
        <v>45</v>
      </c>
      <c r="E773" s="3" t="s">
        <v>46</v>
      </c>
      <c r="F773" s="3" t="s">
        <v>2417</v>
      </c>
      <c r="G773" s="3" t="s">
        <v>2418</v>
      </c>
      <c r="H773" s="3" t="s">
        <v>2501</v>
      </c>
      <c r="I773" s="3" t="str">
        <f>HYPERLINK("http://www.jccm.es/sede/tramite/J8Q","APROBACION PROYECTOS ALUMBRAMIENTO DE AGUAS SUBTERRANEAS")</f>
        <v>APROBACION PROYECTOS ALUMBRAMIENTO DE AGUAS SUBTERRANEAS</v>
      </c>
      <c r="J773" s="3" t="s">
        <v>42</v>
      </c>
      <c r="K773" s="3" t="s">
        <v>41</v>
      </c>
      <c r="L773" s="3" t="s">
        <v>42</v>
      </c>
      <c r="M773" s="3" t="s">
        <v>41</v>
      </c>
    </row>
    <row r="774" spans="1:13" ht="126.6">
      <c r="A774" s="22" t="s">
        <v>11</v>
      </c>
      <c r="B774" s="3" t="s">
        <v>2502</v>
      </c>
      <c r="C774" s="3" t="s">
        <v>2503</v>
      </c>
      <c r="D774" s="3" t="s">
        <v>45</v>
      </c>
      <c r="E774" s="3" t="s">
        <v>46</v>
      </c>
      <c r="F774" s="3" t="s">
        <v>2417</v>
      </c>
      <c r="G774" s="3" t="s">
        <v>2418</v>
      </c>
      <c r="H774" s="3" t="s">
        <v>2504</v>
      </c>
      <c r="I774" s="3" t="str">
        <f>HYPERLINK("http://www.jccm.es/sede/tramite/J95","AUTORIZACION DE SUSPENSION TEMPORAL, ABANDONO DEFINITIVO Y REAPERTURA DE LABORES")</f>
        <v>AUTORIZACION DE SUSPENSION TEMPORAL, ABANDONO DEFINITIVO Y REAPERTURA DE LABORES</v>
      </c>
      <c r="J774" s="3" t="s">
        <v>42</v>
      </c>
      <c r="K774" s="3" t="s">
        <v>41</v>
      </c>
      <c r="L774" s="3" t="s">
        <v>42</v>
      </c>
      <c r="M774" s="3" t="s">
        <v>41</v>
      </c>
    </row>
    <row r="775" spans="1:13" ht="126.6">
      <c r="A775" s="22" t="s">
        <v>11</v>
      </c>
      <c r="B775" s="3" t="s">
        <v>2505</v>
      </c>
      <c r="C775" s="3" t="s">
        <v>2506</v>
      </c>
      <c r="D775" s="3" t="s">
        <v>45</v>
      </c>
      <c r="E775" s="3" t="s">
        <v>46</v>
      </c>
      <c r="F775" s="3" t="s">
        <v>2417</v>
      </c>
      <c r="G775" s="3" t="s">
        <v>2418</v>
      </c>
      <c r="H775" s="3" t="s">
        <v>2507</v>
      </c>
      <c r="I775" s="3" t="str">
        <f>HYPERLINK("http://www.jccm.es/sede/tramite/J96","AUTORIZACION TRANSMISION DE DERECHOS MINEROS")</f>
        <v>AUTORIZACION TRANSMISION DE DERECHOS MINEROS</v>
      </c>
      <c r="J775" s="3" t="s">
        <v>42</v>
      </c>
      <c r="K775" s="3" t="s">
        <v>41</v>
      </c>
      <c r="L775" s="3" t="s">
        <v>42</v>
      </c>
      <c r="M775" s="3" t="s">
        <v>41</v>
      </c>
    </row>
    <row r="776" spans="1:13" ht="138">
      <c r="A776" s="22" t="s">
        <v>11</v>
      </c>
      <c r="B776" s="3" t="s">
        <v>2508</v>
      </c>
      <c r="C776" s="3" t="s">
        <v>2509</v>
      </c>
      <c r="D776" s="3" t="s">
        <v>45</v>
      </c>
      <c r="E776" s="3" t="s">
        <v>46</v>
      </c>
      <c r="F776" s="3" t="s">
        <v>2417</v>
      </c>
      <c r="G776" s="3" t="s">
        <v>2510</v>
      </c>
      <c r="H776" s="3" t="s">
        <v>2511</v>
      </c>
      <c r="I776" s="3" t="str">
        <f>HYPERLINK("http://www.jccm.es/sede/tramite/261","SOLICITUD AUTORIZACION DE SUELTA DE PIEZAS DE CAZA VIVA")</f>
        <v>SOLICITUD AUTORIZACION DE SUELTA DE PIEZAS DE CAZA VIVA</v>
      </c>
      <c r="J776" s="3" t="s">
        <v>41</v>
      </c>
      <c r="K776" s="3" t="s">
        <v>41</v>
      </c>
      <c r="L776" s="3" t="s">
        <v>42</v>
      </c>
      <c r="M776" s="3" t="s">
        <v>41</v>
      </c>
    </row>
    <row r="777" spans="1:13" ht="138">
      <c r="A777" s="22" t="s">
        <v>11</v>
      </c>
      <c r="B777" s="3" t="s">
        <v>2512</v>
      </c>
      <c r="C777" s="3" t="s">
        <v>2513</v>
      </c>
      <c r="D777" s="3" t="s">
        <v>45</v>
      </c>
      <c r="E777" s="3" t="s">
        <v>46</v>
      </c>
      <c r="F777" s="3" t="s">
        <v>2417</v>
      </c>
      <c r="G777" s="3" t="s">
        <v>2510</v>
      </c>
      <c r="H777" s="3" t="s">
        <v>2514</v>
      </c>
      <c r="I777" s="3" t="str">
        <f>HYPERLINK("http://www.jccm.es/sede/tramite/IJV","AUTORIZACION / MODIFICACION DE CERRAMIENTO CINEGETICO")</f>
        <v>AUTORIZACION / MODIFICACION DE CERRAMIENTO CINEGETICO</v>
      </c>
      <c r="J777" s="3" t="s">
        <v>41</v>
      </c>
      <c r="K777" s="3" t="s">
        <v>41</v>
      </c>
      <c r="L777" s="3" t="s">
        <v>42</v>
      </c>
      <c r="M777" s="3" t="s">
        <v>41</v>
      </c>
    </row>
    <row r="778" spans="1:13" ht="138">
      <c r="A778" s="22" t="s">
        <v>11</v>
      </c>
      <c r="B778" s="3" t="s">
        <v>2515</v>
      </c>
      <c r="C778" s="3" t="s">
        <v>2516</v>
      </c>
      <c r="D778" s="3" t="s">
        <v>45</v>
      </c>
      <c r="E778" s="3" t="s">
        <v>46</v>
      </c>
      <c r="F778" s="3" t="s">
        <v>2417</v>
      </c>
      <c r="G778" s="3" t="s">
        <v>2510</v>
      </c>
      <c r="H778" s="3" t="s">
        <v>2517</v>
      </c>
      <c r="I778" s="3" t="str">
        <f>HYPERLINK("http://www.jccm.es/sede/tramite/K0V","AUTORIZACION EXCEPCIONAL DE CAPTURA DE ESPECIES CINEGETICAS")</f>
        <v>AUTORIZACION EXCEPCIONAL DE CAPTURA DE ESPECIES CINEGETICAS</v>
      </c>
      <c r="J778" s="3" t="s">
        <v>42</v>
      </c>
      <c r="K778" s="3" t="s">
        <v>41</v>
      </c>
      <c r="L778" s="3" t="s">
        <v>42</v>
      </c>
      <c r="M778" s="3" t="s">
        <v>41</v>
      </c>
    </row>
    <row r="779" spans="1:13" ht="207">
      <c r="A779" s="22" t="s">
        <v>11</v>
      </c>
      <c r="B779" s="3" t="s">
        <v>2518</v>
      </c>
      <c r="C779" s="3" t="s">
        <v>2519</v>
      </c>
      <c r="D779" s="3" t="s">
        <v>2520</v>
      </c>
      <c r="E779" s="3" t="s">
        <v>37</v>
      </c>
      <c r="F779" s="3" t="s">
        <v>2417</v>
      </c>
      <c r="G779" s="3" t="s">
        <v>2510</v>
      </c>
      <c r="H779" s="3" t="s">
        <v>2521</v>
      </c>
      <c r="I779" s="3" t="str">
        <f>HYPERLINK("http://www.jccm.es/sede/tramite/JF4","COMUNICACION DE LA CELEBRACION DE MONTERIAS, GANCHOS, BATIDAS, JABALI EN MANO, OJEOS DE PERDIZ Y TIRADAS CONTEMPLADAS EN EL PLAN DE ORDENACION CINEGETICA")</f>
        <v>COMUNICACION DE LA CELEBRACION DE MONTERIAS, GANCHOS, BATIDAS, JABALI EN MANO, OJEOS DE PERDIZ Y TIRADAS CONTEMPLADAS EN EL PLAN DE ORDENACION CINEGETICA</v>
      </c>
      <c r="J779" s="3" t="s">
        <v>41</v>
      </c>
      <c r="K779" s="3" t="s">
        <v>41</v>
      </c>
      <c r="L779" s="3" t="s">
        <v>42</v>
      </c>
      <c r="M779" s="3" t="s">
        <v>41</v>
      </c>
    </row>
    <row r="780" spans="1:13" ht="138">
      <c r="A780" s="22" t="s">
        <v>11</v>
      </c>
      <c r="B780" s="3" t="s">
        <v>2522</v>
      </c>
      <c r="C780" s="3" t="s">
        <v>2523</v>
      </c>
      <c r="D780" s="3" t="s">
        <v>62</v>
      </c>
      <c r="E780" s="3" t="s">
        <v>46</v>
      </c>
      <c r="F780" s="3" t="s">
        <v>2417</v>
      </c>
      <c r="G780" s="3" t="s">
        <v>2510</v>
      </c>
      <c r="H780" s="3" t="s">
        <v>2524</v>
      </c>
      <c r="I780" s="3" t="str">
        <f>HYPERLINK("http://www.jccm.es/sede/tramite/584","AUTORIZACION PARA LA CAPTURA DE ESPECIES CINEGETICAS CON FINES CIENTIFICOS")</f>
        <v>AUTORIZACION PARA LA CAPTURA DE ESPECIES CINEGETICAS CON FINES CIENTIFICOS</v>
      </c>
      <c r="J780" s="3" t="s">
        <v>42</v>
      </c>
      <c r="K780" s="3" t="s">
        <v>41</v>
      </c>
      <c r="L780" s="3" t="s">
        <v>42</v>
      </c>
      <c r="M780" s="3" t="s">
        <v>41</v>
      </c>
    </row>
    <row r="781" spans="1:13" ht="207">
      <c r="A781" s="22" t="s">
        <v>11</v>
      </c>
      <c r="B781" s="3" t="s">
        <v>2525</v>
      </c>
      <c r="C781" s="3" t="s">
        <v>2526</v>
      </c>
      <c r="D781" s="3" t="s">
        <v>2527</v>
      </c>
      <c r="E781" s="3" t="s">
        <v>46</v>
      </c>
      <c r="F781" s="3" t="s">
        <v>2417</v>
      </c>
      <c r="G781" s="3" t="s">
        <v>2510</v>
      </c>
      <c r="H781" s="3" t="s">
        <v>2528</v>
      </c>
      <c r="I781" s="3" t="str">
        <f>HYPERLINK("http://www.jccm.es/sede/tramite/IJS","AUTORIZACION DE INSTALACIONES DE ACUICULTURA")</f>
        <v>AUTORIZACION DE INSTALACIONES DE ACUICULTURA</v>
      </c>
      <c r="J781" s="3" t="s">
        <v>42</v>
      </c>
      <c r="K781" s="3" t="s">
        <v>41</v>
      </c>
      <c r="L781" s="3" t="s">
        <v>42</v>
      </c>
      <c r="M781" s="3" t="s">
        <v>41</v>
      </c>
    </row>
    <row r="782" spans="1:13" ht="138">
      <c r="A782" s="22" t="s">
        <v>11</v>
      </c>
      <c r="B782" s="3" t="s">
        <v>2529</v>
      </c>
      <c r="C782" s="3" t="s">
        <v>2530</v>
      </c>
      <c r="D782" s="3" t="s">
        <v>45</v>
      </c>
      <c r="E782" s="3" t="s">
        <v>46</v>
      </c>
      <c r="F782" s="3" t="s">
        <v>2417</v>
      </c>
      <c r="G782" s="3" t="s">
        <v>2510</v>
      </c>
      <c r="H782" s="3" t="s">
        <v>2531</v>
      </c>
      <c r="I782" s="3" t="str">
        <f>HYPERLINK("http://www.jccm.es/sede/tramite/JFC","AUTORIZACION DE PESCA CIENTIFICA")</f>
        <v>AUTORIZACION DE PESCA CIENTIFICA</v>
      </c>
      <c r="J782" s="3" t="s">
        <v>42</v>
      </c>
      <c r="K782" s="3" t="s">
        <v>41</v>
      </c>
      <c r="L782" s="3" t="s">
        <v>42</v>
      </c>
      <c r="M782" s="3" t="s">
        <v>41</v>
      </c>
    </row>
    <row r="783" spans="1:13" ht="138">
      <c r="A783" s="22" t="s">
        <v>11</v>
      </c>
      <c r="B783" s="3" t="s">
        <v>2532</v>
      </c>
      <c r="C783" s="3" t="s">
        <v>2533</v>
      </c>
      <c r="D783" s="3" t="s">
        <v>62</v>
      </c>
      <c r="E783" s="3" t="s">
        <v>46</v>
      </c>
      <c r="F783" s="3" t="s">
        <v>2417</v>
      </c>
      <c r="G783" s="3" t="s">
        <v>2510</v>
      </c>
      <c r="H783" s="3" t="s">
        <v>2534</v>
      </c>
      <c r="I783" s="3" t="str">
        <f>HYPERLINK("http://www.jccm.es/sede/tramite/JKV","PARTICIPACION EN EL CONCURSO PARA LA CONCESION DE COTOS DE PESCA A SOCIEDADES COLABORADORAS")</f>
        <v>PARTICIPACION EN EL CONCURSO PARA LA CONCESION DE COTOS DE PESCA A SOCIEDADES COLABORADORAS</v>
      </c>
      <c r="J783" s="3" t="s">
        <v>41</v>
      </c>
      <c r="K783" s="3" t="s">
        <v>41</v>
      </c>
      <c r="L783" s="3" t="s">
        <v>42</v>
      </c>
      <c r="M783" s="3" t="s">
        <v>41</v>
      </c>
    </row>
    <row r="784" spans="1:13" ht="138">
      <c r="A784" s="22" t="s">
        <v>11</v>
      </c>
      <c r="B784" s="3" t="s">
        <v>2535</v>
      </c>
      <c r="C784" s="3" t="s">
        <v>2536</v>
      </c>
      <c r="D784" s="3" t="s">
        <v>45</v>
      </c>
      <c r="E784" s="3" t="s">
        <v>46</v>
      </c>
      <c r="F784" s="3" t="s">
        <v>2417</v>
      </c>
      <c r="G784" s="3" t="s">
        <v>2510</v>
      </c>
      <c r="H784" s="3" t="s">
        <v>2537</v>
      </c>
      <c r="I784" s="3" t="str">
        <f>HYPERLINK("http://www.jccm.es/sede/tramite/JFD","AUTORIZACION PARA EL APROVECHAMIENTO DE LA PESCA EN AGUAS DE REGIMEN PRIVADO")</f>
        <v>AUTORIZACION PARA EL APROVECHAMIENTO DE LA PESCA EN AGUAS DE REGIMEN PRIVADO</v>
      </c>
      <c r="J784" s="3" t="s">
        <v>42</v>
      </c>
      <c r="K784" s="3" t="s">
        <v>41</v>
      </c>
      <c r="L784" s="3" t="s">
        <v>42</v>
      </c>
      <c r="M784" s="3" t="s">
        <v>41</v>
      </c>
    </row>
    <row r="785" spans="1:13" ht="333.6">
      <c r="A785" s="22" t="s">
        <v>11</v>
      </c>
      <c r="B785" s="3" t="s">
        <v>2538</v>
      </c>
      <c r="C785" s="3" t="s">
        <v>2539</v>
      </c>
      <c r="D785" s="3" t="s">
        <v>45</v>
      </c>
      <c r="E785" s="3" t="s">
        <v>46</v>
      </c>
      <c r="F785" s="3" t="s">
        <v>2417</v>
      </c>
      <c r="G785" s="3" t="s">
        <v>2510</v>
      </c>
      <c r="H785" s="3" t="s">
        <v>2540</v>
      </c>
      <c r="I785" s="3" t="str">
        <f>HYPERLINK("http://www.jccm.es/sede/tramite/JGB","AUTORIZACION DE ACTUACIONES QUE MODIFIQUEN LA COMPOSICION O ESTRUCTURA DE LA VEGETACION DE ORILLAS Y MARGENES EN ZONAS DE SERVIDUMBRE DE AGUAS PUBLICAS, ASI COMO EXTRACCION DE PLANTAS ACUATICAS.")</f>
        <v>AUTORIZACION DE ACTUACIONES QUE MODIFIQUEN LA COMPOSICION O ESTRUCTURA DE LA VEGETACION DE ORILLAS Y MARGENES EN ZONAS DE SERVIDUMBRE DE AGUAS PUBLICAS, ASI COMO EXTRACCION DE PLANTAS ACUATICAS.</v>
      </c>
      <c r="J785" s="3" t="s">
        <v>42</v>
      </c>
      <c r="K785" s="3" t="s">
        <v>41</v>
      </c>
      <c r="L785" s="3" t="s">
        <v>42</v>
      </c>
      <c r="M785" s="3" t="s">
        <v>41</v>
      </c>
    </row>
    <row r="786" spans="1:13" ht="138">
      <c r="A786" s="22" t="s">
        <v>11</v>
      </c>
      <c r="B786" s="3" t="s">
        <v>2541</v>
      </c>
      <c r="C786" s="3" t="s">
        <v>2542</v>
      </c>
      <c r="D786" s="3" t="s">
        <v>45</v>
      </c>
      <c r="E786" s="3" t="s">
        <v>46</v>
      </c>
      <c r="F786" s="3" t="s">
        <v>2417</v>
      </c>
      <c r="G786" s="3" t="s">
        <v>2510</v>
      </c>
      <c r="H786" s="3" t="s">
        <v>2543</v>
      </c>
      <c r="I786" s="3" t="str">
        <f>HYPERLINK("http://www.jccm.es/sede/tramite/JFE","AUTORIZACION PARA REPOBLACIONES POR PARTICULARES O PERSONAS CONCESIONARIAS EN SUS COTOS DE PESCA")</f>
        <v>AUTORIZACION PARA REPOBLACIONES POR PARTICULARES O PERSONAS CONCESIONARIAS EN SUS COTOS DE PESCA</v>
      </c>
      <c r="J786" s="3" t="s">
        <v>42</v>
      </c>
      <c r="K786" s="3" t="s">
        <v>41</v>
      </c>
      <c r="L786" s="3" t="s">
        <v>42</v>
      </c>
      <c r="M786" s="3" t="s">
        <v>41</v>
      </c>
    </row>
    <row r="787" spans="1:13" ht="138">
      <c r="A787" s="22" t="s">
        <v>11</v>
      </c>
      <c r="B787" s="3" t="s">
        <v>2544</v>
      </c>
      <c r="C787" s="3" t="s">
        <v>2545</v>
      </c>
      <c r="D787" s="3" t="s">
        <v>45</v>
      </c>
      <c r="E787" s="3" t="s">
        <v>46</v>
      </c>
      <c r="F787" s="3" t="s">
        <v>2417</v>
      </c>
      <c r="G787" s="3" t="s">
        <v>2510</v>
      </c>
      <c r="H787" s="3" t="s">
        <v>2546</v>
      </c>
      <c r="I787" s="3" t="str">
        <f>HYPERLINK("http://www.jccm.es/sede/tramite/270","AUTORIZACION DE TRANSPORTE DE PECES Y CANGREJOS EN VIVO")</f>
        <v>AUTORIZACION DE TRANSPORTE DE PECES Y CANGREJOS EN VIVO</v>
      </c>
      <c r="J787" s="3" t="s">
        <v>42</v>
      </c>
      <c r="K787" s="3" t="s">
        <v>41</v>
      </c>
      <c r="L787" s="3" t="s">
        <v>42</v>
      </c>
      <c r="M787" s="3" t="s">
        <v>41</v>
      </c>
    </row>
    <row r="788" spans="1:13" ht="138">
      <c r="A788" s="22" t="s">
        <v>11</v>
      </c>
      <c r="B788" s="3" t="s">
        <v>2547</v>
      </c>
      <c r="C788" s="3" t="s">
        <v>2548</v>
      </c>
      <c r="D788" s="3" t="s">
        <v>62</v>
      </c>
      <c r="E788" s="3" t="s">
        <v>46</v>
      </c>
      <c r="F788" s="3" t="s">
        <v>2417</v>
      </c>
      <c r="G788" s="3" t="s">
        <v>2510</v>
      </c>
      <c r="H788" s="3" t="s">
        <v>2549</v>
      </c>
      <c r="I788" s="3" t="str">
        <f>HYPERLINK("http://www.jccm.es/sede/tramite/J7L","AUTORIZACION EXCEPCIONAL DE CAPTURA  CIENTIFICA")</f>
        <v>AUTORIZACION EXCEPCIONAL DE CAPTURA  CIENTIFICA</v>
      </c>
      <c r="J788" s="3" t="s">
        <v>42</v>
      </c>
      <c r="K788" s="3" t="s">
        <v>41</v>
      </c>
      <c r="L788" s="3" t="s">
        <v>42</v>
      </c>
      <c r="M788" s="3" t="s">
        <v>41</v>
      </c>
    </row>
    <row r="789" spans="1:13" ht="138">
      <c r="A789" s="22" t="s">
        <v>11</v>
      </c>
      <c r="B789" s="3" t="s">
        <v>2550</v>
      </c>
      <c r="C789" s="3" t="s">
        <v>2551</v>
      </c>
      <c r="D789" s="3" t="s">
        <v>45</v>
      </c>
      <c r="E789" s="3" t="s">
        <v>46</v>
      </c>
      <c r="F789" s="3" t="s">
        <v>2417</v>
      </c>
      <c r="G789" s="3" t="s">
        <v>2510</v>
      </c>
      <c r="H789" s="3" t="s">
        <v>2552</v>
      </c>
      <c r="I789" s="3" t="str">
        <f>HYPERLINK("http://www.jccm.es/sede/tramite/JFQ","AUTORIZACION DE OCUPACIONES TEMPORALES EN MONTES DEMANIALES")</f>
        <v>AUTORIZACION DE OCUPACIONES TEMPORALES EN MONTES DEMANIALES</v>
      </c>
      <c r="J789" s="3" t="s">
        <v>42</v>
      </c>
      <c r="K789" s="3" t="s">
        <v>41</v>
      </c>
      <c r="L789" s="3" t="s">
        <v>42</v>
      </c>
      <c r="M789" s="3" t="s">
        <v>41</v>
      </c>
    </row>
    <row r="790" spans="1:13" ht="138">
      <c r="A790" s="22" t="s">
        <v>11</v>
      </c>
      <c r="B790" s="3" t="s">
        <v>2553</v>
      </c>
      <c r="C790" s="3" t="s">
        <v>2554</v>
      </c>
      <c r="D790" s="3" t="s">
        <v>45</v>
      </c>
      <c r="E790" s="3" t="s">
        <v>46</v>
      </c>
      <c r="F790" s="3" t="s">
        <v>2417</v>
      </c>
      <c r="G790" s="3" t="s">
        <v>2510</v>
      </c>
      <c r="H790" s="3" t="s">
        <v>2555</v>
      </c>
      <c r="I790" s="3" t="str">
        <f>HYPERLINK("http://www.jccm.es/sede/tramite/I7P","AUTORIZACION DE APROVECHAMIENTO FORESTAL")</f>
        <v>AUTORIZACION DE APROVECHAMIENTO FORESTAL</v>
      </c>
      <c r="J790" s="3" t="s">
        <v>42</v>
      </c>
      <c r="K790" s="3" t="s">
        <v>41</v>
      </c>
      <c r="L790" s="3" t="s">
        <v>42</v>
      </c>
      <c r="M790" s="3" t="s">
        <v>41</v>
      </c>
    </row>
    <row r="791" spans="1:13" ht="138">
      <c r="A791" s="22" t="s">
        <v>11</v>
      </c>
      <c r="B791" s="3" t="s">
        <v>2556</v>
      </c>
      <c r="C791" s="3" t="s">
        <v>2557</v>
      </c>
      <c r="D791" s="3" t="s">
        <v>45</v>
      </c>
      <c r="E791" s="3" t="s">
        <v>46</v>
      </c>
      <c r="F791" s="3" t="s">
        <v>2417</v>
      </c>
      <c r="G791" s="3" t="s">
        <v>2510</v>
      </c>
      <c r="H791" s="3" t="s">
        <v>2558</v>
      </c>
      <c r="I791" s="3" t="str">
        <f>HYPERLINK("http://www.jccm.es/sede/tramite/JFR","MODIFICACION DE LA CUBIERTA VEGETAL")</f>
        <v>MODIFICACION DE LA CUBIERTA VEGETAL</v>
      </c>
      <c r="J791" s="3" t="s">
        <v>42</v>
      </c>
      <c r="K791" s="3" t="s">
        <v>41</v>
      </c>
      <c r="L791" s="3" t="s">
        <v>42</v>
      </c>
      <c r="M791" s="3" t="s">
        <v>41</v>
      </c>
    </row>
    <row r="792" spans="1:13" ht="138">
      <c r="A792" s="22" t="s">
        <v>11</v>
      </c>
      <c r="B792" s="3" t="s">
        <v>2559</v>
      </c>
      <c r="C792" s="3" t="s">
        <v>2560</v>
      </c>
      <c r="D792" s="3" t="s">
        <v>45</v>
      </c>
      <c r="E792" s="3" t="s">
        <v>46</v>
      </c>
      <c r="F792" s="3" t="s">
        <v>2417</v>
      </c>
      <c r="G792" s="3" t="s">
        <v>2510</v>
      </c>
      <c r="H792" s="3" t="s">
        <v>2561</v>
      </c>
      <c r="I792" s="3" t="str">
        <f>HYPERLINK("http://www.jccm.es/sede/tramite/G88","TRANSFORMACION EN AGRICOLA DE UN TERRENO FORESTAL EN REGIMEN GENERAL ADMINISTRATIVO")</f>
        <v>TRANSFORMACION EN AGRICOLA DE UN TERRENO FORESTAL EN REGIMEN GENERAL ADMINISTRATIVO</v>
      </c>
      <c r="J792" s="3" t="s">
        <v>42</v>
      </c>
      <c r="K792" s="3" t="s">
        <v>41</v>
      </c>
      <c r="L792" s="3" t="s">
        <v>42</v>
      </c>
      <c r="M792" s="3" t="s">
        <v>41</v>
      </c>
    </row>
    <row r="793" spans="1:13" ht="138">
      <c r="A793" s="22" t="s">
        <v>11</v>
      </c>
      <c r="B793" s="3" t="s">
        <v>2562</v>
      </c>
      <c r="C793" s="3" t="s">
        <v>2563</v>
      </c>
      <c r="D793" s="3" t="s">
        <v>45</v>
      </c>
      <c r="E793" s="3" t="s">
        <v>46</v>
      </c>
      <c r="F793" s="3" t="s">
        <v>2417</v>
      </c>
      <c r="G793" s="3" t="s">
        <v>2510</v>
      </c>
      <c r="H793" s="3" t="s">
        <v>2564</v>
      </c>
      <c r="I793" s="3" t="str">
        <f>HYPERLINK("http://www.jccm.es/sede/tramite/244","AUTORIZACION DE OCUPACIONES DE CARACTER TEMPORAL EN VIAS PECUARIAS")</f>
        <v>AUTORIZACION DE OCUPACIONES DE CARACTER TEMPORAL EN VIAS PECUARIAS</v>
      </c>
      <c r="J793" s="3" t="s">
        <v>42</v>
      </c>
      <c r="K793" s="3" t="s">
        <v>41</v>
      </c>
      <c r="L793" s="3" t="s">
        <v>42</v>
      </c>
      <c r="M793" s="3" t="s">
        <v>41</v>
      </c>
    </row>
    <row r="794" spans="1:13" ht="138">
      <c r="A794" s="22" t="s">
        <v>11</v>
      </c>
      <c r="B794" s="3" t="s">
        <v>2565</v>
      </c>
      <c r="C794" s="3" t="s">
        <v>2566</v>
      </c>
      <c r="D794" s="3" t="s">
        <v>1727</v>
      </c>
      <c r="E794" s="3" t="s">
        <v>46</v>
      </c>
      <c r="F794" s="3" t="s">
        <v>2417</v>
      </c>
      <c r="G794" s="3" t="s">
        <v>2510</v>
      </c>
      <c r="H794" s="3" t="s">
        <v>2567</v>
      </c>
      <c r="I794" s="3" t="str">
        <f>HYPERLINK("http://www.jccm.es/sede/tramite/248","MODIFICACION DE TRAZADO DE VIAS PECUARIAS")</f>
        <v>MODIFICACION DE TRAZADO DE VIAS PECUARIAS</v>
      </c>
      <c r="J794" s="3" t="s">
        <v>42</v>
      </c>
      <c r="K794" s="3" t="s">
        <v>41</v>
      </c>
      <c r="L794" s="3" t="s">
        <v>42</v>
      </c>
      <c r="M794" s="3" t="s">
        <v>41</v>
      </c>
    </row>
    <row r="795" spans="1:13" ht="114.95">
      <c r="A795" s="22" t="s">
        <v>11</v>
      </c>
      <c r="B795" s="3" t="s">
        <v>2568</v>
      </c>
      <c r="C795" s="3" t="s">
        <v>2569</v>
      </c>
      <c r="D795" s="3" t="s">
        <v>95</v>
      </c>
      <c r="E795" s="3" t="s">
        <v>95</v>
      </c>
      <c r="F795" s="3" t="s">
        <v>2417</v>
      </c>
      <c r="G795" s="3" t="s">
        <v>2570</v>
      </c>
      <c r="H795" s="3" t="s">
        <v>2571</v>
      </c>
      <c r="I795" s="3" t="str">
        <f>HYPERLINK("http://www.jccm.es/sede/tramite/JMU","NOTIFICACION PREVIA DE TRASLADO DE RESIDUOS")</f>
        <v>NOTIFICACION PREVIA DE TRASLADO DE RESIDUOS</v>
      </c>
      <c r="J795" s="3" t="s">
        <v>41</v>
      </c>
      <c r="K795" s="3" t="s">
        <v>41</v>
      </c>
      <c r="L795" s="3" t="s">
        <v>42</v>
      </c>
      <c r="M795" s="3" t="s">
        <v>41</v>
      </c>
    </row>
    <row r="796" spans="1:13" ht="114.95">
      <c r="A796" s="22" t="s">
        <v>11</v>
      </c>
      <c r="B796" s="3" t="s">
        <v>2572</v>
      </c>
      <c r="C796" s="3" t="s">
        <v>2573</v>
      </c>
      <c r="D796" s="3" t="s">
        <v>70</v>
      </c>
      <c r="E796" s="3" t="s">
        <v>46</v>
      </c>
      <c r="F796" s="3" t="s">
        <v>2417</v>
      </c>
      <c r="G796" s="3" t="s">
        <v>2570</v>
      </c>
      <c r="H796" s="3" t="s">
        <v>2574</v>
      </c>
      <c r="I796" s="3" t="str">
        <f>HYPERLINK("http://www.jccm.es/sede/tramite/IM6","CONCESION DE LA ETIQUETA ECOLOGICA DE LA UNION EUROPEA")</f>
        <v>CONCESION DE LA ETIQUETA ECOLOGICA DE LA UNION EUROPEA</v>
      </c>
      <c r="J796" s="3" t="s">
        <v>42</v>
      </c>
      <c r="K796" s="3" t="s">
        <v>41</v>
      </c>
      <c r="L796" s="3" t="s">
        <v>42</v>
      </c>
      <c r="M796" s="3" t="s">
        <v>41</v>
      </c>
    </row>
    <row r="797" spans="1:13" ht="195.6">
      <c r="A797" s="22" t="s">
        <v>11</v>
      </c>
      <c r="B797" s="3" t="s">
        <v>2575</v>
      </c>
      <c r="C797" s="3" t="s">
        <v>2576</v>
      </c>
      <c r="D797" s="3" t="s">
        <v>95</v>
      </c>
      <c r="E797" s="3" t="s">
        <v>95</v>
      </c>
      <c r="F797" s="3" t="s">
        <v>2417</v>
      </c>
      <c r="G797" s="3" t="s">
        <v>2570</v>
      </c>
      <c r="H797" s="3" t="s">
        <v>2577</v>
      </c>
      <c r="I797" s="3" t="str">
        <f>HYPERLINK("http://www.jccm.es/sede/tramite/JAS","NOTIFICACION  DE ACTIVIDADES DE VALORIZACION DE RESIDUOS DE CONSTRUCCION Y DEMOLICION EN EL LUGAR DE PRODUCCION MEDIANTE PLANTAS MOVILES")</f>
        <v>NOTIFICACION  DE ACTIVIDADES DE VALORIZACION DE RESIDUOS DE CONSTRUCCION Y DEMOLICION EN EL LUGAR DE PRODUCCION MEDIANTE PLANTAS MOVILES</v>
      </c>
      <c r="J797" s="3" t="s">
        <v>42</v>
      </c>
      <c r="K797" s="3" t="s">
        <v>41</v>
      </c>
      <c r="L797" s="3" t="s">
        <v>42</v>
      </c>
      <c r="M797" s="3" t="s">
        <v>42</v>
      </c>
    </row>
    <row r="798" spans="1:13" ht="114.95">
      <c r="A798" s="22" t="s">
        <v>11</v>
      </c>
      <c r="B798" s="3" t="s">
        <v>2578</v>
      </c>
      <c r="C798" s="3" t="s">
        <v>2579</v>
      </c>
      <c r="D798" s="3" t="s">
        <v>2580</v>
      </c>
      <c r="E798" s="3" t="s">
        <v>37</v>
      </c>
      <c r="F798" s="3" t="s">
        <v>2417</v>
      </c>
      <c r="G798" s="3" t="s">
        <v>2581</v>
      </c>
      <c r="H798" s="3" t="s">
        <v>2582</v>
      </c>
      <c r="I798" s="3" t="str">
        <f>HYPERLINK("http://www.jccm.es/sede/tramite/JAU","APROBACION DEL PLAN EMPRESARIAL DE PREVENCION DE RESIDUOS DE ENVASES.")</f>
        <v>APROBACION DEL PLAN EMPRESARIAL DE PREVENCION DE RESIDUOS DE ENVASES.</v>
      </c>
      <c r="J798" s="3" t="s">
        <v>42</v>
      </c>
      <c r="K798" s="3" t="s">
        <v>41</v>
      </c>
      <c r="L798" s="3" t="s">
        <v>42</v>
      </c>
      <c r="M798" s="3" t="s">
        <v>41</v>
      </c>
    </row>
    <row r="799" spans="1:13" ht="138">
      <c r="A799" s="22" t="s">
        <v>11</v>
      </c>
      <c r="B799" s="3" t="s">
        <v>2583</v>
      </c>
      <c r="C799" s="3" t="s">
        <v>2584</v>
      </c>
      <c r="D799" s="3" t="s">
        <v>95</v>
      </c>
      <c r="E799" s="3" t="s">
        <v>95</v>
      </c>
      <c r="F799" s="3" t="s">
        <v>2417</v>
      </c>
      <c r="G799" s="3" t="s">
        <v>2581</v>
      </c>
      <c r="H799" s="3" t="s">
        <v>2585</v>
      </c>
      <c r="I799" s="3" t="str">
        <f>HYPERLINK("http://www.jccm.es/sede/tramite/JAT","INFORME DE SEGUIMIENTO DEL PLAN EMPRESARIAL DE PREVENCION DE RESIDUOS DE ENVASES.")</f>
        <v>INFORME DE SEGUIMIENTO DEL PLAN EMPRESARIAL DE PREVENCION DE RESIDUOS DE ENVASES.</v>
      </c>
      <c r="J799" s="3" t="s">
        <v>42</v>
      </c>
      <c r="K799" s="3" t="s">
        <v>41</v>
      </c>
      <c r="L799" s="3" t="s">
        <v>42</v>
      </c>
      <c r="M799" s="3" t="s">
        <v>41</v>
      </c>
    </row>
    <row r="800" spans="1:13" ht="126.6">
      <c r="A800" s="22" t="s">
        <v>11</v>
      </c>
      <c r="B800" s="3" t="s">
        <v>2586</v>
      </c>
      <c r="C800" s="3" t="s">
        <v>2587</v>
      </c>
      <c r="D800" s="3" t="s">
        <v>95</v>
      </c>
      <c r="E800" s="3" t="s">
        <v>95</v>
      </c>
      <c r="F800" s="3" t="s">
        <v>2417</v>
      </c>
      <c r="G800" s="3" t="s">
        <v>2581</v>
      </c>
      <c r="H800" s="3" t="s">
        <v>2588</v>
      </c>
      <c r="I800" s="3" t="str">
        <f>HYPERLINK("http://www.jccm.es/sede/tramite/JAR","NOTIFICACION ADHESION DISPOSICION ADICIONAL PRIMERA DE LA LEY 11/1997, DE ENVASES Y RESIDUOS DE ENVASES")</f>
        <v>NOTIFICACION ADHESION DISPOSICION ADICIONAL PRIMERA DE LA LEY 11/1997, DE ENVASES Y RESIDUOS DE ENVASES</v>
      </c>
      <c r="J800" s="3" t="s">
        <v>42</v>
      </c>
      <c r="K800" s="3" t="s">
        <v>41</v>
      </c>
      <c r="L800" s="3" t="s">
        <v>42</v>
      </c>
      <c r="M800" s="3" t="s">
        <v>41</v>
      </c>
    </row>
    <row r="801" spans="1:13" ht="114.95">
      <c r="A801" s="22" t="s">
        <v>11</v>
      </c>
      <c r="B801" s="3" t="s">
        <v>2589</v>
      </c>
      <c r="C801" s="3" t="s">
        <v>2590</v>
      </c>
      <c r="D801" s="3" t="s">
        <v>95</v>
      </c>
      <c r="E801" s="3" t="s">
        <v>95</v>
      </c>
      <c r="F801" s="3" t="s">
        <v>2417</v>
      </c>
      <c r="G801" s="3" t="s">
        <v>2581</v>
      </c>
      <c r="H801" s="3" t="s">
        <v>2591</v>
      </c>
      <c r="I801" s="3" t="str">
        <f>HYPERLINK("http://www.jccm.es/sede/tramite/JAQ","DECLARACION ANUAL DE ENVASES Y RESIDUOS DE ENVASES")</f>
        <v>DECLARACION ANUAL DE ENVASES Y RESIDUOS DE ENVASES</v>
      </c>
      <c r="J801" s="3" t="s">
        <v>42</v>
      </c>
      <c r="K801" s="3" t="s">
        <v>41</v>
      </c>
      <c r="L801" s="3" t="s">
        <v>42</v>
      </c>
      <c r="M801" s="3" t="s">
        <v>41</v>
      </c>
    </row>
    <row r="802" spans="1:13" ht="114.95">
      <c r="A802" s="22" t="s">
        <v>11</v>
      </c>
      <c r="B802" s="3" t="s">
        <v>2592</v>
      </c>
      <c r="C802" s="3" t="s">
        <v>2593</v>
      </c>
      <c r="D802" s="3" t="s">
        <v>2594</v>
      </c>
      <c r="E802" s="3" t="s">
        <v>46</v>
      </c>
      <c r="F802" s="3" t="s">
        <v>2417</v>
      </c>
      <c r="G802" s="3" t="s">
        <v>2570</v>
      </c>
      <c r="H802" s="3" t="s">
        <v>2595</v>
      </c>
      <c r="I802" s="3" t="str">
        <f>HYPERLINK("http://www.jccm.es/sede/tramite/JB6","AUTORIZACION AMBIENTAL INTEGRADA Y MODIFICACIONES SUSTANCIALES")</f>
        <v>AUTORIZACION AMBIENTAL INTEGRADA Y MODIFICACIONES SUSTANCIALES</v>
      </c>
      <c r="J802" s="3" t="s">
        <v>41</v>
      </c>
      <c r="K802" s="3" t="s">
        <v>41</v>
      </c>
      <c r="L802" s="3" t="s">
        <v>42</v>
      </c>
      <c r="M802" s="3" t="s">
        <v>42</v>
      </c>
    </row>
    <row r="803" spans="1:13" ht="114.95">
      <c r="A803" s="22" t="s">
        <v>11</v>
      </c>
      <c r="B803" s="3" t="s">
        <v>2596</v>
      </c>
      <c r="C803" s="3" t="s">
        <v>2597</v>
      </c>
      <c r="D803" s="3" t="s">
        <v>62</v>
      </c>
      <c r="E803" s="3" t="s">
        <v>37</v>
      </c>
      <c r="F803" s="3" t="s">
        <v>2417</v>
      </c>
      <c r="G803" s="3" t="s">
        <v>2570</v>
      </c>
      <c r="H803" s="3" t="s">
        <v>2598</v>
      </c>
      <c r="I803" s="3" t="str">
        <f>HYPERLINK("http://www.jccm.es/sede/tramite/JB8","COMUNICACION DE MODIFICACION NO SUSTANCIAL DE AUTORIZACION AMBIENTAL INTEGRADA")</f>
        <v>COMUNICACION DE MODIFICACION NO SUSTANCIAL DE AUTORIZACION AMBIENTAL INTEGRADA</v>
      </c>
      <c r="J803" s="3" t="s">
        <v>42</v>
      </c>
      <c r="K803" s="3" t="s">
        <v>41</v>
      </c>
      <c r="L803" s="3" t="s">
        <v>42</v>
      </c>
      <c r="M803" s="3" t="s">
        <v>41</v>
      </c>
    </row>
    <row r="804" spans="1:13" ht="114.95">
      <c r="A804" s="22" t="s">
        <v>11</v>
      </c>
      <c r="B804" s="3" t="s">
        <v>2599</v>
      </c>
      <c r="C804" s="3" t="s">
        <v>2600</v>
      </c>
      <c r="D804" s="3" t="s">
        <v>45</v>
      </c>
      <c r="E804" s="3" t="s">
        <v>46</v>
      </c>
      <c r="F804" s="3" t="s">
        <v>2417</v>
      </c>
      <c r="G804" s="3" t="s">
        <v>2570</v>
      </c>
      <c r="H804" s="3" t="s">
        <v>2601</v>
      </c>
      <c r="I804" s="3" t="str">
        <f>HYPERLINK("http://www.jccm.es/sede/tramite/I83","MODIFICACION DE LA DURACION DEL ALMACENAMIENTO DE RESIDUOS PELIGROSOS")</f>
        <v>MODIFICACION DE LA DURACION DEL ALMACENAMIENTO DE RESIDUOS PELIGROSOS</v>
      </c>
      <c r="J804" s="3" t="s">
        <v>42</v>
      </c>
      <c r="K804" s="3" t="s">
        <v>41</v>
      </c>
      <c r="L804" s="3" t="s">
        <v>42</v>
      </c>
      <c r="M804" s="3" t="s">
        <v>41</v>
      </c>
    </row>
    <row r="805" spans="1:13" ht="161.1">
      <c r="A805" s="22" t="s">
        <v>11</v>
      </c>
      <c r="B805" s="3" t="s">
        <v>2602</v>
      </c>
      <c r="C805" s="3" t="s">
        <v>2603</v>
      </c>
      <c r="D805" s="3" t="s">
        <v>327</v>
      </c>
      <c r="E805" s="3" t="s">
        <v>46</v>
      </c>
      <c r="F805" s="3" t="s">
        <v>2417</v>
      </c>
      <c r="G805" s="3" t="s">
        <v>2604</v>
      </c>
      <c r="H805" s="3" t="s">
        <v>2605</v>
      </c>
      <c r="I805" s="3" t="str">
        <f>HYPERLINK("http://www.jccm.es/sede/tramite/IH6","CONCESION DE LICENCIA PARA LA PRESTACION DEL SERVICIO PUBLICO DE COMUNICACION AUDIOVISUAL RADIOFONICA DE EXPLOTACION MUNICIPAL. (EMISORA MUNICIPAL DE FM)")</f>
        <v>CONCESION DE LICENCIA PARA LA PRESTACION DEL SERVICIO PUBLICO DE COMUNICACION AUDIOVISUAL RADIOFONICA DE EXPLOTACION MUNICIPAL. (EMISORA MUNICIPAL DE FM)</v>
      </c>
      <c r="J805" s="3" t="s">
        <v>41</v>
      </c>
      <c r="K805" s="3" t="s">
        <v>41</v>
      </c>
      <c r="L805" s="3" t="s">
        <v>42</v>
      </c>
      <c r="M805" s="3" t="s">
        <v>41</v>
      </c>
    </row>
    <row r="806" spans="1:13" ht="126.6">
      <c r="A806" s="22" t="s">
        <v>11</v>
      </c>
      <c r="B806" s="3" t="s">
        <v>2606</v>
      </c>
      <c r="C806" s="3" t="s">
        <v>2607</v>
      </c>
      <c r="D806" s="3" t="s">
        <v>45</v>
      </c>
      <c r="E806" s="3" t="s">
        <v>37</v>
      </c>
      <c r="F806" s="3" t="s">
        <v>2417</v>
      </c>
      <c r="G806" s="3" t="s">
        <v>2418</v>
      </c>
      <c r="H806" s="3" t="s">
        <v>2608</v>
      </c>
      <c r="I806" s="3" t="str">
        <f>HYPERLINK("http://www.jccm.es/sede/tramite/IO5","AUTORIZACION DE UNIDADES MOVILES DE INSPECCION TECNICA DE VEHICULOS (ITV)")</f>
        <v>AUTORIZACION DE UNIDADES MOVILES DE INSPECCION TECNICA DE VEHICULOS (ITV)</v>
      </c>
      <c r="J806" s="3" t="s">
        <v>42</v>
      </c>
      <c r="K806" s="3" t="s">
        <v>41</v>
      </c>
      <c r="L806" s="3" t="s">
        <v>42</v>
      </c>
      <c r="M806" s="3" t="s">
        <v>41</v>
      </c>
    </row>
    <row r="807" spans="1:13" ht="183.95">
      <c r="A807" s="22" t="s">
        <v>11</v>
      </c>
      <c r="B807" s="3" t="s">
        <v>2609</v>
      </c>
      <c r="C807" s="3" t="s">
        <v>2610</v>
      </c>
      <c r="D807" s="3" t="s">
        <v>70</v>
      </c>
      <c r="E807" s="3" t="s">
        <v>37</v>
      </c>
      <c r="F807" s="3" t="s">
        <v>2417</v>
      </c>
      <c r="G807" s="3" t="s">
        <v>2418</v>
      </c>
      <c r="H807" s="3" t="s">
        <v>2611</v>
      </c>
      <c r="I807" s="3" t="str">
        <f>HYPERLINK("http://www.jccm.es/sede/tramite/IRN","AUTORIZACION DE ORGANISMOS PARA LA REALIZACION DE REVISIONES DE APARATOS DE BRONCEADO MEDIANTE RADIACIONES ULTRAVIOLETA")</f>
        <v>AUTORIZACION DE ORGANISMOS PARA LA REALIZACION DE REVISIONES DE APARATOS DE BRONCEADO MEDIANTE RADIACIONES ULTRAVIOLETA</v>
      </c>
      <c r="J807" s="3" t="s">
        <v>42</v>
      </c>
      <c r="K807" s="3" t="s">
        <v>41</v>
      </c>
      <c r="L807" s="3" t="s">
        <v>42</v>
      </c>
      <c r="M807" s="3" t="s">
        <v>41</v>
      </c>
    </row>
    <row r="808" spans="1:13" ht="126.6">
      <c r="A808" s="22" t="s">
        <v>11</v>
      </c>
      <c r="B808" s="3" t="s">
        <v>2612</v>
      </c>
      <c r="C808" s="3" t="s">
        <v>2613</v>
      </c>
      <c r="D808" s="3" t="s">
        <v>327</v>
      </c>
      <c r="E808" s="3" t="s">
        <v>37</v>
      </c>
      <c r="F808" s="3" t="s">
        <v>2417</v>
      </c>
      <c r="G808" s="3" t="s">
        <v>2418</v>
      </c>
      <c r="H808" s="3" t="s">
        <v>2614</v>
      </c>
      <c r="I808" s="3" t="str">
        <f>HYPERLINK("http://www.jccm.es/sede/tramite/J6E","CAMBIO DE TITULARIDAD DE LAS ESTACIONES DE INSPECCION TECNICA DE VEHICULOS (ITV)")</f>
        <v>CAMBIO DE TITULARIDAD DE LAS ESTACIONES DE INSPECCION TECNICA DE VEHICULOS (ITV)</v>
      </c>
      <c r="J808" s="3" t="s">
        <v>42</v>
      </c>
      <c r="K808" s="3" t="s">
        <v>41</v>
      </c>
      <c r="L808" s="3" t="s">
        <v>42</v>
      </c>
      <c r="M808" s="3" t="s">
        <v>41</v>
      </c>
    </row>
    <row r="809" spans="1:13" ht="126.6">
      <c r="A809" s="22" t="s">
        <v>11</v>
      </c>
      <c r="B809" s="3" t="s">
        <v>2615</v>
      </c>
      <c r="C809" s="3" t="s">
        <v>2616</v>
      </c>
      <c r="D809" s="3" t="s">
        <v>45</v>
      </c>
      <c r="E809" s="3" t="s">
        <v>46</v>
      </c>
      <c r="F809" s="3" t="s">
        <v>2417</v>
      </c>
      <c r="G809" s="3" t="s">
        <v>2418</v>
      </c>
      <c r="H809" s="3" t="s">
        <v>2617</v>
      </c>
      <c r="I809" s="3" t="str">
        <f>HYPERLINK("http://www.jccm.es/sede/tramite/J8W","AUTORIZACION DE CONCENTRACION DE TRABAJOS")</f>
        <v>AUTORIZACION DE CONCENTRACION DE TRABAJOS</v>
      </c>
      <c r="J809" s="3" t="s">
        <v>42</v>
      </c>
      <c r="K809" s="3" t="s">
        <v>41</v>
      </c>
      <c r="L809" s="3" t="s">
        <v>42</v>
      </c>
      <c r="M809" s="3" t="s">
        <v>41</v>
      </c>
    </row>
    <row r="810" spans="1:13" ht="126.6">
      <c r="A810" s="22" t="s">
        <v>11</v>
      </c>
      <c r="B810" s="3" t="s">
        <v>2618</v>
      </c>
      <c r="C810" s="3" t="s">
        <v>2619</v>
      </c>
      <c r="D810" s="3" t="s">
        <v>95</v>
      </c>
      <c r="E810" s="3" t="s">
        <v>95</v>
      </c>
      <c r="F810" s="3" t="s">
        <v>2417</v>
      </c>
      <c r="G810" s="3" t="s">
        <v>2418</v>
      </c>
      <c r="H810" s="3" t="s">
        <v>2620</v>
      </c>
      <c r="I810" s="3" t="str">
        <f>HYPERLINK("http://www.jccm.es/sede/tramite/JEK","DECLARACION RESPONSABLE DE ORGANISMOS DE CONTROL EN MATERIA DE SEGURIDAD INDUSTRIAL")</f>
        <v>DECLARACION RESPONSABLE DE ORGANISMOS DE CONTROL EN MATERIA DE SEGURIDAD INDUSTRIAL</v>
      </c>
      <c r="J810" s="3" t="s">
        <v>42</v>
      </c>
      <c r="K810" s="3" t="s">
        <v>41</v>
      </c>
      <c r="L810" s="3" t="s">
        <v>42</v>
      </c>
      <c r="M810" s="3" t="s">
        <v>41</v>
      </c>
    </row>
    <row r="811" spans="1:13" ht="138">
      <c r="A811" s="22" t="s">
        <v>11</v>
      </c>
      <c r="B811" s="3" t="s">
        <v>2621</v>
      </c>
      <c r="C811" s="3" t="s">
        <v>2622</v>
      </c>
      <c r="D811" s="3" t="s">
        <v>95</v>
      </c>
      <c r="E811" s="3" t="s">
        <v>95</v>
      </c>
      <c r="F811" s="3" t="s">
        <v>2417</v>
      </c>
      <c r="G811" s="3" t="s">
        <v>2510</v>
      </c>
      <c r="H811" s="3" t="s">
        <v>2623</v>
      </c>
      <c r="I811" s="3" t="str">
        <f>HYPERLINK("http://www.jccm.es/sede/tramite/JNW","COMUNICACION DE CORTA")</f>
        <v>COMUNICACION DE CORTA</v>
      </c>
      <c r="J811" s="3" t="s">
        <v>42</v>
      </c>
      <c r="K811" s="3" t="s">
        <v>41</v>
      </c>
      <c r="L811" s="3" t="s">
        <v>42</v>
      </c>
      <c r="M811" s="3" t="s">
        <v>41</v>
      </c>
    </row>
    <row r="812" spans="1:13" ht="114.95">
      <c r="A812" s="22" t="s">
        <v>11</v>
      </c>
      <c r="B812" s="3" t="s">
        <v>2624</v>
      </c>
      <c r="C812" s="3" t="s">
        <v>2625</v>
      </c>
      <c r="D812" s="3" t="s">
        <v>2626</v>
      </c>
      <c r="E812" s="3" t="s">
        <v>46</v>
      </c>
      <c r="F812" s="3" t="s">
        <v>2417</v>
      </c>
      <c r="G812" s="3" t="s">
        <v>2570</v>
      </c>
      <c r="H812" s="3" t="s">
        <v>2627</v>
      </c>
      <c r="I812" s="3" t="str">
        <f>HYPERLINK("http://www.jccm.es/sede/tramite/JL5","REGIMEN DE PUNTOS LIMPIOS FIJOS EN CASTILLA-LA MANCHA")</f>
        <v>REGIMEN DE PUNTOS LIMPIOS FIJOS EN CASTILLA-LA MANCHA</v>
      </c>
      <c r="J812" s="3" t="s">
        <v>41</v>
      </c>
      <c r="K812" s="3" t="s">
        <v>41</v>
      </c>
      <c r="L812" s="3" t="s">
        <v>42</v>
      </c>
      <c r="M812" s="3" t="s">
        <v>41</v>
      </c>
    </row>
    <row r="813" spans="1:13" ht="114.95">
      <c r="A813" s="22" t="s">
        <v>11</v>
      </c>
      <c r="B813" s="3" t="s">
        <v>2628</v>
      </c>
      <c r="C813" s="3" t="s">
        <v>2629</v>
      </c>
      <c r="D813" s="3" t="s">
        <v>95</v>
      </c>
      <c r="E813" s="3" t="s">
        <v>95</v>
      </c>
      <c r="F813" s="3" t="s">
        <v>2417</v>
      </c>
      <c r="G813" s="3" t="s">
        <v>2570</v>
      </c>
      <c r="H813" s="3" t="s">
        <v>2630</v>
      </c>
      <c r="I813" s="3" t="str">
        <f>HYPERLINK("http://www.jccm.es/sede/tramite/JL6","COMUNICACION DE INICIO DE ACTIVIDAD DE PUNTO LIMPIO MOVIL EN CASTILLA-LA MANCHA")</f>
        <v>COMUNICACION DE INICIO DE ACTIVIDAD DE PUNTO LIMPIO MOVIL EN CASTILLA-LA MANCHA</v>
      </c>
      <c r="J813" s="3" t="s">
        <v>41</v>
      </c>
      <c r="K813" s="3" t="s">
        <v>41</v>
      </c>
      <c r="L813" s="3" t="s">
        <v>42</v>
      </c>
      <c r="M813" s="3" t="s">
        <v>41</v>
      </c>
    </row>
    <row r="814" spans="1:13" ht="138">
      <c r="A814" s="22" t="s">
        <v>11</v>
      </c>
      <c r="B814" s="3" t="s">
        <v>2631</v>
      </c>
      <c r="C814" s="3" t="s">
        <v>2632</v>
      </c>
      <c r="D814" s="3" t="s">
        <v>45</v>
      </c>
      <c r="E814" s="3" t="s">
        <v>46</v>
      </c>
      <c r="F814" s="3" t="s">
        <v>2417</v>
      </c>
      <c r="G814" s="3" t="s">
        <v>2510</v>
      </c>
      <c r="H814" s="3" t="s">
        <v>2633</v>
      </c>
      <c r="I814" s="3" t="str">
        <f>HYPERLINK("http://www.jccm.es/sede/tramite/JSG","AUTORIZACION PARA LA CESION DE ESPECIES SILVESTRES PROVENIENTES DE CENTROS DE FAUNA")</f>
        <v>AUTORIZACION PARA LA CESION DE ESPECIES SILVESTRES PROVENIENTES DE CENTROS DE FAUNA</v>
      </c>
      <c r="J814" s="3" t="s">
        <v>42</v>
      </c>
      <c r="K814" s="3" t="s">
        <v>41</v>
      </c>
      <c r="L814" s="3" t="s">
        <v>42</v>
      </c>
      <c r="M814" s="3" t="s">
        <v>41</v>
      </c>
    </row>
    <row r="815" spans="1:13" ht="138">
      <c r="A815" s="22" t="s">
        <v>11</v>
      </c>
      <c r="B815" s="3" t="s">
        <v>2634</v>
      </c>
      <c r="C815" s="3" t="s">
        <v>2635</v>
      </c>
      <c r="D815" s="3" t="s">
        <v>45</v>
      </c>
      <c r="E815" s="3" t="s">
        <v>46</v>
      </c>
      <c r="F815" s="3" t="s">
        <v>2417</v>
      </c>
      <c r="G815" s="3" t="s">
        <v>2510</v>
      </c>
      <c r="H815" s="3" t="s">
        <v>2636</v>
      </c>
      <c r="I815" s="3" t="str">
        <f>HYPERLINK("http://www.jccm.es/sede/tramite/JSD","AUTORIZACION PARA LA TOMA DE IMAGENES EN EL MEDIO NATURAL")</f>
        <v>AUTORIZACION PARA LA TOMA DE IMAGENES EN EL MEDIO NATURAL</v>
      </c>
      <c r="J815" s="3" t="s">
        <v>42</v>
      </c>
      <c r="K815" s="3" t="s">
        <v>41</v>
      </c>
      <c r="L815" s="3" t="s">
        <v>42</v>
      </c>
      <c r="M815" s="3" t="s">
        <v>41</v>
      </c>
    </row>
    <row r="816" spans="1:13" ht="138">
      <c r="A816" s="22" t="s">
        <v>11</v>
      </c>
      <c r="B816" s="3" t="s">
        <v>2637</v>
      </c>
      <c r="C816" s="3" t="s">
        <v>2638</v>
      </c>
      <c r="D816" s="3" t="s">
        <v>95</v>
      </c>
      <c r="E816" s="3" t="s">
        <v>2112</v>
      </c>
      <c r="F816" s="3" t="s">
        <v>2417</v>
      </c>
      <c r="G816" s="3" t="s">
        <v>2570</v>
      </c>
      <c r="H816" s="3" t="s">
        <v>2639</v>
      </c>
      <c r="I816" s="3" t="str">
        <f>HYPERLINK("http://www.jccm.es/sede/tramite/JVL","REMISION DEL INFORME PRELIMINAR DE SITUACION DEL SUELO E INFORME PERIODICO DE SEGUIMIENTO.")</f>
        <v>REMISION DEL INFORME PRELIMINAR DE SITUACION DEL SUELO E INFORME PERIODICO DE SEGUIMIENTO.</v>
      </c>
      <c r="J816" s="3" t="s">
        <v>41</v>
      </c>
      <c r="K816" s="3" t="s">
        <v>41</v>
      </c>
      <c r="L816" s="3" t="s">
        <v>42</v>
      </c>
      <c r="M816" s="3" t="s">
        <v>41</v>
      </c>
    </row>
    <row r="817" spans="1:13" ht="126.6">
      <c r="A817" s="22" t="s">
        <v>11</v>
      </c>
      <c r="B817" s="3" t="s">
        <v>2640</v>
      </c>
      <c r="C817" s="3" t="s">
        <v>2641</v>
      </c>
      <c r="D817" s="3" t="s">
        <v>459</v>
      </c>
      <c r="E817" s="3" t="s">
        <v>46</v>
      </c>
      <c r="F817" s="3" t="s">
        <v>2417</v>
      </c>
      <c r="G817" s="3" t="s">
        <v>2418</v>
      </c>
      <c r="H817" s="3" t="s">
        <v>2642</v>
      </c>
      <c r="I817" s="3" t="str">
        <f>HYPERLINK("http://www.jccm.es/sede/tramite/JWE","AUTORIZACION COTOS MINEROS")</f>
        <v>AUTORIZACION COTOS MINEROS</v>
      </c>
      <c r="J817" s="3" t="s">
        <v>42</v>
      </c>
      <c r="K817" s="3" t="s">
        <v>41</v>
      </c>
      <c r="L817" s="3" t="s">
        <v>42</v>
      </c>
      <c r="M817" s="3" t="s">
        <v>41</v>
      </c>
    </row>
    <row r="818" spans="1:13" ht="126.6">
      <c r="A818" s="22" t="s">
        <v>11</v>
      </c>
      <c r="B818" s="3" t="s">
        <v>2643</v>
      </c>
      <c r="C818" s="3" t="s">
        <v>2644</v>
      </c>
      <c r="D818" s="3" t="s">
        <v>459</v>
      </c>
      <c r="E818" s="3" t="s">
        <v>46</v>
      </c>
      <c r="F818" s="3" t="s">
        <v>2417</v>
      </c>
      <c r="G818" s="3" t="s">
        <v>2418</v>
      </c>
      <c r="H818" s="3" t="s">
        <v>2645</v>
      </c>
      <c r="I818" s="3" t="str">
        <f>HYPERLINK("http://www.jccm.es/sede/tramite/JWF","CADUCIDAD DE DERECHOS MINEROS")</f>
        <v>CADUCIDAD DE DERECHOS MINEROS</v>
      </c>
      <c r="J818" s="3" t="s">
        <v>42</v>
      </c>
      <c r="K818" s="3" t="s">
        <v>41</v>
      </c>
      <c r="L818" s="3" t="s">
        <v>42</v>
      </c>
      <c r="M818" s="3" t="s">
        <v>41</v>
      </c>
    </row>
    <row r="819" spans="1:13" ht="149.44999999999999">
      <c r="A819" s="22" t="s">
        <v>11</v>
      </c>
      <c r="B819" s="3" t="s">
        <v>2646</v>
      </c>
      <c r="C819" s="3" t="s">
        <v>2647</v>
      </c>
      <c r="D819" s="3" t="s">
        <v>45</v>
      </c>
      <c r="E819" s="3" t="s">
        <v>46</v>
      </c>
      <c r="F819" s="3" t="s">
        <v>2417</v>
      </c>
      <c r="G819" s="3" t="s">
        <v>2418</v>
      </c>
      <c r="H819" s="3" t="s">
        <v>2648</v>
      </c>
      <c r="I819" s="3" t="str">
        <f>HYPERLINK("http://www.jccm.es/sede/tramite/JYA","AMPLIACION DEL PLAZO ESTABLECIDO POR RESOLUCION PARA INSTALACIONES ELECTRICAS O GASISTICAS AUTORIZADAS")</f>
        <v>AMPLIACION DEL PLAZO ESTABLECIDO POR RESOLUCION PARA INSTALACIONES ELECTRICAS O GASISTICAS AUTORIZADAS</v>
      </c>
      <c r="J819" s="3" t="s">
        <v>42</v>
      </c>
      <c r="K819" s="3" t="s">
        <v>41</v>
      </c>
      <c r="L819" s="3" t="s">
        <v>42</v>
      </c>
      <c r="M819" s="3" t="s">
        <v>41</v>
      </c>
    </row>
    <row r="820" spans="1:13" ht="172.5">
      <c r="A820" s="22" t="s">
        <v>11</v>
      </c>
      <c r="B820" s="3" t="s">
        <v>2649</v>
      </c>
      <c r="C820" s="3" t="s">
        <v>2650</v>
      </c>
      <c r="D820" s="3" t="s">
        <v>95</v>
      </c>
      <c r="E820" s="3" t="s">
        <v>95</v>
      </c>
      <c r="F820" s="3" t="s">
        <v>2417</v>
      </c>
      <c r="G820" s="3" t="s">
        <v>2570</v>
      </c>
      <c r="H820" s="3" t="s">
        <v>2651</v>
      </c>
      <c r="I820" s="3" t="str">
        <f>HYPERLINK("http://www.jccm.es/sede/tramite/JNX","COMUNICACION DE INICIO DE ACTIVIDAD EN EL REGISTRO DE PRODUCCION Y GESTION DE RESIDUOS DE CASTILLA-LA MANCHA. AGENTES Y NEGOCIANTES")</f>
        <v>COMUNICACION DE INICIO DE ACTIVIDAD EN EL REGISTRO DE PRODUCCION Y GESTION DE RESIDUOS DE CASTILLA-LA MANCHA. AGENTES Y NEGOCIANTES</v>
      </c>
      <c r="J820" s="3" t="s">
        <v>42</v>
      </c>
      <c r="K820" s="3" t="s">
        <v>41</v>
      </c>
      <c r="L820" s="3" t="s">
        <v>42</v>
      </c>
      <c r="M820" s="3" t="s">
        <v>42</v>
      </c>
    </row>
    <row r="821" spans="1:13" ht="138">
      <c r="A821" s="22" t="s">
        <v>11</v>
      </c>
      <c r="B821" s="3" t="s">
        <v>2652</v>
      </c>
      <c r="C821" s="3" t="s">
        <v>2653</v>
      </c>
      <c r="D821" s="3" t="s">
        <v>95</v>
      </c>
      <c r="E821" s="3" t="s">
        <v>95</v>
      </c>
      <c r="F821" s="3" t="s">
        <v>2417</v>
      </c>
      <c r="G821" s="3" t="s">
        <v>2570</v>
      </c>
      <c r="H821" s="3" t="s">
        <v>2654</v>
      </c>
      <c r="I821" s="3" t="str">
        <f>HYPERLINK("http://www.jccm.es/sede/tramite/JYS","NOTIFICACION DE ACTIVIDADES POTENCIALMENTE CONTAMINADORAS DE LA ATMOSFERA DEL GRUPO C.")</f>
        <v>NOTIFICACION DE ACTIVIDADES POTENCIALMENTE CONTAMINADORAS DE LA ATMOSFERA DEL GRUPO C.</v>
      </c>
      <c r="J821" s="3" t="s">
        <v>42</v>
      </c>
      <c r="K821" s="3" t="s">
        <v>41</v>
      </c>
      <c r="L821" s="3" t="s">
        <v>42</v>
      </c>
      <c r="M821" s="3" t="s">
        <v>41</v>
      </c>
    </row>
    <row r="822" spans="1:13" ht="126.6">
      <c r="A822" s="22" t="s">
        <v>11</v>
      </c>
      <c r="B822" s="3" t="s">
        <v>2655</v>
      </c>
      <c r="C822" s="3" t="s">
        <v>2656</v>
      </c>
      <c r="D822" s="3" t="s">
        <v>95</v>
      </c>
      <c r="E822" s="3" t="s">
        <v>37</v>
      </c>
      <c r="F822" s="3" t="s">
        <v>2417</v>
      </c>
      <c r="G822" s="3" t="s">
        <v>2418</v>
      </c>
      <c r="H822" s="3" t="s">
        <v>2657</v>
      </c>
      <c r="I822" s="3" t="str">
        <f>HYPERLINK("http://www.jccm.es/sede/tramite/JYT","COMUNICACION DE APORTACION DE MEMORIA ANUAL DE ACTIVIDADES DE ESTACIONES DE ITV")</f>
        <v>COMUNICACION DE APORTACION DE MEMORIA ANUAL DE ACTIVIDADES DE ESTACIONES DE ITV</v>
      </c>
      <c r="J822" s="3" t="s">
        <v>42</v>
      </c>
      <c r="K822" s="3" t="s">
        <v>41</v>
      </c>
      <c r="L822" s="3" t="s">
        <v>42</v>
      </c>
      <c r="M822" s="3" t="s">
        <v>41</v>
      </c>
    </row>
    <row r="823" spans="1:13" ht="172.5">
      <c r="A823" s="22" t="s">
        <v>11</v>
      </c>
      <c r="B823" s="3" t="s">
        <v>2658</v>
      </c>
      <c r="C823" s="3" t="s">
        <v>2659</v>
      </c>
      <c r="D823" s="3" t="s">
        <v>95</v>
      </c>
      <c r="E823" s="3" t="s">
        <v>37</v>
      </c>
      <c r="F823" s="3" t="s">
        <v>2417</v>
      </c>
      <c r="G823" s="3" t="s">
        <v>2418</v>
      </c>
      <c r="H823" s="3" t="s">
        <v>2660</v>
      </c>
      <c r="I823" s="3" t="str">
        <f>HYPERLINK("http://www.jccm.es/sede/tramite/JYU","COMUNICACION DE APORTACION DE MEMORIA ANUAL DE ACTIVIDADES DE ORGANISMOS AUTORIZADOS DE VERIFICACION METROLOGICA")</f>
        <v>COMUNICACION DE APORTACION DE MEMORIA ANUAL DE ACTIVIDADES DE ORGANISMOS AUTORIZADOS DE VERIFICACION METROLOGICA</v>
      </c>
      <c r="J823" s="3" t="s">
        <v>42</v>
      </c>
      <c r="K823" s="3" t="s">
        <v>41</v>
      </c>
      <c r="L823" s="3" t="s">
        <v>42</v>
      </c>
      <c r="M823" s="3" t="s">
        <v>41</v>
      </c>
    </row>
    <row r="824" spans="1:13" ht="126.6">
      <c r="A824" s="22" t="s">
        <v>11</v>
      </c>
      <c r="B824" s="3" t="s">
        <v>2661</v>
      </c>
      <c r="C824" s="3" t="s">
        <v>2662</v>
      </c>
      <c r="D824" s="3" t="s">
        <v>95</v>
      </c>
      <c r="E824" s="3" t="s">
        <v>37</v>
      </c>
      <c r="F824" s="3" t="s">
        <v>2417</v>
      </c>
      <c r="G824" s="3" t="s">
        <v>2418</v>
      </c>
      <c r="H824" s="3" t="s">
        <v>2663</v>
      </c>
      <c r="I824" s="3" t="str">
        <f>HYPERLINK("http://www.jccm.es/sede/tramite/JZ1","COMUNICACION DE APORTACION DE MEMORIA ANUAL DE ACTIVIDADES DE ORGANISMOS DE CONTROL (OCAS)")</f>
        <v>COMUNICACION DE APORTACION DE MEMORIA ANUAL DE ACTIVIDADES DE ORGANISMOS DE CONTROL (OCAS)</v>
      </c>
      <c r="J824" s="3" t="s">
        <v>42</v>
      </c>
      <c r="K824" s="3" t="s">
        <v>41</v>
      </c>
      <c r="L824" s="3" t="s">
        <v>42</v>
      </c>
      <c r="M824" s="3" t="s">
        <v>41</v>
      </c>
    </row>
    <row r="825" spans="1:13" ht="230.1">
      <c r="A825" s="22" t="s">
        <v>11</v>
      </c>
      <c r="B825" s="3" t="s">
        <v>2664</v>
      </c>
      <c r="C825" s="3" t="s">
        <v>2665</v>
      </c>
      <c r="D825" s="3" t="s">
        <v>70</v>
      </c>
      <c r="E825" s="3" t="s">
        <v>37</v>
      </c>
      <c r="F825" s="3" t="s">
        <v>2417</v>
      </c>
      <c r="G825" s="3" t="s">
        <v>2570</v>
      </c>
      <c r="H825" s="3" t="s">
        <v>2666</v>
      </c>
      <c r="I825" s="3" t="str">
        <f>HYPERLINK("http://www.jccm.es/sede/tramite/IRS","AUTORIZACION, RENOVACION Y/O MODIFICACION DE  ENTIDADES Y PROFESIONALES PARA EL SEGUIMIENTO Y CONTROL DE ACTIVIDADES SOMETIDAS A EVALUACION DE IMPACTO AMBIENTAL")</f>
        <v>AUTORIZACION, RENOVACION Y/O MODIFICACION DE  ENTIDADES Y PROFESIONALES PARA EL SEGUIMIENTO Y CONTROL DE ACTIVIDADES SOMETIDAS A EVALUACION DE IMPACTO AMBIENTAL</v>
      </c>
      <c r="J825" s="3" t="s">
        <v>42</v>
      </c>
      <c r="K825" s="3" t="s">
        <v>41</v>
      </c>
      <c r="L825" s="3" t="s">
        <v>42</v>
      </c>
      <c r="M825" s="3" t="s">
        <v>41</v>
      </c>
    </row>
    <row r="826" spans="1:13" ht="195.6">
      <c r="A826" s="22" t="s">
        <v>11</v>
      </c>
      <c r="B826" s="3" t="s">
        <v>2667</v>
      </c>
      <c r="C826" s="3" t="s">
        <v>2668</v>
      </c>
      <c r="D826" s="3" t="s">
        <v>95</v>
      </c>
      <c r="E826" s="3" t="s">
        <v>2112</v>
      </c>
      <c r="F826" s="3" t="s">
        <v>2417</v>
      </c>
      <c r="G826" s="3" t="s">
        <v>2570</v>
      </c>
      <c r="H826" s="3" t="s">
        <v>2669</v>
      </c>
      <c r="I826" s="3" t="str">
        <f>HYPERLINK("http://www.jccm.es/sede/tramite/JZD","NOTIFICACION DE INICIO DE ACTUACION DE ORGANISMO DE CONTROL AUTORIZADOS EN EL AREA DE ATMOSFERA EN EL AMBITO TERRITORIAL DE CASTILLA-LA MANCHA")</f>
        <v>NOTIFICACION DE INICIO DE ACTUACION DE ORGANISMO DE CONTROL AUTORIZADOS EN EL AREA DE ATMOSFERA EN EL AMBITO TERRITORIAL DE CASTILLA-LA MANCHA</v>
      </c>
      <c r="J826" s="3" t="s">
        <v>42</v>
      </c>
      <c r="K826" s="3" t="s">
        <v>41</v>
      </c>
      <c r="L826" s="3" t="s">
        <v>42</v>
      </c>
      <c r="M826" s="3" t="s">
        <v>41</v>
      </c>
    </row>
    <row r="827" spans="1:13" ht="126.6">
      <c r="A827" s="22" t="s">
        <v>11</v>
      </c>
      <c r="B827" s="3" t="s">
        <v>2670</v>
      </c>
      <c r="C827" s="3" t="s">
        <v>2671</v>
      </c>
      <c r="D827" s="3" t="s">
        <v>45</v>
      </c>
      <c r="E827" s="3" t="s">
        <v>46</v>
      </c>
      <c r="F827" s="3" t="s">
        <v>2417</v>
      </c>
      <c r="G827" s="3" t="s">
        <v>2418</v>
      </c>
      <c r="H827" s="3" t="s">
        <v>2672</v>
      </c>
      <c r="I827" s="3" t="str">
        <f>HYPERLINK("http://www.jccm.es/sede/tramite/JZT","CONCURSO PUBLICO DE DERECHOS MINEROS")</f>
        <v>CONCURSO PUBLICO DE DERECHOS MINEROS</v>
      </c>
      <c r="J827" s="3" t="s">
        <v>42</v>
      </c>
      <c r="K827" s="3" t="s">
        <v>41</v>
      </c>
      <c r="L827" s="3" t="s">
        <v>42</v>
      </c>
      <c r="M827" s="3" t="s">
        <v>41</v>
      </c>
    </row>
    <row r="828" spans="1:13" ht="264.60000000000002">
      <c r="A828" s="22" t="s">
        <v>11</v>
      </c>
      <c r="B828" s="3" t="s">
        <v>2673</v>
      </c>
      <c r="C828" s="3" t="s">
        <v>2674</v>
      </c>
      <c r="D828" s="3" t="s">
        <v>95</v>
      </c>
      <c r="E828" s="3" t="s">
        <v>95</v>
      </c>
      <c r="F828" s="3" t="s">
        <v>2417</v>
      </c>
      <c r="G828" s="3" t="s">
        <v>2510</v>
      </c>
      <c r="H828" s="3" t="s">
        <v>2675</v>
      </c>
      <c r="I828" s="3" t="str">
        <f>HYPERLINK("http://www.jccm.es/sede/tramite/JF3","COMUNICACION DE REALIZACION DE ACCIONES EXCEPCIONALES PARA EL CONTROL DE DAÑOS PRODUCIDOS POR ESPECIES CINEGETICAS AUTORIZADAS EN LA RESOLUCION APROBATORIA DEL PLAN DE ORDENACION CINEGETICA")</f>
        <v>COMUNICACION DE REALIZACION DE ACCIONES EXCEPCIONALES PARA EL CONTROL DE DAÑOS PRODUCIDOS POR ESPECIES CINEGETICAS AUTORIZADAS EN LA RESOLUCION APROBATORIA DEL PLAN DE ORDENACION CINEGETICA</v>
      </c>
      <c r="J828" s="3" t="s">
        <v>41</v>
      </c>
      <c r="K828" s="3" t="s">
        <v>41</v>
      </c>
      <c r="L828" s="3" t="s">
        <v>42</v>
      </c>
      <c r="M828" s="3" t="s">
        <v>41</v>
      </c>
    </row>
    <row r="829" spans="1:13" ht="183.95">
      <c r="A829" s="22" t="s">
        <v>11</v>
      </c>
      <c r="B829" s="3" t="s">
        <v>2676</v>
      </c>
      <c r="C829" s="3" t="s">
        <v>2677</v>
      </c>
      <c r="D829" s="3" t="s">
        <v>327</v>
      </c>
      <c r="E829" s="3" t="s">
        <v>46</v>
      </c>
      <c r="F829" s="3" t="s">
        <v>2417</v>
      </c>
      <c r="G829" s="3" t="s">
        <v>2510</v>
      </c>
      <c r="H829" s="3" t="s">
        <v>2678</v>
      </c>
      <c r="I829" s="3" t="str">
        <f>HYPERLINK("http://www.jccm.es/sede/tramite/K17","HOMOLOGACION DE METODOS DE CAPTURA DE ESPECIES CINEGETICAS DEPREDADORAS, PERROS Y GATOS DOMESTICOS ASILVESTRADOS.")</f>
        <v>HOMOLOGACION DE METODOS DE CAPTURA DE ESPECIES CINEGETICAS DEPREDADORAS, PERROS Y GATOS DOMESTICOS ASILVESTRADOS.</v>
      </c>
      <c r="J829" s="3" t="s">
        <v>42</v>
      </c>
      <c r="K829" s="3" t="s">
        <v>41</v>
      </c>
      <c r="L829" s="3" t="s">
        <v>42</v>
      </c>
      <c r="M829" s="3" t="s">
        <v>41</v>
      </c>
    </row>
    <row r="830" spans="1:13" ht="114.95">
      <c r="A830" s="22" t="s">
        <v>11</v>
      </c>
      <c r="B830" s="3" t="s">
        <v>2679</v>
      </c>
      <c r="C830" s="3" t="s">
        <v>2680</v>
      </c>
      <c r="D830" s="3" t="s">
        <v>45</v>
      </c>
      <c r="E830" s="3" t="s">
        <v>46</v>
      </c>
      <c r="F830" s="3" t="s">
        <v>2417</v>
      </c>
      <c r="G830" s="3" t="s">
        <v>2570</v>
      </c>
      <c r="H830" s="3" t="s">
        <v>2681</v>
      </c>
      <c r="I830" s="3" t="str">
        <f>HYPERLINK("http://www.jccm.es/sede/tramite/JBE","AUTORIZACION DE EMISION DE GASES DE EFECTO INVERNADERO")</f>
        <v>AUTORIZACION DE EMISION DE GASES DE EFECTO INVERNADERO</v>
      </c>
      <c r="J830" s="3" t="s">
        <v>41</v>
      </c>
      <c r="K830" s="3" t="s">
        <v>41</v>
      </c>
      <c r="L830" s="3" t="s">
        <v>42</v>
      </c>
      <c r="M830" s="3" t="s">
        <v>41</v>
      </c>
    </row>
    <row r="831" spans="1:13" ht="138">
      <c r="A831" s="22" t="s">
        <v>11</v>
      </c>
      <c r="B831" s="3" t="s">
        <v>2682</v>
      </c>
      <c r="C831" s="3" t="s">
        <v>2683</v>
      </c>
      <c r="D831" s="3" t="s">
        <v>45</v>
      </c>
      <c r="E831" s="3" t="s">
        <v>46</v>
      </c>
      <c r="F831" s="3" t="s">
        <v>2417</v>
      </c>
      <c r="G831" s="3" t="s">
        <v>2510</v>
      </c>
      <c r="H831" s="3" t="s">
        <v>2684</v>
      </c>
      <c r="I831" s="3" t="str">
        <f>HYPERLINK("http://www.jccm.es/sede/tramite/JH1","APROBACION O REVISION DEL PLAN TECNICO DE PESCA")</f>
        <v>APROBACION O REVISION DEL PLAN TECNICO DE PESCA</v>
      </c>
      <c r="J831" s="3" t="s">
        <v>42</v>
      </c>
      <c r="K831" s="3" t="s">
        <v>41</v>
      </c>
      <c r="L831" s="3" t="s">
        <v>42</v>
      </c>
      <c r="M831" s="3" t="s">
        <v>41</v>
      </c>
    </row>
    <row r="832" spans="1:13" ht="149.44999999999999">
      <c r="A832" s="22" t="s">
        <v>11</v>
      </c>
      <c r="B832" s="3" t="s">
        <v>2685</v>
      </c>
      <c r="C832" s="3" t="s">
        <v>2686</v>
      </c>
      <c r="D832" s="3" t="s">
        <v>95</v>
      </c>
      <c r="E832" s="3" t="s">
        <v>95</v>
      </c>
      <c r="F832" s="3" t="s">
        <v>2417</v>
      </c>
      <c r="G832" s="3" t="s">
        <v>2510</v>
      </c>
      <c r="H832" s="3" t="s">
        <v>2687</v>
      </c>
      <c r="I832" s="3" t="str">
        <f>HYPERLINK("http://www.jccm.es/sede/tramite/KAU","COMUNICACION DE APROVECHAMIENTO FORESTAL (MONTES CON INSTRUMENTO DE GESTION FORESTAL SOSTENIBLE -IGFS-)")</f>
        <v>COMUNICACION DE APROVECHAMIENTO FORESTAL (MONTES CON INSTRUMENTO DE GESTION FORESTAL SOSTENIBLE -IGFS-)</v>
      </c>
      <c r="J832" s="3" t="s">
        <v>42</v>
      </c>
      <c r="K832" s="3" t="s">
        <v>41</v>
      </c>
      <c r="L832" s="3" t="s">
        <v>42</v>
      </c>
      <c r="M832" s="3" t="s">
        <v>41</v>
      </c>
    </row>
    <row r="833" spans="1:13" ht="114.95">
      <c r="A833" s="22" t="s">
        <v>11</v>
      </c>
      <c r="B833" s="3" t="s">
        <v>2688</v>
      </c>
      <c r="C833" s="3" t="s">
        <v>2689</v>
      </c>
      <c r="D833" s="3" t="s">
        <v>95</v>
      </c>
      <c r="E833" s="3" t="s">
        <v>95</v>
      </c>
      <c r="F833" s="3" t="s">
        <v>2417</v>
      </c>
      <c r="G833" s="3" t="s">
        <v>2570</v>
      </c>
      <c r="H833" s="3" t="s">
        <v>2690</v>
      </c>
      <c r="I833" s="3" t="str">
        <f>HYPERLINK("http://www.jccm.es/sede/tramite/JAY","COMUNICACION DE PRODUCTORES DE LODO DE EDAR")</f>
        <v>COMUNICACION DE PRODUCTORES DE LODO DE EDAR</v>
      </c>
      <c r="J833" s="3" t="s">
        <v>41</v>
      </c>
      <c r="K833" s="3" t="s">
        <v>41</v>
      </c>
      <c r="L833" s="3" t="s">
        <v>42</v>
      </c>
      <c r="M833" s="3" t="s">
        <v>41</v>
      </c>
    </row>
    <row r="834" spans="1:13" ht="161.1">
      <c r="A834" s="22" t="s">
        <v>11</v>
      </c>
      <c r="B834" s="3" t="s">
        <v>2691</v>
      </c>
      <c r="C834" s="3" t="s">
        <v>2692</v>
      </c>
      <c r="D834" s="3" t="s">
        <v>95</v>
      </c>
      <c r="E834" s="3" t="s">
        <v>95</v>
      </c>
      <c r="F834" s="3" t="s">
        <v>2417</v>
      </c>
      <c r="G834" s="3" t="s">
        <v>2570</v>
      </c>
      <c r="H834" s="3" t="s">
        <v>2693</v>
      </c>
      <c r="I834" s="3" t="str">
        <f>HYPERLINK("http://www.jccm.es/sede/tramite/K2B","ASIGNACION GRATUITA DE DERECHOS DE EMISION DE GASES DE EFECTO INVERNADERO PARA NUEVOS ENTRANTES PARA EL PERIDO 2021-2030.")</f>
        <v>ASIGNACION GRATUITA DE DERECHOS DE EMISION DE GASES DE EFECTO INVERNADERO PARA NUEVOS ENTRANTES PARA EL PERIDO 2021-2030.</v>
      </c>
      <c r="J834" s="3" t="s">
        <v>41</v>
      </c>
      <c r="K834" s="3" t="s">
        <v>41</v>
      </c>
      <c r="L834" s="3" t="s">
        <v>42</v>
      </c>
      <c r="M834" s="3" t="s">
        <v>41</v>
      </c>
    </row>
    <row r="835" spans="1:13" ht="114.95">
      <c r="A835" s="22" t="s">
        <v>11</v>
      </c>
      <c r="B835" s="3" t="s">
        <v>2694</v>
      </c>
      <c r="C835" s="3" t="s">
        <v>2695</v>
      </c>
      <c r="D835" s="3" t="s">
        <v>70</v>
      </c>
      <c r="E835" s="3" t="s">
        <v>37</v>
      </c>
      <c r="F835" s="3" t="s">
        <v>2417</v>
      </c>
      <c r="G835" s="3" t="s">
        <v>2570</v>
      </c>
      <c r="H835" s="3" t="s">
        <v>2696</v>
      </c>
      <c r="I835" s="3" t="str">
        <f>HYPERLINK("http://www.jccm.es/sede/tramite/KDD","MODIFICACION DEL PLAN DE SEGUIMIENTO DE EMISIONES DE GASES DE EFECTO INVERNADERO.")</f>
        <v>MODIFICACION DEL PLAN DE SEGUIMIENTO DE EMISIONES DE GASES DE EFECTO INVERNADERO.</v>
      </c>
      <c r="J835" s="3" t="s">
        <v>41</v>
      </c>
      <c r="K835" s="3" t="s">
        <v>41</v>
      </c>
      <c r="L835" s="3" t="s">
        <v>42</v>
      </c>
      <c r="M835" s="3" t="s">
        <v>41</v>
      </c>
    </row>
    <row r="836" spans="1:13" ht="138">
      <c r="A836" s="22" t="s">
        <v>11</v>
      </c>
      <c r="B836" s="3" t="s">
        <v>2697</v>
      </c>
      <c r="C836" s="3" t="s">
        <v>2698</v>
      </c>
      <c r="D836" s="3" t="s">
        <v>95</v>
      </c>
      <c r="E836" s="3" t="s">
        <v>95</v>
      </c>
      <c r="F836" s="3" t="s">
        <v>2417</v>
      </c>
      <c r="G836" s="3" t="s">
        <v>2510</v>
      </c>
      <c r="H836" s="3" t="s">
        <v>2699</v>
      </c>
      <c r="I836" s="3" t="str">
        <f>HYPERLINK("http://www.jccm.es/sede/tramite/KDH","COMUNICACION PARA LA REALIZACION DE REPOBLACIONES EN COTOS DE PESCA")</f>
        <v>COMUNICACION PARA LA REALIZACION DE REPOBLACIONES EN COTOS DE PESCA</v>
      </c>
      <c r="J836" s="3" t="s">
        <v>41</v>
      </c>
      <c r="K836" s="3" t="s">
        <v>41</v>
      </c>
      <c r="L836" s="3" t="s">
        <v>42</v>
      </c>
      <c r="M836" s="3" t="s">
        <v>41</v>
      </c>
    </row>
    <row r="837" spans="1:13" ht="138">
      <c r="A837" s="22" t="s">
        <v>11</v>
      </c>
      <c r="B837" s="3" t="s">
        <v>2700</v>
      </c>
      <c r="C837" s="3" t="s">
        <v>2701</v>
      </c>
      <c r="D837" s="3" t="s">
        <v>45</v>
      </c>
      <c r="E837" s="3" t="s">
        <v>46</v>
      </c>
      <c r="F837" s="3" t="s">
        <v>2417</v>
      </c>
      <c r="G837" s="3" t="s">
        <v>2510</v>
      </c>
      <c r="H837" s="3" t="s">
        <v>2702</v>
      </c>
      <c r="I837" s="3" t="str">
        <f>HYPERLINK("http://www.jccm.es/sede/tramite/KEE","LICENCIA DE CAZA Y PESCA")</f>
        <v>LICENCIA DE CAZA Y PESCA</v>
      </c>
      <c r="J837" s="3" t="s">
        <v>42</v>
      </c>
      <c r="K837" s="3" t="s">
        <v>41</v>
      </c>
      <c r="L837" s="3" t="s">
        <v>42</v>
      </c>
      <c r="M837" s="3" t="s">
        <v>41</v>
      </c>
    </row>
    <row r="838" spans="1:13" ht="138">
      <c r="A838" s="22" t="s">
        <v>11</v>
      </c>
      <c r="B838" s="3" t="s">
        <v>2703</v>
      </c>
      <c r="C838" s="3" t="s">
        <v>2704</v>
      </c>
      <c r="D838" s="3" t="s">
        <v>2705</v>
      </c>
      <c r="E838" s="3" t="s">
        <v>46</v>
      </c>
      <c r="F838" s="3" t="s">
        <v>2417</v>
      </c>
      <c r="G838" s="3" t="s">
        <v>2510</v>
      </c>
      <c r="H838" s="3" t="s">
        <v>2706</v>
      </c>
      <c r="I838" s="3" t="str">
        <f>HYPERLINK("http://www.jccm.es/sede/tramite/KGZ","ACTIVIDADES DEPORTIVAS DE AVENTURA EN EL PARQUE NATURAL DE LOS CALARES DEL MUNDO Y DE LA SIMA")</f>
        <v>ACTIVIDADES DEPORTIVAS DE AVENTURA EN EL PARQUE NATURAL DE LOS CALARES DEL MUNDO Y DE LA SIMA</v>
      </c>
      <c r="J838" s="3" t="s">
        <v>42</v>
      </c>
      <c r="K838" s="3" t="s">
        <v>41</v>
      </c>
      <c r="L838" s="3" t="s">
        <v>42</v>
      </c>
      <c r="M838" s="3" t="s">
        <v>41</v>
      </c>
    </row>
    <row r="839" spans="1:13" ht="138">
      <c r="A839" s="22" t="s">
        <v>11</v>
      </c>
      <c r="B839" s="3" t="s">
        <v>2707</v>
      </c>
      <c r="C839" s="3" t="s">
        <v>2708</v>
      </c>
      <c r="D839" s="3" t="s">
        <v>62</v>
      </c>
      <c r="E839" s="3" t="s">
        <v>46</v>
      </c>
      <c r="F839" s="3" t="s">
        <v>2417</v>
      </c>
      <c r="G839" s="3" t="s">
        <v>2510</v>
      </c>
      <c r="H839" s="3" t="s">
        <v>2709</v>
      </c>
      <c r="I839" s="3" t="str">
        <f>HYPERLINK("http://www.jccm.es/sede/tramite/KOB","AUTORIZACION RECOLECCION SETAS CON CARACTER CIENTIFICO, DIVULGATIVO Y EDUCATIVO")</f>
        <v>AUTORIZACION RECOLECCION SETAS CON CARACTER CIENTIFICO, DIVULGATIVO Y EDUCATIVO</v>
      </c>
      <c r="J839" s="3" t="s">
        <v>42</v>
      </c>
      <c r="K839" s="3" t="s">
        <v>41</v>
      </c>
      <c r="L839" s="3" t="s">
        <v>42</v>
      </c>
      <c r="M839" s="3" t="s">
        <v>41</v>
      </c>
    </row>
    <row r="840" spans="1:13" ht="126.6">
      <c r="A840" s="22" t="s">
        <v>11</v>
      </c>
      <c r="B840" s="3" t="s">
        <v>2710</v>
      </c>
      <c r="C840" s="3" t="s">
        <v>2711</v>
      </c>
      <c r="D840" s="3" t="s">
        <v>95</v>
      </c>
      <c r="E840" s="3" t="s">
        <v>95</v>
      </c>
      <c r="F840" s="3" t="s">
        <v>2417</v>
      </c>
      <c r="G840" s="3" t="s">
        <v>2418</v>
      </c>
      <c r="H840" s="3" t="s">
        <v>2712</v>
      </c>
      <c r="I840" s="3" t="str">
        <f>HYPERLINK("http://www.jccm.es/sede/tramite/KP8","COMUNICACION DE AUDITORIA ENERGETICA")</f>
        <v>COMUNICACION DE AUDITORIA ENERGETICA</v>
      </c>
      <c r="J840" s="3" t="s">
        <v>41</v>
      </c>
      <c r="K840" s="3" t="s">
        <v>41</v>
      </c>
      <c r="L840" s="3" t="s">
        <v>42</v>
      </c>
      <c r="M840" s="3" t="s">
        <v>41</v>
      </c>
    </row>
    <row r="841" spans="1:13" ht="138">
      <c r="A841" s="22" t="s">
        <v>11</v>
      </c>
      <c r="B841" s="3" t="s">
        <v>2713</v>
      </c>
      <c r="C841" s="3" t="s">
        <v>2714</v>
      </c>
      <c r="D841" s="3" t="s">
        <v>95</v>
      </c>
      <c r="E841" s="3" t="s">
        <v>95</v>
      </c>
      <c r="F841" s="3" t="s">
        <v>2417</v>
      </c>
      <c r="G841" s="3" t="s">
        <v>2510</v>
      </c>
      <c r="H841" s="3" t="s">
        <v>2715</v>
      </c>
      <c r="I841" s="3" t="str">
        <f>HYPERLINK("http://www.jccm.es/sede/tramite/KQD","COMUNICACION SOBRE EL CONTROL DE DAÑOS POR CONEJO DE MONTE EN COTOS DE CAZA INCLUIDOS EN LA DECLARACION DE COMARCA DE EMERGENCIA CINEGETICA TEMPORAL")</f>
        <v>COMUNICACION SOBRE EL CONTROL DE DAÑOS POR CONEJO DE MONTE EN COTOS DE CAZA INCLUIDOS EN LA DECLARACION DE COMARCA DE EMERGENCIA CINEGETICA TEMPORAL</v>
      </c>
      <c r="J841" s="3" t="s">
        <v>42</v>
      </c>
      <c r="K841" s="3" t="s">
        <v>41</v>
      </c>
      <c r="L841" s="3" t="s">
        <v>42</v>
      </c>
      <c r="M841" s="3" t="s">
        <v>41</v>
      </c>
    </row>
    <row r="842" spans="1:13" ht="149.44999999999999">
      <c r="A842" s="22" t="s">
        <v>11</v>
      </c>
      <c r="B842" s="3" t="s">
        <v>2716</v>
      </c>
      <c r="C842" s="3" t="s">
        <v>2717</v>
      </c>
      <c r="D842" s="3" t="s">
        <v>45</v>
      </c>
      <c r="E842" s="3" t="s">
        <v>37</v>
      </c>
      <c r="F842" s="3" t="s">
        <v>2417</v>
      </c>
      <c r="G842" s="3" t="s">
        <v>2510</v>
      </c>
      <c r="H842" s="3" t="s">
        <v>2718</v>
      </c>
      <c r="I842" s="3" t="str">
        <f>HYPERLINK("http://www.jccm.es/sede/tramite/KRE","AUTORIZACION DE VUELO DE PROGENITORES INCLUIDOS EN PROYECTO DE CRIA AUTORIZADO")</f>
        <v>AUTORIZACION DE VUELO DE PROGENITORES INCLUIDOS EN PROYECTO DE CRIA AUTORIZADO</v>
      </c>
      <c r="J842" s="3" t="s">
        <v>42</v>
      </c>
      <c r="K842" s="3" t="s">
        <v>41</v>
      </c>
      <c r="L842" s="3" t="s">
        <v>42</v>
      </c>
      <c r="M842" s="3" t="s">
        <v>41</v>
      </c>
    </row>
    <row r="843" spans="1:13" ht="195.6">
      <c r="A843" s="22" t="s">
        <v>11</v>
      </c>
      <c r="B843" s="3" t="s">
        <v>2719</v>
      </c>
      <c r="C843" s="3" t="s">
        <v>2720</v>
      </c>
      <c r="D843" s="3" t="s">
        <v>95</v>
      </c>
      <c r="E843" s="3" t="s">
        <v>95</v>
      </c>
      <c r="F843" s="3" t="s">
        <v>2417</v>
      </c>
      <c r="G843" s="3" t="s">
        <v>2570</v>
      </c>
      <c r="H843" s="3" t="s">
        <v>2721</v>
      </c>
      <c r="I843" s="3" t="str">
        <f>HYPERLINK("http://www.jccm.es/sede/tramite/KY7","COMUNICACION VALORIZACION DE MATERIALES NATURALES EXCAVADOS PARA SU UTILIZACION EN OPERACIONES DE RELLENO Y OBRAS DISTINTAS A AQUELLAS EN LAS QUE SE GENERARON")</f>
        <v>COMUNICACION VALORIZACION DE MATERIALES NATURALES EXCAVADOS PARA SU UTILIZACION EN OPERACIONES DE RELLENO Y OBRAS DISTINTAS A AQUELLAS EN LAS QUE SE GENERARON</v>
      </c>
      <c r="J843" s="3" t="s">
        <v>42</v>
      </c>
      <c r="K843" s="3" t="s">
        <v>41</v>
      </c>
      <c r="L843" s="3" t="s">
        <v>42</v>
      </c>
      <c r="M843" s="3" t="s">
        <v>41</v>
      </c>
    </row>
    <row r="844" spans="1:13" ht="149.44999999999999">
      <c r="A844" s="22" t="s">
        <v>11</v>
      </c>
      <c r="B844" s="3" t="s">
        <v>2722</v>
      </c>
      <c r="C844" s="3" t="s">
        <v>2723</v>
      </c>
      <c r="D844" s="3" t="s">
        <v>2724</v>
      </c>
      <c r="E844" s="3" t="s">
        <v>46</v>
      </c>
      <c r="F844" s="3" t="s">
        <v>2417</v>
      </c>
      <c r="G844" s="3" t="s">
        <v>2581</v>
      </c>
      <c r="H844" s="3" t="s">
        <v>2725</v>
      </c>
      <c r="I844" s="3" t="str">
        <f>HYPERLINK("http://www.jccm.es/sede/tramite/L0B","AUTORIZACION Y SEGUIMIENTO DE SISTEMAS COLECTIVOS DE RESPONSABILIDAD AMPLIADA DEL PRODUCTOR")</f>
        <v>AUTORIZACION Y SEGUIMIENTO DE SISTEMAS COLECTIVOS DE RESPONSABILIDAD AMPLIADA DEL PRODUCTOR</v>
      </c>
      <c r="J844" s="3" t="s">
        <v>41</v>
      </c>
      <c r="K844" s="3" t="s">
        <v>41</v>
      </c>
      <c r="L844" s="3" t="s">
        <v>42</v>
      </c>
      <c r="M844" s="3" t="s">
        <v>41</v>
      </c>
    </row>
    <row r="845" spans="1:13" ht="138">
      <c r="A845" s="22" t="s">
        <v>11</v>
      </c>
      <c r="B845" s="3" t="s">
        <v>2726</v>
      </c>
      <c r="C845" s="3" t="s">
        <v>2727</v>
      </c>
      <c r="D845" s="3" t="s">
        <v>95</v>
      </c>
      <c r="E845" s="3" t="s">
        <v>95</v>
      </c>
      <c r="F845" s="3" t="s">
        <v>2417</v>
      </c>
      <c r="G845" s="3" t="s">
        <v>2581</v>
      </c>
      <c r="H845" s="3" t="s">
        <v>2728</v>
      </c>
      <c r="I845" s="3" t="str">
        <f>HYPERLINK("http://www.jccm.es/sede/tramite/L0C","COMUNICACION PREVIA Y SEGUIMIENTO DE SISTEMAS INDIVIDUALES DE RESPONSABILIDAD AMPLIADA DEL PRODUCTOR")</f>
        <v>COMUNICACION PREVIA Y SEGUIMIENTO DE SISTEMAS INDIVIDUALES DE RESPONSABILIDAD AMPLIADA DEL PRODUCTOR</v>
      </c>
      <c r="J845" s="3" t="s">
        <v>41</v>
      </c>
      <c r="K845" s="3" t="s">
        <v>41</v>
      </c>
      <c r="L845" s="3" t="s">
        <v>42</v>
      </c>
      <c r="M845" s="3" t="s">
        <v>41</v>
      </c>
    </row>
    <row r="846" spans="1:13" ht="138">
      <c r="A846" s="22" t="s">
        <v>11</v>
      </c>
      <c r="B846" s="3" t="s">
        <v>2729</v>
      </c>
      <c r="C846" s="3" t="s">
        <v>2730</v>
      </c>
      <c r="D846" s="3" t="s">
        <v>95</v>
      </c>
      <c r="E846" s="3" t="s">
        <v>95</v>
      </c>
      <c r="F846" s="3" t="s">
        <v>2417</v>
      </c>
      <c r="G846" s="3" t="s">
        <v>2510</v>
      </c>
      <c r="H846" s="3" t="s">
        <v>2731</v>
      </c>
      <c r="I846" s="3" t="str">
        <f>HYPERLINK("http://www.jccm.es/sede/tramite/L1E","SORTEO DE PERMISOS DE CAZA EN COTOS SOCIALES.")</f>
        <v>SORTEO DE PERMISOS DE CAZA EN COTOS SOCIALES.</v>
      </c>
      <c r="J846" s="3" t="s">
        <v>42</v>
      </c>
      <c r="K846" s="3" t="s">
        <v>41</v>
      </c>
      <c r="L846" s="3" t="s">
        <v>42</v>
      </c>
      <c r="M846" s="3" t="s">
        <v>41</v>
      </c>
    </row>
    <row r="847" spans="1:13" ht="114.95">
      <c r="A847" s="22" t="s">
        <v>11</v>
      </c>
      <c r="B847" s="3" t="s">
        <v>2732</v>
      </c>
      <c r="C847" s="3" t="s">
        <v>2733</v>
      </c>
      <c r="D847" s="3" t="s">
        <v>95</v>
      </c>
      <c r="E847" s="3" t="s">
        <v>95</v>
      </c>
      <c r="F847" s="3" t="s">
        <v>2417</v>
      </c>
      <c r="G847" s="3" t="s">
        <v>2570</v>
      </c>
      <c r="H847" s="3" t="s">
        <v>2734</v>
      </c>
      <c r="I847" s="3" t="str">
        <f>HYPERLINK("http://www.jccm.es/sede/tramite/L1Z","COMUNICACION PREVIA PLATAFORMAS LOGISTICAS DE LA DISTRIBUCION RAEE")</f>
        <v>COMUNICACION PREVIA PLATAFORMAS LOGISTICAS DE LA DISTRIBUCION RAEE</v>
      </c>
      <c r="J847" s="3" t="s">
        <v>42</v>
      </c>
      <c r="K847" s="3" t="s">
        <v>41</v>
      </c>
      <c r="L847" s="3" t="s">
        <v>42</v>
      </c>
      <c r="M847" s="3" t="s">
        <v>41</v>
      </c>
    </row>
    <row r="848" spans="1:13" ht="299.10000000000002">
      <c r="A848" s="22" t="s">
        <v>11</v>
      </c>
      <c r="B848" s="3" t="s">
        <v>2735</v>
      </c>
      <c r="C848" s="3" t="s">
        <v>2736</v>
      </c>
      <c r="D848" s="3" t="s">
        <v>2737</v>
      </c>
      <c r="E848" s="3" t="s">
        <v>37</v>
      </c>
      <c r="F848" s="3" t="s">
        <v>2417</v>
      </c>
      <c r="G848" s="3" t="s">
        <v>2570</v>
      </c>
      <c r="H848" s="3" t="s">
        <v>2738</v>
      </c>
      <c r="I848" s="3" t="str">
        <f>HYPERLINK("http://www.jccm.es/sede/tramite/L3Y","COMUNICACION DE AMENAZA INMINENTE DE DAÑOS Y/O DAÑOS, Y DE MEDIDAS DE PREVENCION Y EVITACION DE NUEVOS DAÑOS ADOPTADAS: INICIO DEL PROCEDIMIENTO DE EXIGENCIA DE RESPONSABILIDAD MEDIOAMBIENTAL")</f>
        <v>COMUNICACION DE AMENAZA INMINENTE DE DAÑOS Y/O DAÑOS, Y DE MEDIDAS DE PREVENCION Y EVITACION DE NUEVOS DAÑOS ADOPTADAS: INICIO DEL PROCEDIMIENTO DE EXIGENCIA DE RESPONSABILIDAD MEDIOAMBIENTAL</v>
      </c>
      <c r="J848" s="3" t="s">
        <v>42</v>
      </c>
      <c r="K848" s="3" t="s">
        <v>41</v>
      </c>
      <c r="L848" s="3" t="s">
        <v>42</v>
      </c>
      <c r="M848" s="3" t="s">
        <v>41</v>
      </c>
    </row>
    <row r="849" spans="1:13" ht="252.95">
      <c r="A849" s="22" t="s">
        <v>11</v>
      </c>
      <c r="B849" s="3" t="s">
        <v>2739</v>
      </c>
      <c r="C849" s="3" t="s">
        <v>2740</v>
      </c>
      <c r="D849" s="3" t="s">
        <v>327</v>
      </c>
      <c r="E849" s="3" t="s">
        <v>46</v>
      </c>
      <c r="F849" s="3" t="s">
        <v>2417</v>
      </c>
      <c r="G849" s="3" t="s">
        <v>2510</v>
      </c>
      <c r="H849" s="3" t="s">
        <v>2741</v>
      </c>
      <c r="I849" s="3" t="str">
        <f>HYPERLINK("http://www.jccm.es/sede/tramite/L4Q","AUTORIZACION DE MATERIALES DE BASE PARA LA PRODUCCION DE MATERIALES FORESTALES DE REPRODUCCION DESTINADOS A LA COMERCIALIZACION EN LAS CATEGORIAS IDENTIFICADO Y CONTROLADO")</f>
        <v>AUTORIZACION DE MATERIALES DE BASE PARA LA PRODUCCION DE MATERIALES FORESTALES DE REPRODUCCION DESTINADOS A LA COMERCIALIZACION EN LAS CATEGORIAS IDENTIFICADO Y CONTROLADO</v>
      </c>
      <c r="J849" s="3" t="s">
        <v>42</v>
      </c>
      <c r="K849" s="3" t="s">
        <v>41</v>
      </c>
      <c r="L849" s="3" t="s">
        <v>42</v>
      </c>
      <c r="M849" s="3" t="s">
        <v>41</v>
      </c>
    </row>
    <row r="850" spans="1:13" ht="114.95">
      <c r="A850" s="22" t="s">
        <v>11</v>
      </c>
      <c r="B850" s="3" t="s">
        <v>2742</v>
      </c>
      <c r="C850" s="3" t="s">
        <v>2743</v>
      </c>
      <c r="D850" s="3" t="s">
        <v>45</v>
      </c>
      <c r="E850" s="3" t="s">
        <v>46</v>
      </c>
      <c r="F850" s="3" t="s">
        <v>2417</v>
      </c>
      <c r="G850" s="3" t="s">
        <v>2570</v>
      </c>
      <c r="H850" s="3" t="s">
        <v>2744</v>
      </c>
      <c r="I850" s="3" t="str">
        <f>HYPERLINK("http://www.jccm.es/sede/tramite/L4X","APROBACION DEL PLAN DE PRODUCCION Y/O GESTION DE ESTIERCOLES GANADEROS")</f>
        <v>APROBACION DEL PLAN DE PRODUCCION Y/O GESTION DE ESTIERCOLES GANADEROS</v>
      </c>
      <c r="J850" s="3" t="s">
        <v>42</v>
      </c>
      <c r="K850" s="3" t="s">
        <v>41</v>
      </c>
      <c r="L850" s="3" t="s">
        <v>42</v>
      </c>
      <c r="M850" s="3" t="s">
        <v>41</v>
      </c>
    </row>
    <row r="851" spans="1:13" ht="161.1">
      <c r="A851" s="22" t="s">
        <v>11</v>
      </c>
      <c r="B851" s="3" t="s">
        <v>2745</v>
      </c>
      <c r="C851" s="3" t="s">
        <v>2746</v>
      </c>
      <c r="D851" s="3" t="s">
        <v>45</v>
      </c>
      <c r="E851" s="3" t="s">
        <v>46</v>
      </c>
      <c r="F851" s="3" t="s">
        <v>2417</v>
      </c>
      <c r="G851" s="3" t="s">
        <v>2510</v>
      </c>
      <c r="H851" s="3" t="s">
        <v>2747</v>
      </c>
      <c r="I851" s="3" t="str">
        <f>HYPERLINK("http://www.jccm.es/sede/tramite/L8I","COMPRA DE PRODUCTOS CINEGETICOS DE GRANJAS CINEGETICAS GESTIONADAS POR LA JUNTA DE COMUNIDADES DE CASTILLA-LA MANCHA.")</f>
        <v>COMPRA DE PRODUCTOS CINEGETICOS DE GRANJAS CINEGETICAS GESTIONADAS POR LA JUNTA DE COMUNIDADES DE CASTILLA-LA MANCHA.</v>
      </c>
      <c r="J851" s="3" t="s">
        <v>41</v>
      </c>
      <c r="K851" s="3" t="s">
        <v>41</v>
      </c>
      <c r="L851" s="3" t="s">
        <v>42</v>
      </c>
      <c r="M851" s="3" t="s">
        <v>41</v>
      </c>
    </row>
    <row r="852" spans="1:13" ht="264.60000000000002">
      <c r="A852" s="22" t="s">
        <v>11</v>
      </c>
      <c r="B852" s="3" t="s">
        <v>2748</v>
      </c>
      <c r="C852" s="3" t="s">
        <v>2749</v>
      </c>
      <c r="D852" s="3" t="s">
        <v>51</v>
      </c>
      <c r="E852" s="3" t="s">
        <v>46</v>
      </c>
      <c r="F852" s="3" t="s">
        <v>2417</v>
      </c>
      <c r="G852" s="3" t="s">
        <v>2510</v>
      </c>
      <c r="H852" s="3" t="s">
        <v>2750</v>
      </c>
      <c r="I852" s="3" t="str">
        <f>HYPERLINK("http://www.jccm.es/sede/tramite/LBA","RENOVACION DE CARNET DE ESPECIALISTA ACREDITADO/A PARA EL USO DE METODOS HOMOLOGADOS DE CAPTURA DE ESPECIES CINEGETICAS DEPREDADORAS, PERROS Y GATOS DOMESTICOS ASILVESTRADOS")</f>
        <v>RENOVACION DE CARNET DE ESPECIALISTA ACREDITADO/A PARA EL USO DE METODOS HOMOLOGADOS DE CAPTURA DE ESPECIES CINEGETICAS DEPREDADORAS, PERROS Y GATOS DOMESTICOS ASILVESTRADOS</v>
      </c>
      <c r="J852" s="3" t="s">
        <v>42</v>
      </c>
      <c r="K852" s="3" t="s">
        <v>41</v>
      </c>
      <c r="L852" s="3" t="s">
        <v>42</v>
      </c>
      <c r="M852" s="3" t="s">
        <v>41</v>
      </c>
    </row>
    <row r="853" spans="1:13" ht="114.95">
      <c r="A853" s="22" t="s">
        <v>11</v>
      </c>
      <c r="B853" s="3" t="s">
        <v>2751</v>
      </c>
      <c r="C853" s="3" t="s">
        <v>2752</v>
      </c>
      <c r="D853" s="3" t="s">
        <v>95</v>
      </c>
      <c r="E853" s="3" t="s">
        <v>95</v>
      </c>
      <c r="F853" s="3" t="s">
        <v>2417</v>
      </c>
      <c r="G853" s="3" t="s">
        <v>2570</v>
      </c>
      <c r="H853" s="3" t="s">
        <v>2753</v>
      </c>
      <c r="I853" s="3" t="str">
        <f>HYPERLINK("http://www.jccm.es/sede/tramite/LCW","DOCUMENTO DE IDENTIFICACION DE RESIDUOS")</f>
        <v>DOCUMENTO DE IDENTIFICACION DE RESIDUOS</v>
      </c>
      <c r="J853" s="3" t="s">
        <v>41</v>
      </c>
      <c r="K853" s="3" t="s">
        <v>41</v>
      </c>
      <c r="L853" s="3" t="s">
        <v>42</v>
      </c>
      <c r="M853" s="3" t="s">
        <v>41</v>
      </c>
    </row>
    <row r="854" spans="1:13" ht="138">
      <c r="A854" s="22" t="s">
        <v>11</v>
      </c>
      <c r="B854" s="3" t="s">
        <v>2754</v>
      </c>
      <c r="C854" s="3" t="s">
        <v>2755</v>
      </c>
      <c r="D854" s="3" t="s">
        <v>45</v>
      </c>
      <c r="E854" s="3" t="s">
        <v>46</v>
      </c>
      <c r="F854" s="3" t="s">
        <v>2417</v>
      </c>
      <c r="G854" s="3" t="s">
        <v>2510</v>
      </c>
      <c r="H854" s="3" t="s">
        <v>2756</v>
      </c>
      <c r="I854" s="3" t="str">
        <f>HYPERLINK("http://www.jccm.es/sede/tramite/LDJ","SOLICITUD DE ENVIO DE PRECINTOS PARA LA ACTIVIDAD CINEGETICA")</f>
        <v>SOLICITUD DE ENVIO DE PRECINTOS PARA LA ACTIVIDAD CINEGETICA</v>
      </c>
      <c r="J854" s="3" t="s">
        <v>41</v>
      </c>
      <c r="K854" s="3" t="s">
        <v>41</v>
      </c>
      <c r="L854" s="3" t="s">
        <v>42</v>
      </c>
      <c r="M854" s="3" t="s">
        <v>41</v>
      </c>
    </row>
    <row r="855" spans="1:13" ht="138">
      <c r="A855" s="22" t="s">
        <v>11</v>
      </c>
      <c r="B855" s="3" t="s">
        <v>2757</v>
      </c>
      <c r="C855" s="3" t="s">
        <v>2758</v>
      </c>
      <c r="D855" s="3" t="s">
        <v>95</v>
      </c>
      <c r="E855" s="3" t="s">
        <v>95</v>
      </c>
      <c r="F855" s="3" t="s">
        <v>2417</v>
      </c>
      <c r="G855" s="3" t="s">
        <v>2510</v>
      </c>
      <c r="H855" s="3" t="s">
        <v>2759</v>
      </c>
      <c r="I855" s="3" t="str">
        <f>HYPERLINK("http://www.jccm.es/sede/tramite/LEC","COMUNICACION DE RESULTADOS DE LA ACTIVIDAD CINEGETICA DURANTE EL PERIODO DE MEDIA VEDA.")</f>
        <v>COMUNICACION DE RESULTADOS DE LA ACTIVIDAD CINEGETICA DURANTE EL PERIODO DE MEDIA VEDA.</v>
      </c>
      <c r="J855" s="3" t="s">
        <v>41</v>
      </c>
      <c r="K855" s="3" t="s">
        <v>41</v>
      </c>
      <c r="L855" s="3" t="s">
        <v>42</v>
      </c>
      <c r="M855" s="3" t="s">
        <v>41</v>
      </c>
    </row>
    <row r="856" spans="1:13" ht="149.44999999999999">
      <c r="A856" s="22" t="s">
        <v>11</v>
      </c>
      <c r="B856" s="3" t="s">
        <v>2760</v>
      </c>
      <c r="C856" s="3" t="s">
        <v>2761</v>
      </c>
      <c r="D856" s="3" t="s">
        <v>45</v>
      </c>
      <c r="E856" s="3" t="s">
        <v>37</v>
      </c>
      <c r="F856" s="3" t="s">
        <v>2417</v>
      </c>
      <c r="G856" s="3" t="s">
        <v>2570</v>
      </c>
      <c r="H856" s="3" t="s">
        <v>2762</v>
      </c>
      <c r="I856" s="3" t="str">
        <f>HYPERLINK("http://www.jccm.es/sede/tramite/LKT","OBTENCION DE NIMA PARA ENTIDADES NO SUJETAS A COMUNICACION DE INICIO, NI A AUTORIZACION DE RESIDUOS. POSEEDOR")</f>
        <v>OBTENCION DE NIMA PARA ENTIDADES NO SUJETAS A COMUNICACION DE INICIO, NI A AUTORIZACION DE RESIDUOS. POSEEDOR</v>
      </c>
      <c r="J856" s="3" t="s">
        <v>41</v>
      </c>
      <c r="K856" s="3" t="s">
        <v>41</v>
      </c>
      <c r="L856" s="3" t="s">
        <v>42</v>
      </c>
      <c r="M856" s="3" t="s">
        <v>41</v>
      </c>
    </row>
    <row r="857" spans="1:13" ht="138">
      <c r="A857" s="22" t="s">
        <v>11</v>
      </c>
      <c r="B857" s="3" t="s">
        <v>2763</v>
      </c>
      <c r="C857" s="3" t="s">
        <v>2764</v>
      </c>
      <c r="D857" s="3" t="s">
        <v>45</v>
      </c>
      <c r="E857" s="3" t="s">
        <v>37</v>
      </c>
      <c r="F857" s="3" t="s">
        <v>2417</v>
      </c>
      <c r="G857" s="3" t="s">
        <v>2510</v>
      </c>
      <c r="H857" s="3" t="s">
        <v>2765</v>
      </c>
      <c r="I857" s="3" t="str">
        <f>HYPERLINK("http://www.jccm.es/sede/tramite/LML","AUTORIZACION DE ALIMENTACION SUPLEMENTARIA EN TERRENOS CINEGETICOS.")</f>
        <v>AUTORIZACION DE ALIMENTACION SUPLEMENTARIA EN TERRENOS CINEGETICOS.</v>
      </c>
      <c r="J857" s="3" t="s">
        <v>41</v>
      </c>
      <c r="K857" s="3" t="s">
        <v>41</v>
      </c>
      <c r="L857" s="3" t="s">
        <v>42</v>
      </c>
      <c r="M857" s="3" t="s">
        <v>41</v>
      </c>
    </row>
    <row r="858" spans="1:13" ht="138">
      <c r="A858" s="22" t="s">
        <v>11</v>
      </c>
      <c r="B858" s="3" t="s">
        <v>2766</v>
      </c>
      <c r="C858" s="3" t="s">
        <v>2767</v>
      </c>
      <c r="D858" s="3" t="s">
        <v>45</v>
      </c>
      <c r="E858" s="3" t="s">
        <v>46</v>
      </c>
      <c r="F858" s="3" t="s">
        <v>2417</v>
      </c>
      <c r="G858" s="3" t="s">
        <v>2510</v>
      </c>
      <c r="H858" s="3" t="s">
        <v>2768</v>
      </c>
      <c r="I858" s="3" t="str">
        <f>HYPERLINK("http://www.jccm.es/sede/tramite/LOA","COMUNICACION PARA EL RECONOCIMIENTO DE LA CONDICION DE TITULAR DEL APROVECHAMIENTO CINEGETICO")</f>
        <v>COMUNICACION PARA EL RECONOCIMIENTO DE LA CONDICION DE TITULAR DEL APROVECHAMIENTO CINEGETICO</v>
      </c>
      <c r="J858" s="3" t="s">
        <v>42</v>
      </c>
      <c r="K858" s="3" t="s">
        <v>41</v>
      </c>
      <c r="L858" s="3" t="s">
        <v>42</v>
      </c>
      <c r="M858" s="3" t="s">
        <v>41</v>
      </c>
    </row>
    <row r="859" spans="1:13" ht="126.6">
      <c r="A859" s="22" t="s">
        <v>11</v>
      </c>
      <c r="B859" s="3" t="s">
        <v>2769</v>
      </c>
      <c r="C859" s="3" t="s">
        <v>2770</v>
      </c>
      <c r="D859" s="3" t="s">
        <v>2771</v>
      </c>
      <c r="E859" s="3" t="s">
        <v>37</v>
      </c>
      <c r="F859" s="3" t="s">
        <v>2417</v>
      </c>
      <c r="G859" s="3" t="s">
        <v>2418</v>
      </c>
      <c r="H859" s="3" t="s">
        <v>2772</v>
      </c>
      <c r="I859" s="3" t="str">
        <f>HYPERLINK("http://www.jccm.es/sede/tramite/LQZ","AUTORIZACION DE INTERRUPCIONES DEL SUMINISTRO ELECTRICO PROGRAMADAS.")</f>
        <v>AUTORIZACION DE INTERRUPCIONES DEL SUMINISTRO ELECTRICO PROGRAMADAS.</v>
      </c>
      <c r="J859" s="3" t="s">
        <v>41</v>
      </c>
      <c r="K859" s="3" t="s">
        <v>41</v>
      </c>
      <c r="L859" s="3" t="s">
        <v>42</v>
      </c>
      <c r="M859" s="3" t="s">
        <v>41</v>
      </c>
    </row>
    <row r="860" spans="1:13" ht="264.60000000000002">
      <c r="A860" s="22" t="s">
        <v>11</v>
      </c>
      <c r="B860" s="3" t="s">
        <v>2773</v>
      </c>
      <c r="C860" s="3" t="s">
        <v>2774</v>
      </c>
      <c r="D860" s="3" t="s">
        <v>2775</v>
      </c>
      <c r="E860" s="3" t="s">
        <v>95</v>
      </c>
      <c r="F860" s="3" t="s">
        <v>2417</v>
      </c>
      <c r="G860" s="3" t="s">
        <v>2510</v>
      </c>
      <c r="H860" s="3" t="s">
        <v>2776</v>
      </c>
      <c r="I860" s="3" t="str">
        <f>HYPERLINK("http://www.jccm.es/sede/tramite/LTF","ACTIVIDADES RECREATIVAS, DEPORTIVAS Y DE USO PUBLICO EN LA RED DE AREAS PROTEGIDAS, MONTES DE UTILIDAD PUBLICA Y MEDIO NATURAL (EXCEPTO PARQUE NATURAL DE CALARES DEL MUNDO Y DE LA SIMA)")</f>
        <v>ACTIVIDADES RECREATIVAS, DEPORTIVAS Y DE USO PUBLICO EN LA RED DE AREAS PROTEGIDAS, MONTES DE UTILIDAD PUBLICA Y MEDIO NATURAL (EXCEPTO PARQUE NATURAL DE CALARES DEL MUNDO Y DE LA SIMA)</v>
      </c>
      <c r="J860" s="3" t="s">
        <v>42</v>
      </c>
      <c r="K860" s="3" t="s">
        <v>41</v>
      </c>
      <c r="L860" s="3" t="s">
        <v>42</v>
      </c>
      <c r="M860" s="3" t="s">
        <v>41</v>
      </c>
    </row>
    <row r="861" spans="1:13" ht="138">
      <c r="A861" s="22" t="s">
        <v>11</v>
      </c>
      <c r="B861" s="3" t="s">
        <v>2777</v>
      </c>
      <c r="C861" s="3" t="s">
        <v>2778</v>
      </c>
      <c r="D861" s="3" t="s">
        <v>95</v>
      </c>
      <c r="E861" s="3" t="s">
        <v>37</v>
      </c>
      <c r="F861" s="3" t="s">
        <v>2417</v>
      </c>
      <c r="G861" s="3" t="s">
        <v>2510</v>
      </c>
      <c r="H861" s="3" t="s">
        <v>2779</v>
      </c>
      <c r="I861" s="3" t="str">
        <f>HYPERLINK("http://www.jccm.es/sede/tramite/LTH","COMUNICACION DE SUELTAS DE PIEZAS DE CAZA VIVA EN CUARTELES DE CAZA COMERCIAL.")</f>
        <v>COMUNICACION DE SUELTAS DE PIEZAS DE CAZA VIVA EN CUARTELES DE CAZA COMERCIAL.</v>
      </c>
      <c r="J861" s="3" t="s">
        <v>41</v>
      </c>
      <c r="K861" s="3" t="s">
        <v>41</v>
      </c>
      <c r="L861" s="3" t="s">
        <v>42</v>
      </c>
      <c r="M861" s="3" t="s">
        <v>41</v>
      </c>
    </row>
    <row r="862" spans="1:13" ht="161.1">
      <c r="A862" s="22" t="s">
        <v>11</v>
      </c>
      <c r="B862" s="3" t="s">
        <v>2780</v>
      </c>
      <c r="C862" s="3" t="s">
        <v>2781</v>
      </c>
      <c r="D862" s="3" t="s">
        <v>45</v>
      </c>
      <c r="E862" s="3" t="s">
        <v>46</v>
      </c>
      <c r="F862" s="3" t="s">
        <v>2417</v>
      </c>
      <c r="G862" s="3" t="s">
        <v>2510</v>
      </c>
      <c r="H862" s="3" t="s">
        <v>2782</v>
      </c>
      <c r="I862" s="3" t="str">
        <f>HYPERLINK("http://www.jccm.es/sede/tramite/LUF","AUTORIZACION PARA LA INSTALACION DE CAPTURADERO DE CAZA O PARQUE DE VUELO PARA ACLIMATACION DE ESPECIES CINEGETICAS")</f>
        <v>AUTORIZACION PARA LA INSTALACION DE CAPTURADERO DE CAZA O PARQUE DE VUELO PARA ACLIMATACION DE ESPECIES CINEGETICAS</v>
      </c>
      <c r="J862" s="3" t="s">
        <v>41</v>
      </c>
      <c r="K862" s="3" t="s">
        <v>41</v>
      </c>
      <c r="L862" s="3" t="s">
        <v>42</v>
      </c>
      <c r="M862" s="3" t="s">
        <v>41</v>
      </c>
    </row>
    <row r="863" spans="1:13" ht="138">
      <c r="A863" s="22" t="s">
        <v>11</v>
      </c>
      <c r="B863" s="3" t="s">
        <v>2783</v>
      </c>
      <c r="C863" s="3" t="s">
        <v>2784</v>
      </c>
      <c r="D863" s="3" t="s">
        <v>95</v>
      </c>
      <c r="E863" s="3" t="s">
        <v>46</v>
      </c>
      <c r="F863" s="3" t="s">
        <v>2417</v>
      </c>
      <c r="G863" s="3" t="s">
        <v>2510</v>
      </c>
      <c r="H863" s="3" t="s">
        <v>2785</v>
      </c>
      <c r="I863" s="3" t="str">
        <f>HYPERLINK("http://www.jccm.es/sede/tramite/JF6","APROBACION PLAN DE ORDENACION CINEGETICA")</f>
        <v>APROBACION PLAN DE ORDENACION CINEGETICA</v>
      </c>
      <c r="J863" s="3" t="s">
        <v>42</v>
      </c>
      <c r="K863" s="3" t="s">
        <v>41</v>
      </c>
      <c r="L863" s="3" t="s">
        <v>42</v>
      </c>
      <c r="M863" s="3" t="s">
        <v>41</v>
      </c>
    </row>
    <row r="864" spans="1:13" ht="138">
      <c r="A864" s="22" t="s">
        <v>11</v>
      </c>
      <c r="B864" s="3" t="s">
        <v>2786</v>
      </c>
      <c r="C864" s="3" t="s">
        <v>2787</v>
      </c>
      <c r="D864" s="3" t="s">
        <v>95</v>
      </c>
      <c r="E864" s="3" t="s">
        <v>46</v>
      </c>
      <c r="F864" s="3" t="s">
        <v>2417</v>
      </c>
      <c r="G864" s="3" t="s">
        <v>2510</v>
      </c>
      <c r="H864" s="3" t="s">
        <v>2788</v>
      </c>
      <c r="I864" s="3" t="str">
        <f>HYPERLINK("http://www.jccm.es/sede/tramite/KRK","MEMORIA ANUAL DE GESTION CINEGETICA")</f>
        <v>MEMORIA ANUAL DE GESTION CINEGETICA</v>
      </c>
      <c r="J864" s="3" t="s">
        <v>42</v>
      </c>
      <c r="K864" s="3" t="s">
        <v>41</v>
      </c>
      <c r="L864" s="3" t="s">
        <v>42</v>
      </c>
      <c r="M864" s="3" t="s">
        <v>41</v>
      </c>
    </row>
    <row r="865" spans="1:13" ht="138">
      <c r="A865" s="22" t="s">
        <v>11</v>
      </c>
      <c r="B865" s="3" t="s">
        <v>2789</v>
      </c>
      <c r="C865" s="3" t="s">
        <v>2790</v>
      </c>
      <c r="D865" s="3" t="s">
        <v>45</v>
      </c>
      <c r="E865" s="3" t="s">
        <v>46</v>
      </c>
      <c r="F865" s="3" t="s">
        <v>2417</v>
      </c>
      <c r="G865" s="3" t="s">
        <v>2510</v>
      </c>
      <c r="H865" s="3" t="s">
        <v>2791</v>
      </c>
      <c r="I865" s="3" t="str">
        <f>HYPERLINK("http://www.jccm.es/sede/tramite/204","AUTORIZACION, MODIFICACION O CAMBIO DE TITULAR DE GRANJAS CINEGETICAS.")</f>
        <v>AUTORIZACION, MODIFICACION O CAMBIO DE TITULAR DE GRANJAS CINEGETICAS.</v>
      </c>
      <c r="J865" s="3" t="s">
        <v>41</v>
      </c>
      <c r="K865" s="3" t="s">
        <v>41</v>
      </c>
      <c r="L865" s="3" t="s">
        <v>42</v>
      </c>
      <c r="M865" s="3" t="s">
        <v>41</v>
      </c>
    </row>
    <row r="866" spans="1:13" ht="138">
      <c r="A866" s="22" t="s">
        <v>11</v>
      </c>
      <c r="B866" s="3" t="s">
        <v>2792</v>
      </c>
      <c r="C866" s="3" t="s">
        <v>2793</v>
      </c>
      <c r="D866" s="3" t="s">
        <v>45</v>
      </c>
      <c r="E866" s="3" t="s">
        <v>46</v>
      </c>
      <c r="F866" s="3" t="s">
        <v>2417</v>
      </c>
      <c r="G866" s="3" t="s">
        <v>2510</v>
      </c>
      <c r="H866" s="3" t="s">
        <v>2794</v>
      </c>
      <c r="I866" s="3" t="str">
        <f>HYPERLINK("http://www.jccm.es/sede/tramite/KKX","MEMORIA ANUAL DE GESTION (GRANJAS CINEGETICAS)")</f>
        <v>MEMORIA ANUAL DE GESTION (GRANJAS CINEGETICAS)</v>
      </c>
      <c r="J866" s="3" t="s">
        <v>41</v>
      </c>
      <c r="K866" s="3" t="s">
        <v>41</v>
      </c>
      <c r="L866" s="3" t="s">
        <v>42</v>
      </c>
      <c r="M866" s="3" t="s">
        <v>41</v>
      </c>
    </row>
    <row r="867" spans="1:13" ht="138">
      <c r="A867" s="22" t="s">
        <v>11</v>
      </c>
      <c r="B867" s="3" t="s">
        <v>2795</v>
      </c>
      <c r="C867" s="3" t="s">
        <v>2796</v>
      </c>
      <c r="D867" s="3" t="s">
        <v>62</v>
      </c>
      <c r="E867" s="3" t="s">
        <v>46</v>
      </c>
      <c r="F867" s="3" t="s">
        <v>2417</v>
      </c>
      <c r="G867" s="3" t="s">
        <v>2510</v>
      </c>
      <c r="H867" s="3" t="s">
        <v>2797</v>
      </c>
      <c r="I867" s="3" t="str">
        <f>HYPERLINK("http://www.jccm.es/sede/tramite/KPE","AUTORIZACION DE COMPETICIONES Y CONCURSOS DE PESCA")</f>
        <v>AUTORIZACION DE COMPETICIONES Y CONCURSOS DE PESCA</v>
      </c>
      <c r="J867" s="3" t="s">
        <v>41</v>
      </c>
      <c r="K867" s="3" t="s">
        <v>41</v>
      </c>
      <c r="L867" s="3" t="s">
        <v>42</v>
      </c>
      <c r="M867" s="3" t="s">
        <v>41</v>
      </c>
    </row>
    <row r="868" spans="1:13" ht="138">
      <c r="A868" s="22" t="s">
        <v>11</v>
      </c>
      <c r="B868" s="3" t="s">
        <v>2798</v>
      </c>
      <c r="C868" s="3" t="s">
        <v>2799</v>
      </c>
      <c r="D868" s="3" t="s">
        <v>62</v>
      </c>
      <c r="E868" s="3" t="s">
        <v>46</v>
      </c>
      <c r="F868" s="3" t="s">
        <v>2417</v>
      </c>
      <c r="G868" s="3" t="s">
        <v>2510</v>
      </c>
      <c r="H868" s="3" t="s">
        <v>2800</v>
      </c>
      <c r="I868" s="3" t="str">
        <f>HYPERLINK("http://www.jccm.es/sede/tramite/JFI","AUTORIZACION DE CONCURSOS Y COMPETICIONES DE PESCA NOCTURNA")</f>
        <v>AUTORIZACION DE CONCURSOS Y COMPETICIONES DE PESCA NOCTURNA</v>
      </c>
      <c r="J868" s="3" t="s">
        <v>41</v>
      </c>
      <c r="K868" s="3" t="s">
        <v>41</v>
      </c>
      <c r="L868" s="3" t="s">
        <v>42</v>
      </c>
      <c r="M868" s="3" t="s">
        <v>41</v>
      </c>
    </row>
    <row r="869" spans="1:13" ht="126.6">
      <c r="A869" s="22" t="s">
        <v>11</v>
      </c>
      <c r="B869" s="3" t="s">
        <v>2801</v>
      </c>
      <c r="C869" s="3" t="s">
        <v>2802</v>
      </c>
      <c r="D869" s="3" t="s">
        <v>327</v>
      </c>
      <c r="E869" s="3" t="s">
        <v>46</v>
      </c>
      <c r="F869" s="3" t="s">
        <v>2417</v>
      </c>
      <c r="G869" s="3" t="s">
        <v>2418</v>
      </c>
      <c r="H869" s="3" t="s">
        <v>2803</v>
      </c>
      <c r="I869" s="3" t="str">
        <f>HYPERLINK("http://www.jccm.es/sede/tramite/IKQ","AUTORIZACION DE EXPLORACION DE HIDROCARBUROS.")</f>
        <v>AUTORIZACION DE EXPLORACION DE HIDROCARBUROS.</v>
      </c>
      <c r="J869" s="3" t="s">
        <v>41</v>
      </c>
      <c r="K869" s="3" t="s">
        <v>41</v>
      </c>
      <c r="L869" s="3" t="s">
        <v>42</v>
      </c>
      <c r="M869" s="3" t="s">
        <v>41</v>
      </c>
    </row>
    <row r="870" spans="1:13" ht="126.6">
      <c r="A870" s="22" t="s">
        <v>11</v>
      </c>
      <c r="B870" s="3" t="s">
        <v>2804</v>
      </c>
      <c r="C870" s="3" t="s">
        <v>2805</v>
      </c>
      <c r="D870" s="3" t="s">
        <v>327</v>
      </c>
      <c r="E870" s="3" t="s">
        <v>46</v>
      </c>
      <c r="F870" s="3" t="s">
        <v>2417</v>
      </c>
      <c r="G870" s="3" t="s">
        <v>2418</v>
      </c>
      <c r="H870" s="3" t="s">
        <v>2806</v>
      </c>
      <c r="I870" s="3" t="str">
        <f>HYPERLINK("http://www.jccm.es/sede/tramite/K06","AUTORIZACION DE INVESTIGACION DE HIDROCARBUROS.")</f>
        <v>AUTORIZACION DE INVESTIGACION DE HIDROCARBUROS.</v>
      </c>
      <c r="J870" s="3" t="s">
        <v>41</v>
      </c>
      <c r="K870" s="3" t="s">
        <v>41</v>
      </c>
      <c r="L870" s="3" t="s">
        <v>42</v>
      </c>
      <c r="M870" s="3" t="s">
        <v>41</v>
      </c>
    </row>
    <row r="871" spans="1:13" ht="195.6">
      <c r="A871" s="22" t="s">
        <v>11</v>
      </c>
      <c r="B871" s="3" t="s">
        <v>2807</v>
      </c>
      <c r="C871" s="3" t="s">
        <v>2808</v>
      </c>
      <c r="D871" s="3" t="s">
        <v>2809</v>
      </c>
      <c r="E871" s="3" t="s">
        <v>46</v>
      </c>
      <c r="F871" s="3" t="s">
        <v>2417</v>
      </c>
      <c r="G871" s="3" t="s">
        <v>2570</v>
      </c>
      <c r="H871" s="3" t="s">
        <v>2810</v>
      </c>
      <c r="I871" s="3" t="str">
        <f>HYPERLINK("http://www.jccm.es/sede/tramite/JME","NOTIFICACION PREVIA POR ESCRITO DE TRASLADOS TRANSFRONTERIZOS DE RESIDUOS")</f>
        <v>NOTIFICACION PREVIA POR ESCRITO DE TRASLADOS TRANSFRONTERIZOS DE RESIDUOS</v>
      </c>
      <c r="J871" s="3" t="s">
        <v>41</v>
      </c>
      <c r="K871" s="3" t="s">
        <v>41</v>
      </c>
      <c r="L871" s="3" t="s">
        <v>42</v>
      </c>
      <c r="M871" s="3" t="s">
        <v>41</v>
      </c>
    </row>
    <row r="872" spans="1:13" ht="195.6">
      <c r="A872" s="22" t="s">
        <v>11</v>
      </c>
      <c r="B872" s="3" t="s">
        <v>2811</v>
      </c>
      <c r="C872" s="3" t="s">
        <v>2812</v>
      </c>
      <c r="D872" s="3" t="s">
        <v>2809</v>
      </c>
      <c r="E872" s="3" t="s">
        <v>46</v>
      </c>
      <c r="F872" s="3" t="s">
        <v>2417</v>
      </c>
      <c r="G872" s="3" t="s">
        <v>2570</v>
      </c>
      <c r="H872" s="3" t="s">
        <v>2813</v>
      </c>
      <c r="I872" s="3" t="str">
        <f>HYPERLINK("http://www.jccm.es/sede/tramite/LF1","SOLICITUD DOCUMENTOS DE NOTIFICACION Y MOVIMIENTO TRASLADOS TRANSFRONTERIZOS DE RESIDUOS")</f>
        <v>SOLICITUD DOCUMENTOS DE NOTIFICACION Y MOVIMIENTO TRASLADOS TRANSFRONTERIZOS DE RESIDUOS</v>
      </c>
      <c r="J872" s="3" t="s">
        <v>41</v>
      </c>
      <c r="K872" s="3" t="s">
        <v>41</v>
      </c>
      <c r="L872" s="3" t="s">
        <v>42</v>
      </c>
      <c r="M872" s="3" t="s">
        <v>41</v>
      </c>
    </row>
    <row r="873" spans="1:13" ht="161.1">
      <c r="A873" s="22" t="s">
        <v>11</v>
      </c>
      <c r="B873" s="3" t="s">
        <v>2814</v>
      </c>
      <c r="C873" s="3" t="s">
        <v>2815</v>
      </c>
      <c r="D873" s="3" t="s">
        <v>2816</v>
      </c>
      <c r="E873" s="3" t="s">
        <v>46</v>
      </c>
      <c r="F873" s="3" t="s">
        <v>2417</v>
      </c>
      <c r="G873" s="3" t="s">
        <v>2570</v>
      </c>
      <c r="H873" s="3" t="s">
        <v>2817</v>
      </c>
      <c r="I873" s="3" t="str">
        <f>HYPERLINK("http://www.jccm.es/sede/tramite/K0O","TRANSMISION DE LA AUTORIZACION PARA REALIZAR OPERACIONES DE TRATAMIENTO DE RESIDUOS O MODIFICACION DE LA RAZON SOCIAL")</f>
        <v>TRANSMISION DE LA AUTORIZACION PARA REALIZAR OPERACIONES DE TRATAMIENTO DE RESIDUOS O MODIFICACION DE LA RAZON SOCIAL</v>
      </c>
      <c r="J873" s="3" t="s">
        <v>42</v>
      </c>
      <c r="K873" s="3" t="s">
        <v>41</v>
      </c>
      <c r="L873" s="3" t="s">
        <v>42</v>
      </c>
      <c r="M873" s="3" t="s">
        <v>41</v>
      </c>
    </row>
    <row r="874" spans="1:13" ht="172.5">
      <c r="A874" s="22" t="s">
        <v>11</v>
      </c>
      <c r="B874" s="3" t="s">
        <v>2818</v>
      </c>
      <c r="C874" s="3" t="s">
        <v>2819</v>
      </c>
      <c r="D874" s="3" t="s">
        <v>2816</v>
      </c>
      <c r="E874" s="3" t="s">
        <v>46</v>
      </c>
      <c r="F874" s="3" t="s">
        <v>2417</v>
      </c>
      <c r="G874" s="3" t="s">
        <v>2570</v>
      </c>
      <c r="H874" s="3" t="s">
        <v>2820</v>
      </c>
      <c r="I874" s="3" t="str">
        <f>HYPERLINK("http://www.jccm.es/sede/tramite/KAS","REMISION DE DOCUMENTACION COMPLEMENTARIA AL PROCEDIMIENTO DE AUTORIZACION PARA REALIZAR OPERACIONES DE TRATAMIENTO DE RESIDUOS")</f>
        <v>REMISION DE DOCUMENTACION COMPLEMENTARIA AL PROCEDIMIENTO DE AUTORIZACION PARA REALIZAR OPERACIONES DE TRATAMIENTO DE RESIDUOS</v>
      </c>
      <c r="J874" s="3" t="s">
        <v>42</v>
      </c>
      <c r="K874" s="3" t="s">
        <v>41</v>
      </c>
      <c r="L874" s="3" t="s">
        <v>42</v>
      </c>
      <c r="M874" s="3" t="s">
        <v>41</v>
      </c>
    </row>
    <row r="875" spans="1:13" ht="114.95">
      <c r="A875" s="22" t="s">
        <v>11</v>
      </c>
      <c r="B875" s="3" t="s">
        <v>2821</v>
      </c>
      <c r="C875" s="3" t="s">
        <v>2822</v>
      </c>
      <c r="D875" s="3" t="s">
        <v>2816</v>
      </c>
      <c r="E875" s="3" t="s">
        <v>46</v>
      </c>
      <c r="F875" s="3" t="s">
        <v>2417</v>
      </c>
      <c r="G875" s="3" t="s">
        <v>2570</v>
      </c>
      <c r="H875" s="3" t="s">
        <v>2823</v>
      </c>
      <c r="I875" s="3" t="str">
        <f>HYPERLINK("http://www.jccm.es/sede/tramite/JS0","AUTORIZACION PARA REALIZAR OPERACIONES DE TRATAMIENTO DE RESIDUOS.")</f>
        <v>AUTORIZACION PARA REALIZAR OPERACIONES DE TRATAMIENTO DE RESIDUOS.</v>
      </c>
      <c r="J875" s="3" t="s">
        <v>42</v>
      </c>
      <c r="K875" s="3" t="s">
        <v>41</v>
      </c>
      <c r="L875" s="3" t="s">
        <v>42</v>
      </c>
      <c r="M875" s="3" t="s">
        <v>42</v>
      </c>
    </row>
    <row r="876" spans="1:13" ht="138">
      <c r="A876" s="22" t="s">
        <v>11</v>
      </c>
      <c r="B876" s="3" t="s">
        <v>2824</v>
      </c>
      <c r="C876" s="3" t="s">
        <v>2825</v>
      </c>
      <c r="D876" s="3" t="s">
        <v>2826</v>
      </c>
      <c r="E876" s="3" t="s">
        <v>46</v>
      </c>
      <c r="F876" s="3" t="s">
        <v>2417</v>
      </c>
      <c r="G876" s="3" t="s">
        <v>2510</v>
      </c>
      <c r="H876" s="3" t="s">
        <v>2827</v>
      </c>
      <c r="I876" s="3" t="str">
        <f>HYPERLINK("http://www.jccm.es/sede/tramite/JW9","SOLICITUD DE AUTORIZACION DE QUEMA DE RESTOS VEGETALES EN MONTE O TERRENO FORESTAL")</f>
        <v>SOLICITUD DE AUTORIZACION DE QUEMA DE RESTOS VEGETALES EN MONTE O TERRENO FORESTAL</v>
      </c>
      <c r="J876" s="3" t="s">
        <v>42</v>
      </c>
      <c r="K876" s="3" t="s">
        <v>41</v>
      </c>
      <c r="L876" s="3" t="s">
        <v>42</v>
      </c>
      <c r="M876" s="3" t="s">
        <v>41</v>
      </c>
    </row>
    <row r="877" spans="1:13" ht="138">
      <c r="A877" s="22" t="s">
        <v>11</v>
      </c>
      <c r="B877" s="3" t="s">
        <v>2828</v>
      </c>
      <c r="C877" s="3" t="s">
        <v>2829</v>
      </c>
      <c r="D877" s="3" t="s">
        <v>45</v>
      </c>
      <c r="E877" s="3" t="s">
        <v>46</v>
      </c>
      <c r="F877" s="3" t="s">
        <v>2417</v>
      </c>
      <c r="G877" s="3" t="s">
        <v>2510</v>
      </c>
      <c r="H877" s="3" t="s">
        <v>2830</v>
      </c>
      <c r="I877" s="3" t="str">
        <f>HYPERLINK("http://www.jccm.es/sede/tramite/KRD","COMUNICACION DE CAMBIO DE PROGENITORES INCLUIDOS EN EL PLAN DE CRIA")</f>
        <v>COMUNICACION DE CAMBIO DE PROGENITORES INCLUIDOS EN EL PLAN DE CRIA</v>
      </c>
      <c r="J877" s="3" t="s">
        <v>42</v>
      </c>
      <c r="K877" s="3" t="s">
        <v>41</v>
      </c>
      <c r="L877" s="3" t="s">
        <v>42</v>
      </c>
      <c r="M877" s="3" t="s">
        <v>41</v>
      </c>
    </row>
    <row r="878" spans="1:13" ht="218.45">
      <c r="A878" s="22" t="s">
        <v>11</v>
      </c>
      <c r="B878" s="3" t="s">
        <v>2831</v>
      </c>
      <c r="C878" s="3" t="s">
        <v>2832</v>
      </c>
      <c r="D878" s="3" t="s">
        <v>45</v>
      </c>
      <c r="E878" s="3" t="s">
        <v>46</v>
      </c>
      <c r="F878" s="3" t="s">
        <v>2417</v>
      </c>
      <c r="G878" s="3" t="s">
        <v>2510</v>
      </c>
      <c r="H878" s="3" t="s">
        <v>2833</v>
      </c>
      <c r="I878" s="3" t="str">
        <f>HYPERLINK("http://www.jccm.es/sede/tramite/KRB","AUTORIZACION PARA LA CRIA EN CAUTIVIDAD DE AVES RAPACES PARA USO EN CETRERIA EN CASTILLA-LA MANCHA Y SOLICITUD DE INSCRIPCION EN EL REGISTRO DE CRIADORES DE CLM")</f>
        <v>AUTORIZACION PARA LA CRIA EN CAUTIVIDAD DE AVES RAPACES PARA USO EN CETRERIA EN CASTILLA-LA MANCHA Y SOLICITUD DE INSCRIPCION EN EL REGISTRO DE CRIADORES DE CLM</v>
      </c>
      <c r="J878" s="3" t="s">
        <v>42</v>
      </c>
      <c r="K878" s="3" t="s">
        <v>41</v>
      </c>
      <c r="L878" s="3" t="s">
        <v>42</v>
      </c>
      <c r="M878" s="3" t="s">
        <v>41</v>
      </c>
    </row>
    <row r="879" spans="1:13" ht="126.6">
      <c r="A879" s="22" t="s">
        <v>11</v>
      </c>
      <c r="B879" s="3" t="s">
        <v>2834</v>
      </c>
      <c r="C879" s="3" t="s">
        <v>2835</v>
      </c>
      <c r="D879" s="3" t="s">
        <v>45</v>
      </c>
      <c r="E879" s="3" t="s">
        <v>37</v>
      </c>
      <c r="F879" s="3" t="s">
        <v>2417</v>
      </c>
      <c r="G879" s="3" t="s">
        <v>2836</v>
      </c>
      <c r="H879" s="3" t="s">
        <v>2837</v>
      </c>
      <c r="I879" s="3" t="str">
        <f>HYPERLINK("http://www.jccm.es/sede/tramite/E95","REGISTRO DE ASOCIACIONES DE PERSONAS CONSUMIDORAS Y USUARIAS DE CASTILLA-LA MANCHA")</f>
        <v>REGISTRO DE ASOCIACIONES DE PERSONAS CONSUMIDORAS Y USUARIAS DE CASTILLA-LA MANCHA</v>
      </c>
      <c r="J879" s="3" t="s">
        <v>41</v>
      </c>
      <c r="K879" s="3" t="s">
        <v>41</v>
      </c>
      <c r="L879" s="3" t="s">
        <v>42</v>
      </c>
      <c r="M879" s="3" t="s">
        <v>41</v>
      </c>
    </row>
    <row r="880" spans="1:13" ht="126.6">
      <c r="A880" s="22" t="s">
        <v>11</v>
      </c>
      <c r="B880" s="3" t="s">
        <v>2838</v>
      </c>
      <c r="C880" s="3" t="s">
        <v>2839</v>
      </c>
      <c r="D880" s="3" t="s">
        <v>45</v>
      </c>
      <c r="E880" s="3" t="s">
        <v>37</v>
      </c>
      <c r="F880" s="3" t="s">
        <v>2417</v>
      </c>
      <c r="G880" s="3" t="s">
        <v>2418</v>
      </c>
      <c r="H880" s="3" t="s">
        <v>2840</v>
      </c>
      <c r="I880" s="3" t="str">
        <f>HYPERLINK("http://www.jccm.es/sede/tramite/JDB","APORTACION DE DATOS BASICOS DE UNA INDUSTRIA")</f>
        <v>APORTACION DE DATOS BASICOS DE UNA INDUSTRIA</v>
      </c>
      <c r="J880" s="3" t="s">
        <v>42</v>
      </c>
      <c r="K880" s="3" t="s">
        <v>41</v>
      </c>
      <c r="L880" s="3" t="s">
        <v>42</v>
      </c>
      <c r="M880" s="3" t="s">
        <v>42</v>
      </c>
    </row>
    <row r="881" spans="1:13" ht="138">
      <c r="A881" s="22" t="s">
        <v>11</v>
      </c>
      <c r="B881" s="3" t="s">
        <v>2841</v>
      </c>
      <c r="C881" s="3" t="s">
        <v>2842</v>
      </c>
      <c r="D881" s="3" t="s">
        <v>45</v>
      </c>
      <c r="E881" s="3" t="s">
        <v>37</v>
      </c>
      <c r="F881" s="3" t="s">
        <v>2417</v>
      </c>
      <c r="G881" s="3" t="s">
        <v>2418</v>
      </c>
      <c r="H881" s="3" t="s">
        <v>2843</v>
      </c>
      <c r="I881" s="3" t="str">
        <f>HYPERLINK("http://www.jccm.es/sede/tramite/JDD","REGISTRO DE LA INSTALACION DE SEGURIDAD CONTRA INCENDIOS EN ESTABLECIMIENTOS INDUSTRIALES")</f>
        <v>REGISTRO DE LA INSTALACION DE SEGURIDAD CONTRA INCENDIOS EN ESTABLECIMIENTOS INDUSTRIALES</v>
      </c>
      <c r="J881" s="3" t="s">
        <v>42</v>
      </c>
      <c r="K881" s="3" t="s">
        <v>41</v>
      </c>
      <c r="L881" s="3" t="s">
        <v>42</v>
      </c>
      <c r="M881" s="3" t="s">
        <v>41</v>
      </c>
    </row>
    <row r="882" spans="1:13" ht="138">
      <c r="A882" s="22" t="s">
        <v>11</v>
      </c>
      <c r="B882" s="3" t="s">
        <v>2844</v>
      </c>
      <c r="C882" s="3" t="s">
        <v>2845</v>
      </c>
      <c r="D882" s="3" t="s">
        <v>45</v>
      </c>
      <c r="E882" s="3" t="s">
        <v>37</v>
      </c>
      <c r="F882" s="3" t="s">
        <v>2417</v>
      </c>
      <c r="G882" s="3" t="s">
        <v>2418</v>
      </c>
      <c r="H882" s="3" t="s">
        <v>2846</v>
      </c>
      <c r="I882" s="3" t="str">
        <f>HYPERLINK("http://www.jccm.es/sede/tramite/JDF","COMUNICACION PARA EL REGISTRO DE INSTALACIONES ELECTRICAS DE ALTA TENSION (EXCEPTO LINEAS) NO SUJETAS A AUTORIZACION")</f>
        <v>COMUNICACION PARA EL REGISTRO DE INSTALACIONES ELECTRICAS DE ALTA TENSION (EXCEPTO LINEAS) NO SUJETAS A AUTORIZACION</v>
      </c>
      <c r="J882" s="3" t="s">
        <v>42</v>
      </c>
      <c r="K882" s="3" t="s">
        <v>41</v>
      </c>
      <c r="L882" s="3" t="s">
        <v>42</v>
      </c>
      <c r="M882" s="3" t="s">
        <v>41</v>
      </c>
    </row>
    <row r="883" spans="1:13" ht="126.6">
      <c r="A883" s="22" t="s">
        <v>11</v>
      </c>
      <c r="B883" s="3" t="s">
        <v>2847</v>
      </c>
      <c r="C883" s="3" t="s">
        <v>2848</v>
      </c>
      <c r="D883" s="3" t="s">
        <v>45</v>
      </c>
      <c r="E883" s="3" t="s">
        <v>37</v>
      </c>
      <c r="F883" s="3" t="s">
        <v>2417</v>
      </c>
      <c r="G883" s="3" t="s">
        <v>2418</v>
      </c>
      <c r="H883" s="3" t="s">
        <v>2849</v>
      </c>
      <c r="I883" s="3" t="str">
        <f>HYPERLINK("http://www.jccm.es/sede/tramite/JDH","REGISTRO DE LA INSTALACION DE LINEAS DE ALTA TENSION NO SUJETAS A AUTORIZACION")</f>
        <v>REGISTRO DE LA INSTALACION DE LINEAS DE ALTA TENSION NO SUJETAS A AUTORIZACION</v>
      </c>
      <c r="J883" s="3" t="s">
        <v>42</v>
      </c>
      <c r="K883" s="3" t="s">
        <v>41</v>
      </c>
      <c r="L883" s="3" t="s">
        <v>42</v>
      </c>
      <c r="M883" s="3" t="s">
        <v>41</v>
      </c>
    </row>
    <row r="884" spans="1:13" ht="126.6">
      <c r="A884" s="22" t="s">
        <v>11</v>
      </c>
      <c r="B884" s="3" t="s">
        <v>2850</v>
      </c>
      <c r="C884" s="3" t="s">
        <v>2851</v>
      </c>
      <c r="D884" s="3" t="s">
        <v>45</v>
      </c>
      <c r="E884" s="3" t="s">
        <v>37</v>
      </c>
      <c r="F884" s="3" t="s">
        <v>2417</v>
      </c>
      <c r="G884" s="3" t="s">
        <v>2418</v>
      </c>
      <c r="H884" s="3" t="s">
        <v>2852</v>
      </c>
      <c r="I884" s="3" t="str">
        <f>HYPERLINK("http://www.jccm.es/sede/tramite/JDI","REGISTRO DE UNA INSTALACION FRIGORIFICA")</f>
        <v>REGISTRO DE UNA INSTALACION FRIGORIFICA</v>
      </c>
      <c r="J884" s="3" t="s">
        <v>42</v>
      </c>
      <c r="K884" s="3" t="s">
        <v>41</v>
      </c>
      <c r="L884" s="3" t="s">
        <v>42</v>
      </c>
      <c r="M884" s="3" t="s">
        <v>41</v>
      </c>
    </row>
    <row r="885" spans="1:13" ht="126.6">
      <c r="A885" s="22" t="s">
        <v>11</v>
      </c>
      <c r="B885" s="3" t="s">
        <v>2853</v>
      </c>
      <c r="C885" s="3" t="s">
        <v>2854</v>
      </c>
      <c r="D885" s="3" t="s">
        <v>45</v>
      </c>
      <c r="E885" s="3" t="s">
        <v>37</v>
      </c>
      <c r="F885" s="3" t="s">
        <v>2417</v>
      </c>
      <c r="G885" s="3" t="s">
        <v>2418</v>
      </c>
      <c r="H885" s="3" t="s">
        <v>2855</v>
      </c>
      <c r="I885" s="3" t="str">
        <f>HYPERLINK("http://www.jccm.es/sede/tramite/JDO","REGISTRO DE CENTROS DE ALMACENAMIENTO Y DISTRIBUCION DE ENVASES DE GLP")</f>
        <v>REGISTRO DE CENTROS DE ALMACENAMIENTO Y DISTRIBUCION DE ENVASES DE GLP</v>
      </c>
      <c r="J885" s="3" t="s">
        <v>42</v>
      </c>
      <c r="K885" s="3" t="s">
        <v>41</v>
      </c>
      <c r="L885" s="3" t="s">
        <v>42</v>
      </c>
      <c r="M885" s="3" t="s">
        <v>42</v>
      </c>
    </row>
    <row r="886" spans="1:13" ht="138">
      <c r="A886" s="22" t="s">
        <v>11</v>
      </c>
      <c r="B886" s="3" t="s">
        <v>2856</v>
      </c>
      <c r="C886" s="3" t="s">
        <v>2857</v>
      </c>
      <c r="D886" s="3" t="s">
        <v>45</v>
      </c>
      <c r="E886" s="3" t="s">
        <v>37</v>
      </c>
      <c r="F886" s="3" t="s">
        <v>2417</v>
      </c>
      <c r="G886" s="3" t="s">
        <v>2418</v>
      </c>
      <c r="H886" s="3" t="s">
        <v>2858</v>
      </c>
      <c r="I886" s="3" t="str">
        <f>HYPERLINK("http://www.jccm.es/sede/tramite/JDP","REGISTRO DE UNA INSTALACION DE ALMACENAMIENTO DE GLP EN DEPOSITOS FIJOS NO SUJETA A AUTORIZACION")</f>
        <v>REGISTRO DE UNA INSTALACION DE ALMACENAMIENTO DE GLP EN DEPOSITOS FIJOS NO SUJETA A AUTORIZACION</v>
      </c>
      <c r="J886" s="3" t="s">
        <v>42</v>
      </c>
      <c r="K886" s="3" t="s">
        <v>41</v>
      </c>
      <c r="L886" s="3" t="s">
        <v>42</v>
      </c>
      <c r="M886" s="3" t="s">
        <v>41</v>
      </c>
    </row>
    <row r="887" spans="1:13" ht="126.6">
      <c r="A887" s="22" t="s">
        <v>11</v>
      </c>
      <c r="B887" s="3" t="s">
        <v>2859</v>
      </c>
      <c r="C887" s="3" t="s">
        <v>2860</v>
      </c>
      <c r="D887" s="3" t="s">
        <v>45</v>
      </c>
      <c r="E887" s="3" t="s">
        <v>37</v>
      </c>
      <c r="F887" s="3" t="s">
        <v>2417</v>
      </c>
      <c r="G887" s="3" t="s">
        <v>2418</v>
      </c>
      <c r="H887" s="3" t="s">
        <v>2861</v>
      </c>
      <c r="I887" s="3" t="str">
        <f>HYPERLINK("http://www.jccm.es/sede/tramite/JDS","REGISTRO DE UNA INSTALACION DE PLANTA SATELITE DE GNL (GAS NATURAL LICUADO) NO SUJETA A AUTORIZACION")</f>
        <v>REGISTRO DE UNA INSTALACION DE PLANTA SATELITE DE GNL (GAS NATURAL LICUADO) NO SUJETA A AUTORIZACION</v>
      </c>
      <c r="J887" s="3" t="s">
        <v>42</v>
      </c>
      <c r="K887" s="3" t="s">
        <v>41</v>
      </c>
      <c r="L887" s="3" t="s">
        <v>42</v>
      </c>
      <c r="M887" s="3" t="s">
        <v>41</v>
      </c>
    </row>
    <row r="888" spans="1:13" ht="126.6">
      <c r="A888" s="22" t="s">
        <v>11</v>
      </c>
      <c r="B888" s="3" t="s">
        <v>2862</v>
      </c>
      <c r="C888" s="3" t="s">
        <v>2863</v>
      </c>
      <c r="D888" s="3" t="s">
        <v>45</v>
      </c>
      <c r="E888" s="3" t="s">
        <v>37</v>
      </c>
      <c r="F888" s="3" t="s">
        <v>2417</v>
      </c>
      <c r="G888" s="3" t="s">
        <v>2418</v>
      </c>
      <c r="H888" s="3" t="s">
        <v>2864</v>
      </c>
      <c r="I888" s="3" t="str">
        <f>HYPERLINK("http://www.jccm.es/sede/tramite/JDT","REGISTRO DE UNA ESTACION DE SERVICIO PARA VEHICULOS A GAS")</f>
        <v>REGISTRO DE UNA ESTACION DE SERVICIO PARA VEHICULOS A GAS</v>
      </c>
      <c r="J888" s="3" t="s">
        <v>42</v>
      </c>
      <c r="K888" s="3" t="s">
        <v>41</v>
      </c>
      <c r="L888" s="3" t="s">
        <v>42</v>
      </c>
      <c r="M888" s="3" t="s">
        <v>41</v>
      </c>
    </row>
    <row r="889" spans="1:13" ht="126.6">
      <c r="A889" s="22" t="s">
        <v>11</v>
      </c>
      <c r="B889" s="3" t="s">
        <v>2865</v>
      </c>
      <c r="C889" s="3" t="s">
        <v>2866</v>
      </c>
      <c r="D889" s="3" t="s">
        <v>45</v>
      </c>
      <c r="E889" s="3" t="s">
        <v>37</v>
      </c>
      <c r="F889" s="3" t="s">
        <v>2417</v>
      </c>
      <c r="G889" s="3" t="s">
        <v>2418</v>
      </c>
      <c r="H889" s="3" t="s">
        <v>2867</v>
      </c>
      <c r="I889" s="3" t="str">
        <f>HYPERLINK("http://www.jccm.es/sede/tramite/JDU","REGISTRO DE UNA INSTALACION RECEPTORA DE COMBUSTIBLES GASEOSOS")</f>
        <v>REGISTRO DE UNA INSTALACION RECEPTORA DE COMBUSTIBLES GASEOSOS</v>
      </c>
      <c r="J889" s="3" t="s">
        <v>42</v>
      </c>
      <c r="K889" s="3" t="s">
        <v>41</v>
      </c>
      <c r="L889" s="3" t="s">
        <v>42</v>
      </c>
      <c r="M889" s="3" t="s">
        <v>42</v>
      </c>
    </row>
    <row r="890" spans="1:13" ht="126.6">
      <c r="A890" s="22" t="s">
        <v>11</v>
      </c>
      <c r="B890" s="3" t="s">
        <v>2868</v>
      </c>
      <c r="C890" s="3" t="s">
        <v>2869</v>
      </c>
      <c r="D890" s="3" t="s">
        <v>45</v>
      </c>
      <c r="E890" s="3" t="s">
        <v>37</v>
      </c>
      <c r="F890" s="3" t="s">
        <v>2417</v>
      </c>
      <c r="G890" s="3" t="s">
        <v>2418</v>
      </c>
      <c r="H890" s="3" t="s">
        <v>2870</v>
      </c>
      <c r="I890" s="3" t="str">
        <f>HYPERLINK("http://www.jccm.es/sede/tramite/JDW","REGISTRO DE UNA INSTALACION DE ALMACENAMIENTO DE PRODUCTOS QUIMICOS")</f>
        <v>REGISTRO DE UNA INSTALACION DE ALMACENAMIENTO DE PRODUCTOS QUIMICOS</v>
      </c>
      <c r="J890" s="3" t="s">
        <v>42</v>
      </c>
      <c r="K890" s="3" t="s">
        <v>41</v>
      </c>
      <c r="L890" s="3" t="s">
        <v>42</v>
      </c>
      <c r="M890" s="3" t="s">
        <v>41</v>
      </c>
    </row>
    <row r="891" spans="1:13" ht="126.6">
      <c r="A891" s="22" t="s">
        <v>11</v>
      </c>
      <c r="B891" s="3" t="s">
        <v>2871</v>
      </c>
      <c r="C891" s="3" t="s">
        <v>2872</v>
      </c>
      <c r="D891" s="3" t="s">
        <v>45</v>
      </c>
      <c r="E891" s="3" t="s">
        <v>37</v>
      </c>
      <c r="F891" s="3" t="s">
        <v>2417</v>
      </c>
      <c r="G891" s="3" t="s">
        <v>2418</v>
      </c>
      <c r="H891" s="3" t="s">
        <v>2873</v>
      </c>
      <c r="I891" s="3" t="str">
        <f>HYPERLINK("http://www.jccm.es/sede/tramite/JDX","REGISTRO DE UNA INSTALACION DE EQUIPOS A PRESION")</f>
        <v>REGISTRO DE UNA INSTALACION DE EQUIPOS A PRESION</v>
      </c>
      <c r="J891" s="3" t="s">
        <v>42</v>
      </c>
      <c r="K891" s="3" t="s">
        <v>41</v>
      </c>
      <c r="L891" s="3" t="s">
        <v>42</v>
      </c>
      <c r="M891" s="3" t="s">
        <v>41</v>
      </c>
    </row>
    <row r="892" spans="1:13" ht="126.6">
      <c r="A892" s="22" t="s">
        <v>11</v>
      </c>
      <c r="B892" s="3" t="s">
        <v>2874</v>
      </c>
      <c r="C892" s="3" t="s">
        <v>2875</v>
      </c>
      <c r="D892" s="3" t="s">
        <v>45</v>
      </c>
      <c r="E892" s="3" t="s">
        <v>37</v>
      </c>
      <c r="F892" s="3" t="s">
        <v>2417</v>
      </c>
      <c r="G892" s="3" t="s">
        <v>2418</v>
      </c>
      <c r="H892" s="3" t="s">
        <v>2876</v>
      </c>
      <c r="I892" s="3" t="str">
        <f>HYPERLINK("http://www.jccm.es/sede/tramite/JE1","REGISTRO DE ESTABLECIMIENTO AFECTADO POR NORMATIVA DE ACCIDENTES GRAVES.")</f>
        <v>REGISTRO DE ESTABLECIMIENTO AFECTADO POR NORMATIVA DE ACCIDENTES GRAVES.</v>
      </c>
      <c r="J892" s="3" t="s">
        <v>42</v>
      </c>
      <c r="K892" s="3" t="s">
        <v>41</v>
      </c>
      <c r="L892" s="3" t="s">
        <v>42</v>
      </c>
      <c r="M892" s="3" t="s">
        <v>41</v>
      </c>
    </row>
    <row r="893" spans="1:13" ht="126.6">
      <c r="A893" s="22" t="s">
        <v>11</v>
      </c>
      <c r="B893" s="3" t="s">
        <v>2877</v>
      </c>
      <c r="C893" s="3" t="s">
        <v>2878</v>
      </c>
      <c r="D893" s="3" t="s">
        <v>45</v>
      </c>
      <c r="E893" s="3" t="s">
        <v>37</v>
      </c>
      <c r="F893" s="3" t="s">
        <v>2417</v>
      </c>
      <c r="G893" s="3" t="s">
        <v>2418</v>
      </c>
      <c r="H893" s="3" t="s">
        <v>2879</v>
      </c>
      <c r="I893" s="3" t="str">
        <f>HYPERLINK("http://www.jccm.es/sede/tramite/JE4","REGISTRO DE UNA INSTALACION ELECTRICA DE BAJA TENSION")</f>
        <v>REGISTRO DE UNA INSTALACION ELECTRICA DE BAJA TENSION</v>
      </c>
      <c r="J893" s="3" t="s">
        <v>42</v>
      </c>
      <c r="K893" s="3" t="s">
        <v>41</v>
      </c>
      <c r="L893" s="3" t="s">
        <v>42</v>
      </c>
      <c r="M893" s="3" t="s">
        <v>41</v>
      </c>
    </row>
    <row r="894" spans="1:13" ht="126.6">
      <c r="A894" s="22" t="s">
        <v>11</v>
      </c>
      <c r="B894" s="3" t="s">
        <v>2880</v>
      </c>
      <c r="C894" s="3" t="s">
        <v>2881</v>
      </c>
      <c r="D894" s="3" t="s">
        <v>45</v>
      </c>
      <c r="E894" s="3" t="s">
        <v>37</v>
      </c>
      <c r="F894" s="3" t="s">
        <v>2417</v>
      </c>
      <c r="G894" s="3" t="s">
        <v>2418</v>
      </c>
      <c r="H894" s="3" t="s">
        <v>2882</v>
      </c>
      <c r="I894" s="3" t="str">
        <f>HYPERLINK("http://www.jccm.es/sede/tramite/JE6","REGISTRO DE UNA INSTALACION TERMICA")</f>
        <v>REGISTRO DE UNA INSTALACION TERMICA</v>
      </c>
      <c r="J894" s="3" t="s">
        <v>42</v>
      </c>
      <c r="K894" s="3" t="s">
        <v>41</v>
      </c>
      <c r="L894" s="3" t="s">
        <v>42</v>
      </c>
      <c r="M894" s="3" t="s">
        <v>41</v>
      </c>
    </row>
    <row r="895" spans="1:13" ht="126.6">
      <c r="A895" s="22" t="s">
        <v>11</v>
      </c>
      <c r="B895" s="3" t="s">
        <v>2883</v>
      </c>
      <c r="C895" s="3" t="s">
        <v>2884</v>
      </c>
      <c r="D895" s="3" t="s">
        <v>45</v>
      </c>
      <c r="E895" s="3" t="s">
        <v>37</v>
      </c>
      <c r="F895" s="3" t="s">
        <v>2417</v>
      </c>
      <c r="G895" s="3" t="s">
        <v>2418</v>
      </c>
      <c r="H895" s="3" t="s">
        <v>2885</v>
      </c>
      <c r="I895" s="3" t="str">
        <f>HYPERLINK("http://www.jccm.es/sede/tramite/JEA","REGISTRO DE GRUA TORRE PARA OBRAS U OTRAS APLICACIONES")</f>
        <v>REGISTRO DE GRUA TORRE PARA OBRAS U OTRAS APLICACIONES</v>
      </c>
      <c r="J895" s="3" t="s">
        <v>42</v>
      </c>
      <c r="K895" s="3" t="s">
        <v>41</v>
      </c>
      <c r="L895" s="3" t="s">
        <v>42</v>
      </c>
      <c r="M895" s="3" t="s">
        <v>41</v>
      </c>
    </row>
    <row r="896" spans="1:13" ht="126.6">
      <c r="A896" s="22" t="s">
        <v>11</v>
      </c>
      <c r="B896" s="3" t="s">
        <v>2886</v>
      </c>
      <c r="C896" s="3" t="s">
        <v>2887</v>
      </c>
      <c r="D896" s="3" t="s">
        <v>45</v>
      </c>
      <c r="E896" s="3" t="s">
        <v>37</v>
      </c>
      <c r="F896" s="3" t="s">
        <v>2417</v>
      </c>
      <c r="G896" s="3" t="s">
        <v>2418</v>
      </c>
      <c r="H896" s="3" t="s">
        <v>2888</v>
      </c>
      <c r="I896" s="3" t="str">
        <f>HYPERLINK("http://www.jccm.es/sede/tramite/JEC","REGISTRO DE DECLARACION INDIVIDUALIZADA DE GRUA MOVIL AUTOPROPULSADA.")</f>
        <v>REGISTRO DE DECLARACION INDIVIDUALIZADA DE GRUA MOVIL AUTOPROPULSADA.</v>
      </c>
      <c r="J896" s="3" t="s">
        <v>42</v>
      </c>
      <c r="K896" s="3" t="s">
        <v>41</v>
      </c>
      <c r="L896" s="3" t="s">
        <v>42</v>
      </c>
      <c r="M896" s="3" t="s">
        <v>41</v>
      </c>
    </row>
    <row r="897" spans="1:13" ht="126.6">
      <c r="A897" s="22" t="s">
        <v>11</v>
      </c>
      <c r="B897" s="3" t="s">
        <v>2889</v>
      </c>
      <c r="C897" s="3" t="s">
        <v>2890</v>
      </c>
      <c r="D897" s="3" t="s">
        <v>62</v>
      </c>
      <c r="E897" s="3" t="s">
        <v>37</v>
      </c>
      <c r="F897" s="3" t="s">
        <v>2417</v>
      </c>
      <c r="G897" s="3" t="s">
        <v>2418</v>
      </c>
      <c r="H897" s="3" t="s">
        <v>2891</v>
      </c>
      <c r="I897" s="3" t="str">
        <f>HYPERLINK("http://www.jccm.es/sede/tramite/JED","REGISTRO DE UNA INSTALACION Y EQUIPOS DE RAYOS X PARA DIAGNOSTICO MEDICO")</f>
        <v>REGISTRO DE UNA INSTALACION Y EQUIPOS DE RAYOS X PARA DIAGNOSTICO MEDICO</v>
      </c>
      <c r="J897" s="3" t="s">
        <v>42</v>
      </c>
      <c r="K897" s="3" t="s">
        <v>41</v>
      </c>
      <c r="L897" s="3" t="s">
        <v>42</v>
      </c>
      <c r="M897" s="3" t="s">
        <v>42</v>
      </c>
    </row>
    <row r="898" spans="1:13" ht="126.6">
      <c r="A898" s="22" t="s">
        <v>11</v>
      </c>
      <c r="B898" s="3" t="s">
        <v>2892</v>
      </c>
      <c r="C898" s="3" t="s">
        <v>2893</v>
      </c>
      <c r="D898" s="3" t="s">
        <v>45</v>
      </c>
      <c r="E898" s="3" t="s">
        <v>37</v>
      </c>
      <c r="F898" s="3" t="s">
        <v>2417</v>
      </c>
      <c r="G898" s="3" t="s">
        <v>2418</v>
      </c>
      <c r="H898" s="3" t="s">
        <v>2894</v>
      </c>
      <c r="I898" s="3" t="str">
        <f>HYPERLINK("http://www.jccm.es/sede/tramite/JCC","REGISTRO DE UNA ENTIDAD DE FORMACION PARA LA OBTENCION DEL CARNE PROFESIONAL Y CURSOS")</f>
        <v>REGISTRO DE UNA ENTIDAD DE FORMACION PARA LA OBTENCION DEL CARNE PROFESIONAL Y CURSOS</v>
      </c>
      <c r="J898" s="3" t="s">
        <v>42</v>
      </c>
      <c r="K898" s="3" t="s">
        <v>41</v>
      </c>
      <c r="L898" s="3" t="s">
        <v>42</v>
      </c>
      <c r="M898" s="3" t="s">
        <v>41</v>
      </c>
    </row>
    <row r="899" spans="1:13" ht="126.6">
      <c r="A899" s="22" t="s">
        <v>11</v>
      </c>
      <c r="B899" s="3" t="s">
        <v>2895</v>
      </c>
      <c r="C899" s="3" t="s">
        <v>2896</v>
      </c>
      <c r="D899" s="3" t="s">
        <v>45</v>
      </c>
      <c r="E899" s="3" t="s">
        <v>37</v>
      </c>
      <c r="F899" s="3" t="s">
        <v>2417</v>
      </c>
      <c r="G899" s="3" t="s">
        <v>2418</v>
      </c>
      <c r="H899" s="3" t="s">
        <v>2897</v>
      </c>
      <c r="I899" s="3" t="str">
        <f>HYPERLINK("http://www.jccm.es/sede/tramite/JEU","CATALOGACION DE VEHICULO HISTORICO")</f>
        <v>CATALOGACION DE VEHICULO HISTORICO</v>
      </c>
      <c r="J899" s="3" t="s">
        <v>42</v>
      </c>
      <c r="K899" s="3" t="s">
        <v>41</v>
      </c>
      <c r="L899" s="3" t="s">
        <v>42</v>
      </c>
      <c r="M899" s="3" t="s">
        <v>41</v>
      </c>
    </row>
    <row r="900" spans="1:13" ht="149.44999999999999">
      <c r="A900" s="22" t="s">
        <v>11</v>
      </c>
      <c r="B900" s="3" t="s">
        <v>2898</v>
      </c>
      <c r="C900" s="3" t="s">
        <v>2899</v>
      </c>
      <c r="D900" s="3" t="s">
        <v>45</v>
      </c>
      <c r="E900" s="3" t="s">
        <v>46</v>
      </c>
      <c r="F900" s="3" t="s">
        <v>2417</v>
      </c>
      <c r="G900" s="3" t="s">
        <v>2418</v>
      </c>
      <c r="H900" s="3" t="s">
        <v>2900</v>
      </c>
      <c r="I900" s="3" t="str">
        <f>HYPERLINK("http://www.jccm.es/sede/tramite/JD0","DESIGNACION Y REGISTRO DE ORGANISMO AUTORIZADO DE VERIFICACION METROLOGICA")</f>
        <v>DESIGNACION Y REGISTRO DE ORGANISMO AUTORIZADO DE VERIFICACION METROLOGICA</v>
      </c>
      <c r="J900" s="3" t="s">
        <v>42</v>
      </c>
      <c r="K900" s="3" t="s">
        <v>41</v>
      </c>
      <c r="L900" s="3" t="s">
        <v>42</v>
      </c>
      <c r="M900" s="3" t="s">
        <v>41</v>
      </c>
    </row>
    <row r="901" spans="1:13" ht="138">
      <c r="A901" s="22" t="s">
        <v>11</v>
      </c>
      <c r="B901" s="3" t="s">
        <v>2901</v>
      </c>
      <c r="C901" s="3" t="s">
        <v>2902</v>
      </c>
      <c r="D901" s="3" t="s">
        <v>45</v>
      </c>
      <c r="E901" s="3" t="s">
        <v>37</v>
      </c>
      <c r="F901" s="3" t="s">
        <v>2417</v>
      </c>
      <c r="G901" s="3" t="s">
        <v>2418</v>
      </c>
      <c r="H901" s="3" t="s">
        <v>2903</v>
      </c>
      <c r="I901" s="3" t="str">
        <f>HYPERLINK("http://www.jccm.es/sede/tramite/JD1","ACTUALIZACION DE LOS DATOS REGISTRALES DE UN ORGANISMO AUTORIZADO DE VERIFICACION METROLOGICA")</f>
        <v>ACTUALIZACION DE LOS DATOS REGISTRALES DE UN ORGANISMO AUTORIZADO DE VERIFICACION METROLOGICA</v>
      </c>
      <c r="J901" s="3" t="s">
        <v>42</v>
      </c>
      <c r="K901" s="3" t="s">
        <v>41</v>
      </c>
      <c r="L901" s="3" t="s">
        <v>42</v>
      </c>
      <c r="M901" s="3" t="s">
        <v>41</v>
      </c>
    </row>
    <row r="902" spans="1:13" ht="218.45">
      <c r="A902" s="22" t="s">
        <v>11</v>
      </c>
      <c r="B902" s="3" t="s">
        <v>2904</v>
      </c>
      <c r="C902" s="3" t="s">
        <v>2905</v>
      </c>
      <c r="D902" s="3" t="s">
        <v>95</v>
      </c>
      <c r="E902" s="3" t="s">
        <v>37</v>
      </c>
      <c r="F902" s="3" t="s">
        <v>2417</v>
      </c>
      <c r="G902" s="3" t="s">
        <v>2418</v>
      </c>
      <c r="H902" s="3" t="s">
        <v>2906</v>
      </c>
      <c r="I902" s="3" t="str">
        <f>HYPERLINK("http://www.jccm.es/sede/tramite/IKA","REGISTRO DE ENTIDADES FABRICANTES / COMERCIALIZADORAS / IMPORTADORAS / ARRENDADORAS DE INSTRUMENTOS DE MEDIDA SOMETIDOS A CONTROL METROLOGICO DEL ESTADO")</f>
        <v>REGISTRO DE ENTIDADES FABRICANTES / COMERCIALIZADORAS / IMPORTADORAS / ARRENDADORAS DE INSTRUMENTOS DE MEDIDA SOMETIDOS A CONTROL METROLOGICO DEL ESTADO</v>
      </c>
      <c r="J902" s="3" t="s">
        <v>42</v>
      </c>
      <c r="K902" s="3" t="s">
        <v>41</v>
      </c>
      <c r="L902" s="3" t="s">
        <v>42</v>
      </c>
      <c r="M902" s="3" t="s">
        <v>41</v>
      </c>
    </row>
    <row r="903" spans="1:13" ht="241.5">
      <c r="A903" s="22" t="s">
        <v>11</v>
      </c>
      <c r="B903" s="3" t="s">
        <v>2907</v>
      </c>
      <c r="C903" s="3" t="s">
        <v>2908</v>
      </c>
      <c r="D903" s="3" t="s">
        <v>95</v>
      </c>
      <c r="E903" s="3" t="s">
        <v>37</v>
      </c>
      <c r="F903" s="3" t="s">
        <v>2417</v>
      </c>
      <c r="G903" s="3" t="s">
        <v>2418</v>
      </c>
      <c r="H903" s="3" t="s">
        <v>2909</v>
      </c>
      <c r="I903" s="3" t="str">
        <f>HYPERLINK("http://www.jccm.es/sede/tramite/JD4","ACTUALIZACION DE DATOS REGISTRALES DE LAS INSCRIPCIONES EN EL REGISTRO DE CONTROL METROLOGICO DE ENTIDADES FABRICANTES / COMERCIALIZADORAS / IMPORTADORAS / ARRENDADORAS")</f>
        <v>ACTUALIZACION DE DATOS REGISTRALES DE LAS INSCRIPCIONES EN EL REGISTRO DE CONTROL METROLOGICO DE ENTIDADES FABRICANTES / COMERCIALIZADORAS / IMPORTADORAS / ARRENDADORAS</v>
      </c>
      <c r="J903" s="3" t="s">
        <v>42</v>
      </c>
      <c r="K903" s="3" t="s">
        <v>41</v>
      </c>
      <c r="L903" s="3" t="s">
        <v>42</v>
      </c>
      <c r="M903" s="3" t="s">
        <v>41</v>
      </c>
    </row>
    <row r="904" spans="1:13" ht="126.6">
      <c r="A904" s="22" t="s">
        <v>11</v>
      </c>
      <c r="B904" s="3" t="s">
        <v>2910</v>
      </c>
      <c r="C904" s="3" t="s">
        <v>2911</v>
      </c>
      <c r="D904" s="3" t="s">
        <v>95</v>
      </c>
      <c r="E904" s="3" t="s">
        <v>37</v>
      </c>
      <c r="F904" s="3" t="s">
        <v>2417</v>
      </c>
      <c r="G904" s="3" t="s">
        <v>2418</v>
      </c>
      <c r="H904" s="3" t="s">
        <v>2912</v>
      </c>
      <c r="I904" s="3" t="str">
        <f>HYPERLINK("http://www.jccm.es/sede/tramite/JD7","REGISTRO DE EMPRESA REPARADORA/MANTENEDORA DE APARATOS SOMETIDOS A CONTROL METROLOGICO")</f>
        <v>REGISTRO DE EMPRESA REPARADORA/MANTENEDORA DE APARATOS SOMETIDOS A CONTROL METROLOGICO</v>
      </c>
      <c r="J904" s="3" t="s">
        <v>42</v>
      </c>
      <c r="K904" s="3" t="s">
        <v>41</v>
      </c>
      <c r="L904" s="3" t="s">
        <v>42</v>
      </c>
      <c r="M904" s="3" t="s">
        <v>41</v>
      </c>
    </row>
    <row r="905" spans="1:13" ht="126.6">
      <c r="A905" s="22" t="s">
        <v>11</v>
      </c>
      <c r="B905" s="3" t="s">
        <v>2913</v>
      </c>
      <c r="C905" s="3" t="s">
        <v>2914</v>
      </c>
      <c r="D905" s="3" t="s">
        <v>45</v>
      </c>
      <c r="E905" s="3" t="s">
        <v>37</v>
      </c>
      <c r="F905" s="3" t="s">
        <v>2417</v>
      </c>
      <c r="G905" s="3" t="s">
        <v>2418</v>
      </c>
      <c r="H905" s="3" t="s">
        <v>2915</v>
      </c>
      <c r="I905" s="3" t="str">
        <f>HYPERLINK("http://www.jccm.es/sede/tramite/JEG","REGISTRO DE ORGANISMO NOTIFICADO U ORGANISMO DE CONTROL METROLOGICO")</f>
        <v>REGISTRO DE ORGANISMO NOTIFICADO U ORGANISMO DE CONTROL METROLOGICO</v>
      </c>
      <c r="J905" s="3" t="s">
        <v>42</v>
      </c>
      <c r="K905" s="3" t="s">
        <v>41</v>
      </c>
      <c r="L905" s="3" t="s">
        <v>42</v>
      </c>
      <c r="M905" s="3" t="s">
        <v>41</v>
      </c>
    </row>
    <row r="906" spans="1:13" ht="138">
      <c r="A906" s="22" t="s">
        <v>11</v>
      </c>
      <c r="B906" s="3" t="s">
        <v>2916</v>
      </c>
      <c r="C906" s="3" t="s">
        <v>2917</v>
      </c>
      <c r="D906" s="3" t="s">
        <v>95</v>
      </c>
      <c r="E906" s="3" t="s">
        <v>37</v>
      </c>
      <c r="F906" s="3" t="s">
        <v>2417</v>
      </c>
      <c r="G906" s="3" t="s">
        <v>2418</v>
      </c>
      <c r="H906" s="3" t="s">
        <v>2918</v>
      </c>
      <c r="I906" s="3" t="str">
        <f>HYPERLINK("http://www.jccm.es/sede/tramite/JEH","ACTUALIZACION DE LOS DATOS REGISTRALES DE ORGANISMO DE CONTROL METROLOGICO U ORGANISMO NOTIFICADO")</f>
        <v>ACTUALIZACION DE LOS DATOS REGISTRALES DE ORGANISMO DE CONTROL METROLOGICO U ORGANISMO NOTIFICADO</v>
      </c>
      <c r="J906" s="3" t="s">
        <v>42</v>
      </c>
      <c r="K906" s="3" t="s">
        <v>41</v>
      </c>
      <c r="L906" s="3" t="s">
        <v>42</v>
      </c>
      <c r="M906" s="3" t="s">
        <v>41</v>
      </c>
    </row>
    <row r="907" spans="1:13" ht="161.1">
      <c r="A907" s="22" t="s">
        <v>11</v>
      </c>
      <c r="B907" s="3" t="s">
        <v>2919</v>
      </c>
      <c r="C907" s="3" t="s">
        <v>2920</v>
      </c>
      <c r="D907" s="3" t="s">
        <v>62</v>
      </c>
      <c r="E907" s="3" t="s">
        <v>37</v>
      </c>
      <c r="F907" s="3" t="s">
        <v>2417</v>
      </c>
      <c r="G907" s="3" t="s">
        <v>2418</v>
      </c>
      <c r="H907" s="3" t="s">
        <v>2921</v>
      </c>
      <c r="I907" s="3" t="str">
        <f>HYPERLINK("http://www.jccm.es/sede/tramite/J9Y","MODIFICACION DE LOS DATOS INSCRITOS EN EL REGISTRO AUTONOMICO DE INSTALACIONES DE PRODUCCION DE ENERGIA ELECTRICA")</f>
        <v>MODIFICACION DE LOS DATOS INSCRITOS EN EL REGISTRO AUTONOMICO DE INSTALACIONES DE PRODUCCION DE ENERGIA ELECTRICA</v>
      </c>
      <c r="J907" s="3" t="s">
        <v>42</v>
      </c>
      <c r="K907" s="3" t="s">
        <v>41</v>
      </c>
      <c r="L907" s="3" t="s">
        <v>42</v>
      </c>
      <c r="M907" s="3" t="s">
        <v>41</v>
      </c>
    </row>
    <row r="908" spans="1:13" ht="138">
      <c r="A908" s="22" t="s">
        <v>11</v>
      </c>
      <c r="B908" s="3" t="s">
        <v>2922</v>
      </c>
      <c r="C908" s="3" t="s">
        <v>2923</v>
      </c>
      <c r="D908" s="3" t="s">
        <v>62</v>
      </c>
      <c r="E908" s="3" t="s">
        <v>37</v>
      </c>
      <c r="F908" s="3" t="s">
        <v>2417</v>
      </c>
      <c r="G908" s="3" t="s">
        <v>2418</v>
      </c>
      <c r="H908" s="3" t="s">
        <v>2924</v>
      </c>
      <c r="I908" s="3" t="str">
        <f>HYPERLINK("http://www.jccm.es/sede/tramite/JA1","INSCRIPCION PREVIA EN EL REGISTRO AUTONOMICO DE INSTALACIONES DE PRODUCCION DE ENERGIA ELECTRICA")</f>
        <v>INSCRIPCION PREVIA EN EL REGISTRO AUTONOMICO DE INSTALACIONES DE PRODUCCION DE ENERGIA ELECTRICA</v>
      </c>
      <c r="J908" s="3" t="s">
        <v>42</v>
      </c>
      <c r="K908" s="3" t="s">
        <v>41</v>
      </c>
      <c r="L908" s="3" t="s">
        <v>42</v>
      </c>
      <c r="M908" s="3" t="s">
        <v>41</v>
      </c>
    </row>
    <row r="909" spans="1:13" ht="138">
      <c r="A909" s="22" t="s">
        <v>11</v>
      </c>
      <c r="B909" s="3" t="s">
        <v>2925</v>
      </c>
      <c r="C909" s="3" t="s">
        <v>2926</v>
      </c>
      <c r="D909" s="3" t="s">
        <v>62</v>
      </c>
      <c r="E909" s="3" t="s">
        <v>46</v>
      </c>
      <c r="F909" s="3" t="s">
        <v>2417</v>
      </c>
      <c r="G909" s="3" t="s">
        <v>2418</v>
      </c>
      <c r="H909" s="3" t="s">
        <v>2927</v>
      </c>
      <c r="I909" s="3" t="str">
        <f>HYPERLINK("http://www.jccm.es/sede/tramite/JA0","INSCRIPCION DEFINITIVA EN EL REGISTRO AUTONOMICO DE INSTALACIONES DE PRODUCCION DE ENERGIA ELECTRICA")</f>
        <v>INSCRIPCION DEFINITIVA EN EL REGISTRO AUTONOMICO DE INSTALACIONES DE PRODUCCION DE ENERGIA ELECTRICA</v>
      </c>
      <c r="J909" s="3" t="s">
        <v>42</v>
      </c>
      <c r="K909" s="3" t="s">
        <v>41</v>
      </c>
      <c r="L909" s="3" t="s">
        <v>42</v>
      </c>
      <c r="M909" s="3" t="s">
        <v>41</v>
      </c>
    </row>
    <row r="910" spans="1:13" ht="149.44999999999999">
      <c r="A910" s="22" t="s">
        <v>11</v>
      </c>
      <c r="B910" s="3" t="s">
        <v>2928</v>
      </c>
      <c r="C910" s="3" t="s">
        <v>2929</v>
      </c>
      <c r="D910" s="3" t="s">
        <v>45</v>
      </c>
      <c r="E910" s="3" t="s">
        <v>37</v>
      </c>
      <c r="F910" s="3" t="s">
        <v>2417</v>
      </c>
      <c r="G910" s="3" t="s">
        <v>2418</v>
      </c>
      <c r="H910" s="3" t="s">
        <v>2930</v>
      </c>
      <c r="I910" s="3" t="str">
        <f>HYPERLINK("http://www.jccm.es/sede/tramite/J9Z","CANCELACION DE LA INSCRIPCION EN EL REGISTRO AUTONOMICO DE INSTALACIONES DE PRODUCCION DE ENERGIA ELECTRICA")</f>
        <v>CANCELACION DE LA INSCRIPCION EN EL REGISTRO AUTONOMICO DE INSTALACIONES DE PRODUCCION DE ENERGIA ELECTRICA</v>
      </c>
      <c r="J910" s="3" t="s">
        <v>42</v>
      </c>
      <c r="K910" s="3" t="s">
        <v>41</v>
      </c>
      <c r="L910" s="3" t="s">
        <v>42</v>
      </c>
      <c r="M910" s="3" t="s">
        <v>41</v>
      </c>
    </row>
    <row r="911" spans="1:13" ht="126.6">
      <c r="A911" s="22" t="s">
        <v>11</v>
      </c>
      <c r="B911" s="3" t="s">
        <v>2931</v>
      </c>
      <c r="C911" s="3" t="s">
        <v>2932</v>
      </c>
      <c r="D911" s="3" t="s">
        <v>2933</v>
      </c>
      <c r="E911" s="3" t="s">
        <v>37</v>
      </c>
      <c r="F911" s="3" t="s">
        <v>2417</v>
      </c>
      <c r="G911" s="3" t="s">
        <v>2604</v>
      </c>
      <c r="H911" s="3" t="s">
        <v>2934</v>
      </c>
      <c r="I911" s="3" t="str">
        <f>HYPERLINK("http://www.jccm.es/sede/tramite/JX1","INSCRIPCION EN EL REGISTRO ESPECIAL DE INSTALACIONES DE RADIOCOMUNICACION.")</f>
        <v>INSCRIPCION EN EL REGISTRO ESPECIAL DE INSTALACIONES DE RADIOCOMUNICACION.</v>
      </c>
      <c r="J911" s="3" t="s">
        <v>41</v>
      </c>
      <c r="K911" s="3" t="s">
        <v>41</v>
      </c>
      <c r="L911" s="3" t="s">
        <v>42</v>
      </c>
      <c r="M911" s="3" t="s">
        <v>41</v>
      </c>
    </row>
    <row r="912" spans="1:13" ht="126.6">
      <c r="A912" s="22" t="s">
        <v>11</v>
      </c>
      <c r="B912" s="3" t="s">
        <v>2935</v>
      </c>
      <c r="C912" s="3" t="s">
        <v>2936</v>
      </c>
      <c r="D912" s="3" t="s">
        <v>95</v>
      </c>
      <c r="E912" s="3" t="s">
        <v>95</v>
      </c>
      <c r="F912" s="3" t="s">
        <v>2417</v>
      </c>
      <c r="G912" s="3" t="s">
        <v>2570</v>
      </c>
      <c r="H912" s="3" t="s">
        <v>2937</v>
      </c>
      <c r="I912" s="3" t="str">
        <f>HYPERLINK("http://www.jccm.es/sede/tramite/E66","COMUNICACION DE INICIO DE ACTIVIDADES DE PRODUCCION  Y GESTION DE RESIDUOS DE CASTILLA-LA MANCHA. PRODUCTOR")</f>
        <v>COMUNICACION DE INICIO DE ACTIVIDADES DE PRODUCCION  Y GESTION DE RESIDUOS DE CASTILLA-LA MANCHA. PRODUCTOR</v>
      </c>
      <c r="J912" s="3" t="s">
        <v>41</v>
      </c>
      <c r="K912" s="3" t="s">
        <v>41</v>
      </c>
      <c r="L912" s="3" t="s">
        <v>42</v>
      </c>
      <c r="M912" s="3" t="s">
        <v>41</v>
      </c>
    </row>
    <row r="913" spans="1:13" ht="149.44999999999999">
      <c r="A913" s="22" t="s">
        <v>11</v>
      </c>
      <c r="B913" s="3" t="s">
        <v>2938</v>
      </c>
      <c r="C913" s="3" t="s">
        <v>2939</v>
      </c>
      <c r="D913" s="3" t="s">
        <v>95</v>
      </c>
      <c r="E913" s="3" t="s">
        <v>95</v>
      </c>
      <c r="F913" s="3" t="s">
        <v>2417</v>
      </c>
      <c r="G913" s="3" t="s">
        <v>2570</v>
      </c>
      <c r="H913" s="3" t="s">
        <v>2940</v>
      </c>
      <c r="I913" s="3" t="str">
        <f>HYPERLINK("http://www.jccm.es/sede/tramite/I7Z","COMUNICACION DE INICIO EN EL REGISTRO DE PRODUCCION Y GESTION DE RESIDUOS DE CASTILLA-LA MANCHA. TRANSPORTISTA")</f>
        <v>COMUNICACION DE INICIO EN EL REGISTRO DE PRODUCCION Y GESTION DE RESIDUOS DE CASTILLA-LA MANCHA. TRANSPORTISTA</v>
      </c>
      <c r="J913" s="3" t="s">
        <v>41</v>
      </c>
      <c r="K913" s="3" t="s">
        <v>41</v>
      </c>
      <c r="L913" s="3" t="s">
        <v>42</v>
      </c>
      <c r="M913" s="3" t="s">
        <v>42</v>
      </c>
    </row>
    <row r="914" spans="1:13" ht="114.95">
      <c r="A914" s="22" t="s">
        <v>11</v>
      </c>
      <c r="B914" s="3" t="s">
        <v>2941</v>
      </c>
      <c r="C914" s="3" t="s">
        <v>2942</v>
      </c>
      <c r="D914" s="3" t="s">
        <v>95</v>
      </c>
      <c r="E914" s="3" t="s">
        <v>95</v>
      </c>
      <c r="F914" s="3" t="s">
        <v>2417</v>
      </c>
      <c r="G914" s="3" t="s">
        <v>2570</v>
      </c>
      <c r="H914" s="3" t="s">
        <v>2943</v>
      </c>
      <c r="I914" s="3" t="str">
        <f>HYPERLINK("http://www.jccm.es/sede/tramite/JB9","NOTIFICACION ANUAL DE DATOS AL REGISTRO PRTR DE CASTILLA-LA MANCHA")</f>
        <v>NOTIFICACION ANUAL DE DATOS AL REGISTRO PRTR DE CASTILLA-LA MANCHA</v>
      </c>
      <c r="J914" s="3" t="s">
        <v>41</v>
      </c>
      <c r="K914" s="3" t="s">
        <v>41</v>
      </c>
      <c r="L914" s="3" t="s">
        <v>42</v>
      </c>
      <c r="M914" s="3" t="s">
        <v>41</v>
      </c>
    </row>
    <row r="915" spans="1:13" ht="161.1">
      <c r="A915" s="22" t="s">
        <v>11</v>
      </c>
      <c r="B915" s="3" t="s">
        <v>2944</v>
      </c>
      <c r="C915" s="3" t="s">
        <v>2945</v>
      </c>
      <c r="D915" s="3" t="s">
        <v>2946</v>
      </c>
      <c r="E915" s="3" t="s">
        <v>37</v>
      </c>
      <c r="F915" s="3" t="s">
        <v>2417</v>
      </c>
      <c r="G915" s="3" t="s">
        <v>2581</v>
      </c>
      <c r="H915" s="3" t="s">
        <v>2947</v>
      </c>
      <c r="I915" s="3" t="str">
        <f>HYPERLINK("http://www.jccm.es/sede/tramite/JBC","INFORMACION AMBIENTAL")</f>
        <v>INFORMACION AMBIENTAL</v>
      </c>
      <c r="J915" s="3" t="s">
        <v>42</v>
      </c>
      <c r="K915" s="3" t="s">
        <v>41</v>
      </c>
      <c r="L915" s="3" t="s">
        <v>42</v>
      </c>
      <c r="M915" s="3" t="s">
        <v>41</v>
      </c>
    </row>
    <row r="916" spans="1:13" ht="114.95">
      <c r="A916" s="22" t="s">
        <v>11</v>
      </c>
      <c r="B916" s="3" t="s">
        <v>2948</v>
      </c>
      <c r="C916" s="3" t="s">
        <v>2949</v>
      </c>
      <c r="D916" s="3" t="s">
        <v>95</v>
      </c>
      <c r="E916" s="3" t="s">
        <v>95</v>
      </c>
      <c r="F916" s="3" t="s">
        <v>2417</v>
      </c>
      <c r="G916" s="3" t="s">
        <v>2570</v>
      </c>
      <c r="H916" s="3" t="s">
        <v>2950</v>
      </c>
      <c r="I916" s="3" t="str">
        <f>HYPERLINK("http://www.jccm.es/sede/tramite/JBF","NOTIFICACION Y REGISTRO DE CENTROS EMISORES DE COVS")</f>
        <v>NOTIFICACION Y REGISTRO DE CENTROS EMISORES DE COVS</v>
      </c>
      <c r="J916" s="3" t="s">
        <v>42</v>
      </c>
      <c r="K916" s="3" t="s">
        <v>41</v>
      </c>
      <c r="L916" s="3" t="s">
        <v>42</v>
      </c>
      <c r="M916" s="3" t="s">
        <v>42</v>
      </c>
    </row>
    <row r="917" spans="1:13" ht="218.45">
      <c r="A917" s="22" t="s">
        <v>11</v>
      </c>
      <c r="B917" s="3" t="s">
        <v>2951</v>
      </c>
      <c r="C917" s="3" t="s">
        <v>2952</v>
      </c>
      <c r="D917" s="3" t="s">
        <v>2953</v>
      </c>
      <c r="E917" s="3" t="s">
        <v>37</v>
      </c>
      <c r="F917" s="3" t="s">
        <v>2417</v>
      </c>
      <c r="G917" s="3" t="s">
        <v>2418</v>
      </c>
      <c r="H917" s="3" t="s">
        <v>2954</v>
      </c>
      <c r="I917" s="3" t="str">
        <f>HYPERLINK("http://www.jccm.es/sede/tramite/IM2","REGISTRO DE INSTALACIONES PETROLIFERAS")</f>
        <v>REGISTRO DE INSTALACIONES PETROLIFERAS</v>
      </c>
      <c r="J917" s="3" t="s">
        <v>42</v>
      </c>
      <c r="K917" s="3" t="s">
        <v>41</v>
      </c>
      <c r="L917" s="3" t="s">
        <v>42</v>
      </c>
      <c r="M917" s="3" t="s">
        <v>41</v>
      </c>
    </row>
    <row r="918" spans="1:13" ht="126.6">
      <c r="A918" s="22" t="s">
        <v>11</v>
      </c>
      <c r="B918" s="3" t="s">
        <v>2955</v>
      </c>
      <c r="C918" s="3" t="s">
        <v>2956</v>
      </c>
      <c r="D918" s="3" t="s">
        <v>95</v>
      </c>
      <c r="E918" s="3" t="s">
        <v>95</v>
      </c>
      <c r="F918" s="3" t="s">
        <v>2417</v>
      </c>
      <c r="G918" s="3" t="s">
        <v>2418</v>
      </c>
      <c r="H918" s="3" t="s">
        <v>2957</v>
      </c>
      <c r="I918" s="3" t="str">
        <f>HYPERLINK("http://www.jccm.es/sede/tramite/JDV","DECLARACION RESPONSABLE DE EMPRESAS DE SERVICIOS EN MATERIA DE SEGURIDAD INDUSTRIAL.")</f>
        <v>DECLARACION RESPONSABLE DE EMPRESAS DE SERVICIOS EN MATERIA DE SEGURIDAD INDUSTRIAL.</v>
      </c>
      <c r="J918" s="3" t="s">
        <v>41</v>
      </c>
      <c r="K918" s="3" t="s">
        <v>41</v>
      </c>
      <c r="L918" s="3" t="s">
        <v>42</v>
      </c>
      <c r="M918" s="3" t="s">
        <v>42</v>
      </c>
    </row>
    <row r="919" spans="1:13" ht="126.6">
      <c r="A919" s="22" t="s">
        <v>11</v>
      </c>
      <c r="B919" s="3" t="s">
        <v>2958</v>
      </c>
      <c r="C919" s="3" t="s">
        <v>2959</v>
      </c>
      <c r="D919" s="3" t="s">
        <v>45</v>
      </c>
      <c r="E919" s="3" t="s">
        <v>37</v>
      </c>
      <c r="F919" s="3" t="s">
        <v>2417</v>
      </c>
      <c r="G919" s="3" t="s">
        <v>2418</v>
      </c>
      <c r="H919" s="3" t="s">
        <v>2960</v>
      </c>
      <c r="I919" s="3" t="str">
        <f>HYPERLINK("http://www.jccm.es/sede/tramite/JE8","REGISTRO DE LA INSTALACION DE UN ASCENSOR")</f>
        <v>REGISTRO DE LA INSTALACION DE UN ASCENSOR</v>
      </c>
      <c r="J919" s="3" t="s">
        <v>42</v>
      </c>
      <c r="K919" s="3" t="s">
        <v>41</v>
      </c>
      <c r="L919" s="3" t="s">
        <v>42</v>
      </c>
      <c r="M919" s="3" t="s">
        <v>41</v>
      </c>
    </row>
    <row r="920" spans="1:13" ht="218.45">
      <c r="A920" s="22" t="s">
        <v>11</v>
      </c>
      <c r="B920" s="3" t="s">
        <v>2961</v>
      </c>
      <c r="C920" s="3" t="s">
        <v>2962</v>
      </c>
      <c r="D920" s="3" t="s">
        <v>95</v>
      </c>
      <c r="E920" s="3" t="s">
        <v>95</v>
      </c>
      <c r="F920" s="3" t="s">
        <v>2417</v>
      </c>
      <c r="G920" s="3" t="s">
        <v>2418</v>
      </c>
      <c r="H920" s="3" t="s">
        <v>2963</v>
      </c>
      <c r="I920" s="3" t="str">
        <f>HYPERLINK("http://www.jccm.es/sede/tramite/JNC","INSTALACIONES DE LAVADO INTERIOR, DESGASIFICACION Y DESPRESURIZACION, REPARACION O MODIFICACION DE CISTERNAS DE MERCANCIAS PELIGROSAS (ALTA/BAJA Y MODIFICACION DE DATOS)")</f>
        <v>INSTALACIONES DE LAVADO INTERIOR, DESGASIFICACION Y DESPRESURIZACION, REPARACION O MODIFICACION DE CISTERNAS DE MERCANCIAS PELIGROSAS (ALTA/BAJA Y MODIFICACION DE DATOS)</v>
      </c>
      <c r="J920" s="3" t="s">
        <v>42</v>
      </c>
      <c r="K920" s="3" t="s">
        <v>41</v>
      </c>
      <c r="L920" s="3" t="s">
        <v>42</v>
      </c>
      <c r="M920" s="3" t="s">
        <v>41</v>
      </c>
    </row>
    <row r="921" spans="1:13" ht="138">
      <c r="A921" s="22" t="s">
        <v>11</v>
      </c>
      <c r="B921" s="3" t="s">
        <v>2964</v>
      </c>
      <c r="C921" s="3" t="s">
        <v>2965</v>
      </c>
      <c r="D921" s="3" t="s">
        <v>45</v>
      </c>
      <c r="E921" s="3" t="s">
        <v>37</v>
      </c>
      <c r="F921" s="3" t="s">
        <v>2417</v>
      </c>
      <c r="G921" s="3" t="s">
        <v>2510</v>
      </c>
      <c r="H921" s="3" t="s">
        <v>2966</v>
      </c>
      <c r="I921" s="3" t="str">
        <f>HYPERLINK("http://www.jccm.es/sede/tramite/JSF","REGISTRO DE ASOCIACIONES DE CONSERVACION DE LA NATURALEZA.")</f>
        <v>REGISTRO DE ASOCIACIONES DE CONSERVACION DE LA NATURALEZA.</v>
      </c>
      <c r="J921" s="3" t="s">
        <v>41</v>
      </c>
      <c r="K921" s="3" t="s">
        <v>41</v>
      </c>
      <c r="L921" s="3" t="s">
        <v>42</v>
      </c>
      <c r="M921" s="3" t="s">
        <v>41</v>
      </c>
    </row>
    <row r="922" spans="1:13" ht="138">
      <c r="A922" s="22" t="s">
        <v>11</v>
      </c>
      <c r="B922" s="3" t="s">
        <v>2967</v>
      </c>
      <c r="C922" s="3" t="s">
        <v>2968</v>
      </c>
      <c r="D922" s="3" t="s">
        <v>45</v>
      </c>
      <c r="E922" s="3" t="s">
        <v>37</v>
      </c>
      <c r="F922" s="3" t="s">
        <v>2417</v>
      </c>
      <c r="G922" s="3" t="s">
        <v>2510</v>
      </c>
      <c r="H922" s="3" t="s">
        <v>2969</v>
      </c>
      <c r="I922" s="3" t="str">
        <f>HYPERLINK("http://www.jccm.es/sede/tramite/JSE","REGISTRO DE EMPRESAS DE TURISMO EN LA NATURALEZA")</f>
        <v>REGISTRO DE EMPRESAS DE TURISMO EN LA NATURALEZA</v>
      </c>
      <c r="J922" s="3" t="s">
        <v>42</v>
      </c>
      <c r="K922" s="3" t="s">
        <v>41</v>
      </c>
      <c r="L922" s="3" t="s">
        <v>42</v>
      </c>
      <c r="M922" s="3" t="s">
        <v>41</v>
      </c>
    </row>
    <row r="923" spans="1:13" ht="126.6">
      <c r="A923" s="22" t="s">
        <v>11</v>
      </c>
      <c r="B923" s="3" t="s">
        <v>2970</v>
      </c>
      <c r="C923" s="3" t="s">
        <v>2971</v>
      </c>
      <c r="D923" s="3" t="s">
        <v>95</v>
      </c>
      <c r="E923" s="3" t="s">
        <v>37</v>
      </c>
      <c r="F923" s="3" t="s">
        <v>2417</v>
      </c>
      <c r="G923" s="3" t="s">
        <v>2418</v>
      </c>
      <c r="H923" s="3" t="s">
        <v>2972</v>
      </c>
      <c r="I923" s="3" t="str">
        <f>HYPERLINK("http://www.jccm.es/sede/tramite/I86","DECLARACION DE ACTIVIDAD EN TALLER DE REPARACION DE VEHICULOS AUTOMOVILES")</f>
        <v>DECLARACION DE ACTIVIDAD EN TALLER DE REPARACION DE VEHICULOS AUTOMOVILES</v>
      </c>
      <c r="J923" s="3" t="s">
        <v>42</v>
      </c>
      <c r="K923" s="3" t="s">
        <v>41</v>
      </c>
      <c r="L923" s="3" t="s">
        <v>42</v>
      </c>
      <c r="M923" s="3" t="s">
        <v>42</v>
      </c>
    </row>
    <row r="924" spans="1:13" ht="126.6">
      <c r="A924" s="22" t="s">
        <v>11</v>
      </c>
      <c r="B924" s="3" t="s">
        <v>2973</v>
      </c>
      <c r="C924" s="3" t="s">
        <v>2974</v>
      </c>
      <c r="D924" s="3" t="s">
        <v>45</v>
      </c>
      <c r="E924" s="3" t="s">
        <v>37</v>
      </c>
      <c r="F924" s="3" t="s">
        <v>2417</v>
      </c>
      <c r="G924" s="3" t="s">
        <v>2604</v>
      </c>
      <c r="H924" s="3" t="s">
        <v>2975</v>
      </c>
      <c r="I924" s="3" t="str">
        <f>HYPERLINK("http://www.jccm.es/sede/tramite/ILA","REGISTRO DE RADIO Y TELEVISION DE CASTILLA-LA MANCHA")</f>
        <v>REGISTRO DE RADIO Y TELEVISION DE CASTILLA-LA MANCHA</v>
      </c>
      <c r="J924" s="3" t="s">
        <v>42</v>
      </c>
      <c r="K924" s="3" t="s">
        <v>41</v>
      </c>
      <c r="L924" s="3" t="s">
        <v>42</v>
      </c>
      <c r="M924" s="3" t="s">
        <v>41</v>
      </c>
    </row>
    <row r="925" spans="1:13" ht="138">
      <c r="A925" s="22" t="s">
        <v>11</v>
      </c>
      <c r="B925" s="3" t="s">
        <v>2976</v>
      </c>
      <c r="C925" s="3" t="s">
        <v>2977</v>
      </c>
      <c r="D925" s="3" t="s">
        <v>45</v>
      </c>
      <c r="E925" s="3" t="s">
        <v>46</v>
      </c>
      <c r="F925" s="3" t="s">
        <v>2417</v>
      </c>
      <c r="G925" s="3" t="s">
        <v>2510</v>
      </c>
      <c r="H925" s="3" t="s">
        <v>2978</v>
      </c>
      <c r="I925" s="3" t="str">
        <f>HYPERLINK("http://www.jccm.es/sede/tramite/KPK","RECONOCIMIENTO DE LA CONDICION DE TITULAR PROFESIONAL CINEGETICO")</f>
        <v>RECONOCIMIENTO DE LA CONDICION DE TITULAR PROFESIONAL CINEGETICO</v>
      </c>
      <c r="J925" s="3" t="s">
        <v>42</v>
      </c>
      <c r="K925" s="3" t="s">
        <v>41</v>
      </c>
      <c r="L925" s="3" t="s">
        <v>42</v>
      </c>
      <c r="M925" s="3" t="s">
        <v>41</v>
      </c>
    </row>
    <row r="926" spans="1:13" ht="138">
      <c r="A926" s="22" t="s">
        <v>11</v>
      </c>
      <c r="B926" s="3" t="s">
        <v>2979</v>
      </c>
      <c r="C926" s="3" t="s">
        <v>2980</v>
      </c>
      <c r="D926" s="3" t="s">
        <v>45</v>
      </c>
      <c r="E926" s="3" t="s">
        <v>46</v>
      </c>
      <c r="F926" s="3" t="s">
        <v>2417</v>
      </c>
      <c r="G926" s="3" t="s">
        <v>2510</v>
      </c>
      <c r="H926" s="3" t="s">
        <v>2981</v>
      </c>
      <c r="I926" s="3" t="str">
        <f>HYPERLINK("http://www.jccm.es/sede/tramite/KQG","REGISTRO DE EXPLOTACIONES CINEGETICAS EXTERIORES")</f>
        <v>REGISTRO DE EXPLOTACIONES CINEGETICAS EXTERIORES</v>
      </c>
      <c r="J926" s="3" t="s">
        <v>41</v>
      </c>
      <c r="K926" s="3" t="s">
        <v>41</v>
      </c>
      <c r="L926" s="3" t="s">
        <v>42</v>
      </c>
      <c r="M926" s="3" t="s">
        <v>41</v>
      </c>
    </row>
    <row r="927" spans="1:13" ht="161.1">
      <c r="A927" s="22" t="s">
        <v>11</v>
      </c>
      <c r="B927" s="3" t="s">
        <v>2982</v>
      </c>
      <c r="C927" s="3" t="s">
        <v>2983</v>
      </c>
      <c r="D927" s="3" t="s">
        <v>45</v>
      </c>
      <c r="E927" s="3" t="s">
        <v>37</v>
      </c>
      <c r="F927" s="3" t="s">
        <v>2417</v>
      </c>
      <c r="G927" s="3" t="s">
        <v>2418</v>
      </c>
      <c r="H927" s="3" t="s">
        <v>2984</v>
      </c>
      <c r="I927" s="3" t="str">
        <f>HYPERLINK("http://www.jccm.es/sede/tramite/KWD","REGISTRO DE INSTALACIONES DE PROTECCION CONTRA INCENDIOS (EXCEPTO EN ESTABLECIMIENTOS INDUSTRIALES)")</f>
        <v>REGISTRO DE INSTALACIONES DE PROTECCION CONTRA INCENDIOS (EXCEPTO EN ESTABLECIMIENTOS INDUSTRIALES)</v>
      </c>
      <c r="J927" s="3" t="s">
        <v>42</v>
      </c>
      <c r="K927" s="3" t="s">
        <v>41</v>
      </c>
      <c r="L927" s="3" t="s">
        <v>42</v>
      </c>
      <c r="M927" s="3" t="s">
        <v>41</v>
      </c>
    </row>
    <row r="928" spans="1:13" ht="126.6">
      <c r="A928" s="22" t="s">
        <v>11</v>
      </c>
      <c r="B928" s="3" t="s">
        <v>2985</v>
      </c>
      <c r="C928" s="3" t="s">
        <v>2986</v>
      </c>
      <c r="D928" s="3" t="s">
        <v>2987</v>
      </c>
      <c r="E928" s="3" t="s">
        <v>95</v>
      </c>
      <c r="F928" s="3" t="s">
        <v>2417</v>
      </c>
      <c r="G928" s="3" t="s">
        <v>2418</v>
      </c>
      <c r="H928" s="3" t="s">
        <v>2988</v>
      </c>
      <c r="I928" s="3" t="str">
        <f>HYPERLINK("http://www.jccm.es/sede/tramite/LG8","COMUNICACION PARA LA INSCRIPCION EN EL REGISTRO ADMINISTRATIVO DE AUTOCONSUMO DE ENERGIA ELECTRICA REGULADO EN EL REAL DECRETO 244/2019.")</f>
        <v>COMUNICACION PARA LA INSCRIPCION EN EL REGISTRO ADMINISTRATIVO DE AUTOCONSUMO DE ENERGIA ELECTRICA REGULADO EN EL REAL DECRETO 244/2019.</v>
      </c>
      <c r="J928" s="3" t="s">
        <v>42</v>
      </c>
      <c r="K928" s="3" t="s">
        <v>41</v>
      </c>
      <c r="L928" s="3" t="s">
        <v>42</v>
      </c>
      <c r="M928" s="3" t="s">
        <v>41</v>
      </c>
    </row>
    <row r="929" spans="1:13" ht="241.5">
      <c r="A929" s="22" t="s">
        <v>11</v>
      </c>
      <c r="B929" s="3" t="s">
        <v>2989</v>
      </c>
      <c r="C929" s="3" t="s">
        <v>2990</v>
      </c>
      <c r="D929" s="3" t="s">
        <v>70</v>
      </c>
      <c r="E929" s="3" t="s">
        <v>46</v>
      </c>
      <c r="F929" s="3" t="s">
        <v>2417</v>
      </c>
      <c r="G929" s="3" t="s">
        <v>2604</v>
      </c>
      <c r="H929" s="3" t="s">
        <v>2991</v>
      </c>
      <c r="I929" s="3" t="str">
        <f>HYPERLINK("http://www.jccm.es/sede/tramite/LVN","REGISTRO DE OPERADORES-COLABORADORES DEL PROGRAMA DE EMISION DE BONOS DIGITALES PARA COLECTIVOS VULNERABLES")</f>
        <v>REGISTRO DE OPERADORES-COLABORADORES DEL PROGRAMA DE EMISION DE BONOS DIGITALES PARA COLECTIVOS VULNERABLES</v>
      </c>
      <c r="J929" s="3" t="s">
        <v>41</v>
      </c>
      <c r="K929" s="3" t="s">
        <v>41</v>
      </c>
      <c r="L929" s="3" t="s">
        <v>42</v>
      </c>
      <c r="M929" s="3" t="s">
        <v>41</v>
      </c>
    </row>
    <row r="930" spans="1:13" ht="138">
      <c r="A930" s="22" t="s">
        <v>11</v>
      </c>
      <c r="B930" s="3" t="s">
        <v>2992</v>
      </c>
      <c r="C930" s="3" t="s">
        <v>2993</v>
      </c>
      <c r="D930" s="3" t="s">
        <v>45</v>
      </c>
      <c r="E930" s="3" t="s">
        <v>46</v>
      </c>
      <c r="F930" s="3" t="s">
        <v>2417</v>
      </c>
      <c r="G930" s="3" t="s">
        <v>2510</v>
      </c>
      <c r="H930" s="3" t="s">
        <v>2994</v>
      </c>
      <c r="I930" s="3" t="str">
        <f>HYPERLINK("http://www.jccm.es/sede/tramite/L3P","REGISTRO DE ESPECIES CINEGETICAS EN CAUTIVIDAD (ALECTORIS)")</f>
        <v>REGISTRO DE ESPECIES CINEGETICAS EN CAUTIVIDAD (ALECTORIS)</v>
      </c>
      <c r="J930" s="3" t="s">
        <v>42</v>
      </c>
      <c r="K930" s="3" t="s">
        <v>41</v>
      </c>
      <c r="L930" s="3" t="s">
        <v>42</v>
      </c>
      <c r="M930" s="3" t="s">
        <v>41</v>
      </c>
    </row>
    <row r="931" spans="1:13" ht="138">
      <c r="A931" s="22" t="s">
        <v>11</v>
      </c>
      <c r="B931" s="3" t="s">
        <v>2995</v>
      </c>
      <c r="C931" s="3" t="s">
        <v>2996</v>
      </c>
      <c r="D931" s="3" t="s">
        <v>45</v>
      </c>
      <c r="E931" s="3" t="s">
        <v>37</v>
      </c>
      <c r="F931" s="3" t="s">
        <v>2417</v>
      </c>
      <c r="G931" s="3" t="s">
        <v>2510</v>
      </c>
      <c r="H931" s="3" t="s">
        <v>2997</v>
      </c>
      <c r="I931" s="3" t="str">
        <f>HYPERLINK("http://www.jccm.es/sede/tramite/265","INSCRIPCION, MODIFICACION Y/O BAJA EN EL REGISTRO DE AVES RAPACES Y DE CETRERIA.")</f>
        <v>INSCRIPCION, MODIFICACION Y/O BAJA EN EL REGISTRO DE AVES RAPACES Y DE CETRERIA.</v>
      </c>
      <c r="J931" s="3" t="s">
        <v>41</v>
      </c>
      <c r="K931" s="3" t="s">
        <v>41</v>
      </c>
      <c r="L931" s="3" t="s">
        <v>42</v>
      </c>
      <c r="M931" s="3" t="s">
        <v>41</v>
      </c>
    </row>
    <row r="932" spans="1:13" ht="138">
      <c r="A932" s="22" t="s">
        <v>11</v>
      </c>
      <c r="B932" s="3" t="s">
        <v>2998</v>
      </c>
      <c r="C932" s="3" t="s">
        <v>2999</v>
      </c>
      <c r="D932" s="3" t="s">
        <v>45</v>
      </c>
      <c r="E932" s="3" t="s">
        <v>37</v>
      </c>
      <c r="F932" s="3" t="s">
        <v>2417</v>
      </c>
      <c r="G932" s="3" t="s">
        <v>2510</v>
      </c>
      <c r="H932" s="3" t="s">
        <v>3000</v>
      </c>
      <c r="I932" s="3" t="str">
        <f>HYPERLINK("http://www.jccm.es/sede/tramite/K7Q","COMUNICACION DE CESION TEMPORAL O DEFINITIVA   EN EL REGISTRO DE AVES RAPACES Y DE CETRERIA.")</f>
        <v>COMUNICACION DE CESION TEMPORAL O DEFINITIVA   EN EL REGISTRO DE AVES RAPACES Y DE CETRERIA.</v>
      </c>
      <c r="J932" s="3" t="s">
        <v>41</v>
      </c>
      <c r="K932" s="3" t="s">
        <v>41</v>
      </c>
      <c r="L932" s="3" t="s">
        <v>42</v>
      </c>
      <c r="M932" s="3" t="s">
        <v>41</v>
      </c>
    </row>
    <row r="933" spans="1:13" ht="161.1">
      <c r="A933" s="22" t="s">
        <v>11</v>
      </c>
      <c r="B933" s="3" t="s">
        <v>3001</v>
      </c>
      <c r="C933" s="3" t="s">
        <v>3002</v>
      </c>
      <c r="D933" s="3" t="s">
        <v>45</v>
      </c>
      <c r="E933" s="3" t="s">
        <v>37</v>
      </c>
      <c r="F933" s="3" t="s">
        <v>2417</v>
      </c>
      <c r="G933" s="3" t="s">
        <v>2510</v>
      </c>
      <c r="H933" s="3" t="s">
        <v>3003</v>
      </c>
      <c r="I933" s="3" t="str">
        <f>HYPERLINK("http://www.jccm.es/sede/tramite/K7P","COMUNICACION DE PERDIDA, SUSTRACCION, RECUPERACION Y MUERTE  EN EL REGISTRO DE AVES RAPACES Y DE CETRERIA.")</f>
        <v>COMUNICACION DE PERDIDA, SUSTRACCION, RECUPERACION Y MUERTE  EN EL REGISTRO DE AVES RAPACES Y DE CETRERIA.</v>
      </c>
      <c r="J933" s="3" t="s">
        <v>41</v>
      </c>
      <c r="K933" s="3" t="s">
        <v>41</v>
      </c>
      <c r="L933" s="3" t="s">
        <v>42</v>
      </c>
      <c r="M933" s="3" t="s">
        <v>41</v>
      </c>
    </row>
    <row r="934" spans="1:13" ht="149.44999999999999">
      <c r="A934" s="22" t="s">
        <v>11</v>
      </c>
      <c r="B934" s="3" t="s">
        <v>3004</v>
      </c>
      <c r="C934" s="3" t="s">
        <v>3005</v>
      </c>
      <c r="D934" s="3" t="s">
        <v>45</v>
      </c>
      <c r="E934" s="3" t="s">
        <v>37</v>
      </c>
      <c r="F934" s="3" t="s">
        <v>2417</v>
      </c>
      <c r="G934" s="3" t="s">
        <v>2570</v>
      </c>
      <c r="H934" s="3" t="s">
        <v>3006</v>
      </c>
      <c r="I934" s="3" t="str">
        <f>HYPERLINK("http://www.jccm.es/sede/tramite/JBA","INSCRIPCION EN EL SISTEMA COMUNITARIO DE GESTION Y AUDITORIA MEDIOAMBIENTALES DE CASTILLA-LA MANCHA (REGISTRO EMAS)")</f>
        <v>INSCRIPCION EN EL SISTEMA COMUNITARIO DE GESTION Y AUDITORIA MEDIOAMBIENTALES DE CASTILLA-LA MANCHA (REGISTRO EMAS)</v>
      </c>
      <c r="J934" s="3" t="s">
        <v>42</v>
      </c>
      <c r="K934" s="3" t="s">
        <v>41</v>
      </c>
      <c r="L934" s="3" t="s">
        <v>42</v>
      </c>
      <c r="M934" s="3" t="s">
        <v>41</v>
      </c>
    </row>
    <row r="935" spans="1:13" ht="149.44999999999999">
      <c r="A935" s="22" t="s">
        <v>11</v>
      </c>
      <c r="B935" s="3" t="s">
        <v>3007</v>
      </c>
      <c r="C935" s="3" t="s">
        <v>3008</v>
      </c>
      <c r="D935" s="3" t="s">
        <v>45</v>
      </c>
      <c r="E935" s="3" t="s">
        <v>37</v>
      </c>
      <c r="F935" s="3" t="s">
        <v>2417</v>
      </c>
      <c r="G935" s="3" t="s">
        <v>2570</v>
      </c>
      <c r="H935" s="3" t="s">
        <v>3009</v>
      </c>
      <c r="I935" s="3" t="str">
        <f>HYPERLINK("http://www.jccm.es/sede/tramite/JBB","RENOVACION EN EL SISTEMA COMUNITARIO DE GESTION Y AUDITORIA MEDIOAMBIENTALES  DE CASTILLA-LA MANCHA (REGISTRO EMAS)")</f>
        <v>RENOVACION EN EL SISTEMA COMUNITARIO DE GESTION Y AUDITORIA MEDIOAMBIENTALES  DE CASTILLA-LA MANCHA (REGISTRO EMAS)</v>
      </c>
      <c r="J935" s="3" t="s">
        <v>42</v>
      </c>
      <c r="K935" s="3" t="s">
        <v>41</v>
      </c>
      <c r="L935" s="3" t="s">
        <v>42</v>
      </c>
      <c r="M935" s="3" t="s">
        <v>41</v>
      </c>
    </row>
    <row r="936" spans="1:13" ht="218.45">
      <c r="A936" s="22" t="s">
        <v>11</v>
      </c>
      <c r="B936" s="3" t="s">
        <v>3010</v>
      </c>
      <c r="C936" s="3" t="s">
        <v>3011</v>
      </c>
      <c r="D936" s="3" t="s">
        <v>45</v>
      </c>
      <c r="E936" s="3" t="s">
        <v>37</v>
      </c>
      <c r="F936" s="3" t="s">
        <v>2417</v>
      </c>
      <c r="G936" s="3" t="s">
        <v>2570</v>
      </c>
      <c r="H936" s="3" t="s">
        <v>3012</v>
      </c>
      <c r="I936" s="3" t="str">
        <f>HYPERLINK("http://www.jccm.es/sede/tramite/K1X","COMUNICACION DE CAMBIOS SUSTANCIALES DE UNA ORGANIZACION INSCRITA EN EL SISTEMA COMUNITARIO DE GESTION Y AUDITORIA MEDIOAMBIENTALES DE CASTILLA-LA MANCHA (REGISTRO EMAS).")</f>
        <v>COMUNICACION DE CAMBIOS SUSTANCIALES DE UNA ORGANIZACION INSCRITA EN EL SISTEMA COMUNITARIO DE GESTION Y AUDITORIA MEDIOAMBIENTALES DE CASTILLA-LA MANCHA (REGISTRO EMAS).</v>
      </c>
      <c r="J936" s="3" t="s">
        <v>42</v>
      </c>
      <c r="K936" s="3" t="s">
        <v>41</v>
      </c>
      <c r="L936" s="3" t="s">
        <v>42</v>
      </c>
      <c r="M936" s="3" t="s">
        <v>41</v>
      </c>
    </row>
    <row r="937" spans="1:13" ht="149.44999999999999">
      <c r="A937" s="22" t="s">
        <v>11</v>
      </c>
      <c r="B937" s="3" t="s">
        <v>3013</v>
      </c>
      <c r="C937" s="3" t="s">
        <v>3014</v>
      </c>
      <c r="D937" s="3" t="s">
        <v>45</v>
      </c>
      <c r="E937" s="3" t="s">
        <v>37</v>
      </c>
      <c r="F937" s="3" t="s">
        <v>2417</v>
      </c>
      <c r="G937" s="3" t="s">
        <v>2570</v>
      </c>
      <c r="H937" s="3" t="s">
        <v>3015</v>
      </c>
      <c r="I937" s="3" t="str">
        <f>HYPERLINK("http://www.jccm.es/sede/tramite/K1Y","MANTENIMIENTO  EN EL SISTEMA COMUNITARIO DE GESTION Y AUDITORIA MEDIOAMBIENTALES  DE CASTILLA-LA MANCHA (REGISTRO EMAS)")</f>
        <v>MANTENIMIENTO  EN EL SISTEMA COMUNITARIO DE GESTION Y AUDITORIA MEDIOAMBIENTALES  DE CASTILLA-LA MANCHA (REGISTRO EMAS)</v>
      </c>
      <c r="J937" s="3" t="s">
        <v>42</v>
      </c>
      <c r="K937" s="3" t="s">
        <v>41</v>
      </c>
      <c r="L937" s="3" t="s">
        <v>42</v>
      </c>
      <c r="M937" s="3" t="s">
        <v>41</v>
      </c>
    </row>
    <row r="938" spans="1:13" ht="218.45">
      <c r="A938" s="22" t="s">
        <v>11</v>
      </c>
      <c r="B938" s="3" t="s">
        <v>3016</v>
      </c>
      <c r="C938" s="3" t="s">
        <v>3017</v>
      </c>
      <c r="D938" s="3" t="s">
        <v>45</v>
      </c>
      <c r="E938" s="3" t="s">
        <v>37</v>
      </c>
      <c r="F938" s="3" t="s">
        <v>2417</v>
      </c>
      <c r="G938" s="3" t="s">
        <v>2418</v>
      </c>
      <c r="H938" s="3" t="s">
        <v>3018</v>
      </c>
      <c r="I938" s="3" t="str">
        <f>HYPERLINK("http://www.jccm.es/sede/tramite/JM4","INSCRIPCION DE CERTIFICADOS DE EFICIENCIA ENERGETICA EN EL REGISTRO AUTONOMICO DE CERTIFICADOS DE EFICIENCIA ENERGETICA DE EDIFICIOS DE CASTILLA-LA MANCHA. (EDIFICIO TERMINADO)")</f>
        <v>INSCRIPCION DE CERTIFICADOS DE EFICIENCIA ENERGETICA EN EL REGISTRO AUTONOMICO DE CERTIFICADOS DE EFICIENCIA ENERGETICA DE EDIFICIOS DE CASTILLA-LA MANCHA. (EDIFICIO TERMINADO)</v>
      </c>
      <c r="J938" s="3" t="s">
        <v>42</v>
      </c>
      <c r="K938" s="3" t="s">
        <v>41</v>
      </c>
      <c r="L938" s="3" t="s">
        <v>42</v>
      </c>
      <c r="M938" s="3" t="s">
        <v>41</v>
      </c>
    </row>
    <row r="939" spans="1:13" ht="218.45">
      <c r="A939" s="22" t="s">
        <v>11</v>
      </c>
      <c r="B939" s="3" t="s">
        <v>3019</v>
      </c>
      <c r="C939" s="3" t="s">
        <v>3020</v>
      </c>
      <c r="D939" s="3" t="s">
        <v>45</v>
      </c>
      <c r="E939" s="3" t="s">
        <v>37</v>
      </c>
      <c r="F939" s="3" t="s">
        <v>2417</v>
      </c>
      <c r="G939" s="3" t="s">
        <v>2418</v>
      </c>
      <c r="H939" s="3" t="s">
        <v>3021</v>
      </c>
      <c r="I939" s="3" t="str">
        <f>HYPERLINK("http://www.jccm.es/sede/tramite/JM3","INSCRIPCION DE CERTIFICADOS DE EFICIENCIA ENERGETICA EN EL REGISTRO AUTONOMICO DE CERTIFICADOS DE EFICIENCIA ENERGETICA DE EDIFICIOS DE CASTILLA-LA MANCHA. (FASE DE PROYECTO)")</f>
        <v>INSCRIPCION DE CERTIFICADOS DE EFICIENCIA ENERGETICA EN EL REGISTRO AUTONOMICO DE CERTIFICADOS DE EFICIENCIA ENERGETICA DE EDIFICIOS DE CASTILLA-LA MANCHA. (FASE DE PROYECTO)</v>
      </c>
      <c r="J939" s="3" t="s">
        <v>42</v>
      </c>
      <c r="K939" s="3" t="s">
        <v>41</v>
      </c>
      <c r="L939" s="3" t="s">
        <v>42</v>
      </c>
      <c r="M939" s="3" t="s">
        <v>41</v>
      </c>
    </row>
    <row r="940" spans="1:13" ht="218.45">
      <c r="A940" s="22" t="s">
        <v>11</v>
      </c>
      <c r="B940" s="3" t="s">
        <v>3022</v>
      </c>
      <c r="C940" s="3" t="s">
        <v>3023</v>
      </c>
      <c r="D940" s="3" t="s">
        <v>45</v>
      </c>
      <c r="E940" s="3" t="s">
        <v>37</v>
      </c>
      <c r="F940" s="3" t="s">
        <v>2417</v>
      </c>
      <c r="G940" s="3" t="s">
        <v>2418</v>
      </c>
      <c r="H940" s="3" t="s">
        <v>3024</v>
      </c>
      <c r="I940" s="3" t="str">
        <f>HYPERLINK("http://www.jccm.es/sede/tramite/K0W","INSCRIPCION DE CERTIFICADOS DE EFICIENCIA ENERGETICA EN EL REGISTRO AUTONOMICO DE CERTIFICADOS DE EFICIENCIA ENERGETICA DE EDIFICIOS DE CASTILLA-LA MANCHA. (EDIFICIO EXISTENTE)")</f>
        <v>INSCRIPCION DE CERTIFICADOS DE EFICIENCIA ENERGETICA EN EL REGISTRO AUTONOMICO DE CERTIFICADOS DE EFICIENCIA ENERGETICA DE EDIFICIOS DE CASTILLA-LA MANCHA. (EDIFICIO EXISTENTE)</v>
      </c>
      <c r="J940" s="3" t="s">
        <v>42</v>
      </c>
      <c r="K940" s="3" t="s">
        <v>41</v>
      </c>
      <c r="L940" s="3" t="s">
        <v>42</v>
      </c>
      <c r="M940" s="3" t="s">
        <v>41</v>
      </c>
    </row>
    <row r="941" spans="1:13" ht="138">
      <c r="A941" s="22" t="s">
        <v>11</v>
      </c>
      <c r="B941" s="3" t="s">
        <v>3025</v>
      </c>
      <c r="C941" s="3" t="s">
        <v>3026</v>
      </c>
      <c r="D941" s="3" t="s">
        <v>95</v>
      </c>
      <c r="E941" s="3" t="s">
        <v>95</v>
      </c>
      <c r="F941" s="3" t="s">
        <v>2417</v>
      </c>
      <c r="G941" s="3" t="s">
        <v>2418</v>
      </c>
      <c r="H941" s="3" t="s">
        <v>3027</v>
      </c>
      <c r="I941" s="3" t="str">
        <f>HYPERLINK("http://www.jccm.es/sede/tramite/JM2","INSCRIPCION  DE TECNICOS COMPETENTES PARA LA SUSCRIPCION DE CERTIFICACIONES DE EFICIENCIA ENERGETICA DE EDIFICIOS")</f>
        <v>INSCRIPCION  DE TECNICOS COMPETENTES PARA LA SUSCRIPCION DE CERTIFICACIONES DE EFICIENCIA ENERGETICA DE EDIFICIOS</v>
      </c>
      <c r="J941" s="3" t="s">
        <v>41</v>
      </c>
      <c r="K941" s="3" t="s">
        <v>41</v>
      </c>
      <c r="L941" s="3" t="s">
        <v>42</v>
      </c>
      <c r="M941" s="3" t="s">
        <v>41</v>
      </c>
    </row>
    <row r="942" spans="1:13" ht="149.44999999999999">
      <c r="A942" s="22" t="s">
        <v>11</v>
      </c>
      <c r="B942" s="3" t="s">
        <v>3028</v>
      </c>
      <c r="C942" s="3" t="s">
        <v>3029</v>
      </c>
      <c r="D942" s="3" t="s">
        <v>95</v>
      </c>
      <c r="E942" s="3" t="s">
        <v>95</v>
      </c>
      <c r="F942" s="3" t="s">
        <v>2417</v>
      </c>
      <c r="G942" s="3" t="s">
        <v>2418</v>
      </c>
      <c r="H942" s="3" t="s">
        <v>3030</v>
      </c>
      <c r="I942" s="3" t="str">
        <f>HYPERLINK("http://www.jccm.es/sede/tramite/K9M","INSCRIPCION DE EMPRESAS QUE PROPORCIONAN SERVICIOS DE CERTIFICACION DE EFICIENCIA ENERGETICA DE EDIFICIOS")</f>
        <v>INSCRIPCION DE EMPRESAS QUE PROPORCIONAN SERVICIOS DE CERTIFICACION DE EFICIENCIA ENERGETICA DE EDIFICIOS</v>
      </c>
      <c r="J942" s="3" t="s">
        <v>41</v>
      </c>
      <c r="K942" s="3" t="s">
        <v>41</v>
      </c>
      <c r="L942" s="3" t="s">
        <v>42</v>
      </c>
      <c r="M942" s="3" t="s">
        <v>41</v>
      </c>
    </row>
    <row r="943" spans="1:13" ht="195.6">
      <c r="A943" s="22" t="s">
        <v>11</v>
      </c>
      <c r="B943" s="3" t="s">
        <v>3031</v>
      </c>
      <c r="C943" s="3" t="s">
        <v>3032</v>
      </c>
      <c r="D943" s="3" t="s">
        <v>459</v>
      </c>
      <c r="E943" s="3" t="s">
        <v>37</v>
      </c>
      <c r="F943" s="3" t="s">
        <v>2417</v>
      </c>
      <c r="G943" s="3" t="s">
        <v>2418</v>
      </c>
      <c r="H943" s="3" t="s">
        <v>3033</v>
      </c>
      <c r="I943" s="3" t="str">
        <f>HYPERLINK("http://www.jccm.es/sede/tramite/K9O","CANCELACION DE INSCRIPCION EN LA SECCION PRIMERA DEL REGISTRO AUTONOMICO DE CERTIFICADOS DE EFICIENCIA ENERGETICA DE EDIFICIOS DE CASTILLA-LA MANCHA")</f>
        <v>CANCELACION DE INSCRIPCION EN LA SECCION PRIMERA DEL REGISTRO AUTONOMICO DE CERTIFICADOS DE EFICIENCIA ENERGETICA DE EDIFICIOS DE CASTILLA-LA MANCHA</v>
      </c>
      <c r="J943" s="3" t="s">
        <v>42</v>
      </c>
      <c r="K943" s="3" t="s">
        <v>41</v>
      </c>
      <c r="L943" s="3" t="s">
        <v>42</v>
      </c>
      <c r="M943" s="3" t="s">
        <v>41</v>
      </c>
    </row>
    <row r="944" spans="1:13" ht="195.6">
      <c r="A944" s="22" t="s">
        <v>11</v>
      </c>
      <c r="B944" s="3" t="s">
        <v>3034</v>
      </c>
      <c r="C944" s="3" t="s">
        <v>3035</v>
      </c>
      <c r="D944" s="3" t="s">
        <v>459</v>
      </c>
      <c r="E944" s="3" t="s">
        <v>37</v>
      </c>
      <c r="F944" s="3" t="s">
        <v>2417</v>
      </c>
      <c r="G944" s="3" t="s">
        <v>2418</v>
      </c>
      <c r="H944" s="3" t="s">
        <v>3036</v>
      </c>
      <c r="I944" s="3" t="str">
        <f>HYPERLINK("http://www.jccm.es/sede/tramite/K9P","CANCELACION DE INSCRIPCION EN LA SECCION SEGUNDA DEL REGISTRO AUTONOMICO DE CERTIFICADOS DE EFICIENCIA ENERGETICA DE EDIFICIOS DE CASTILLA-LA MANCHA")</f>
        <v>CANCELACION DE INSCRIPCION EN LA SECCION SEGUNDA DEL REGISTRO AUTONOMICO DE CERTIFICADOS DE EFICIENCIA ENERGETICA DE EDIFICIOS DE CASTILLA-LA MANCHA</v>
      </c>
      <c r="J944" s="3" t="s">
        <v>41</v>
      </c>
      <c r="K944" s="3" t="s">
        <v>41</v>
      </c>
      <c r="L944" s="3" t="s">
        <v>42</v>
      </c>
      <c r="M944" s="3" t="s">
        <v>41</v>
      </c>
    </row>
    <row r="945" spans="1:13" ht="126.6">
      <c r="A945" s="22" t="s">
        <v>11</v>
      </c>
      <c r="B945" s="3" t="s">
        <v>3037</v>
      </c>
      <c r="C945" s="3" t="s">
        <v>3038</v>
      </c>
      <c r="D945" s="3" t="s">
        <v>45</v>
      </c>
      <c r="E945" s="3" t="s">
        <v>37</v>
      </c>
      <c r="F945" s="3" t="s">
        <v>2417</v>
      </c>
      <c r="G945" s="3" t="s">
        <v>2836</v>
      </c>
      <c r="H945" s="3" t="s">
        <v>3039</v>
      </c>
      <c r="I945" s="3" t="str">
        <f>HYPERLINK("http://www.jccm.es/sede/tramite/IQ4","SOLICITUD DE CONCESION O RENOVACION DE DISTINTIVOS A LAS MEJORES PRACTICAS EN MATERIA DE CONSUMO.")</f>
        <v>SOLICITUD DE CONCESION O RENOVACION DE DISTINTIVOS A LAS MEJORES PRACTICAS EN MATERIA DE CONSUMO.</v>
      </c>
      <c r="J945" s="3" t="s">
        <v>42</v>
      </c>
      <c r="K945" s="3" t="s">
        <v>41</v>
      </c>
      <c r="L945" s="3" t="s">
        <v>42</v>
      </c>
      <c r="M945" s="3" t="s">
        <v>41</v>
      </c>
    </row>
    <row r="946" spans="1:13" ht="126.6">
      <c r="A946" s="22" t="s">
        <v>11</v>
      </c>
      <c r="B946" s="3" t="s">
        <v>3040</v>
      </c>
      <c r="C946" s="3" t="s">
        <v>3041</v>
      </c>
      <c r="D946" s="3" t="s">
        <v>3042</v>
      </c>
      <c r="E946" s="3" t="s">
        <v>46</v>
      </c>
      <c r="F946" s="3" t="s">
        <v>2417</v>
      </c>
      <c r="G946" s="3" t="s">
        <v>2836</v>
      </c>
      <c r="H946" s="3" t="s">
        <v>3043</v>
      </c>
      <c r="I946" s="3" t="str">
        <f>HYPERLINK("http://www.jccm.es/sede/tramite/ITU","PARTICIPACION EN CONCURSO ESCOLAR CONSUMOPOLIS")</f>
        <v>PARTICIPACION EN CONCURSO ESCOLAR CONSUMOPOLIS</v>
      </c>
      <c r="J946" s="3" t="s">
        <v>42</v>
      </c>
      <c r="K946" s="3" t="s">
        <v>41</v>
      </c>
      <c r="L946" s="3" t="s">
        <v>42</v>
      </c>
      <c r="M946" s="3" t="s">
        <v>41</v>
      </c>
    </row>
    <row r="947" spans="1:13" ht="138">
      <c r="A947" s="22" t="s">
        <v>11</v>
      </c>
      <c r="B947" s="3" t="s">
        <v>3044</v>
      </c>
      <c r="C947" s="3" t="s">
        <v>3045</v>
      </c>
      <c r="D947" s="3" t="s">
        <v>1655</v>
      </c>
      <c r="E947" s="3" t="s">
        <v>46</v>
      </c>
      <c r="F947" s="3" t="s">
        <v>2417</v>
      </c>
      <c r="G947" s="3" t="s">
        <v>2510</v>
      </c>
      <c r="H947" s="3" t="s">
        <v>3046</v>
      </c>
      <c r="I947" s="3" t="str">
        <f>HYPERLINK("http://www.jccm.es/sede/tramite/485","CURSOS DE FORMACION DE JOVENES PESCADORES (ESCUELA REGIONAL DE PESCA FLUVIAL)")</f>
        <v>CURSOS DE FORMACION DE JOVENES PESCADORES (ESCUELA REGIONAL DE PESCA FLUVIAL)</v>
      </c>
      <c r="J947" s="3" t="s">
        <v>42</v>
      </c>
      <c r="K947" s="3" t="s">
        <v>41</v>
      </c>
      <c r="L947" s="3" t="s">
        <v>42</v>
      </c>
      <c r="M947" s="3" t="s">
        <v>41</v>
      </c>
    </row>
    <row r="948" spans="1:13" ht="138">
      <c r="A948" s="22" t="s">
        <v>11</v>
      </c>
      <c r="B948" s="3" t="s">
        <v>3047</v>
      </c>
      <c r="C948" s="3" t="s">
        <v>3048</v>
      </c>
      <c r="D948" s="3" t="s">
        <v>1727</v>
      </c>
      <c r="E948" s="3" t="s">
        <v>46</v>
      </c>
      <c r="F948" s="3" t="s">
        <v>2417</v>
      </c>
      <c r="G948" s="3" t="s">
        <v>2510</v>
      </c>
      <c r="H948" s="3" t="s">
        <v>3049</v>
      </c>
      <c r="I948" s="3" t="str">
        <f>HYPERLINK("http://www.jccm.es/sede/tramite/496","DECLARACION/MODIFICACION/PERDIDA DE CONDICION DE MONTE PROTECTOR.")</f>
        <v>DECLARACION/MODIFICACION/PERDIDA DE CONDICION DE MONTE PROTECTOR.</v>
      </c>
      <c r="J948" s="3" t="s">
        <v>42</v>
      </c>
      <c r="K948" s="3" t="s">
        <v>41</v>
      </c>
      <c r="L948" s="3" t="s">
        <v>42</v>
      </c>
      <c r="M948" s="3" t="s">
        <v>41</v>
      </c>
    </row>
    <row r="949" spans="1:13" ht="138">
      <c r="A949" s="22" t="s">
        <v>11</v>
      </c>
      <c r="B949" s="3" t="s">
        <v>3050</v>
      </c>
      <c r="C949" s="3" t="s">
        <v>3051</v>
      </c>
      <c r="D949" s="3" t="s">
        <v>1727</v>
      </c>
      <c r="E949" s="3" t="s">
        <v>46</v>
      </c>
      <c r="F949" s="3" t="s">
        <v>2417</v>
      </c>
      <c r="G949" s="3" t="s">
        <v>2510</v>
      </c>
      <c r="H949" s="3" t="s">
        <v>3052</v>
      </c>
      <c r="I949" s="3" t="str">
        <f>HYPERLINK("http://www.jccm.es/sede/tramite/JJJ","DECLARACION/MODIFICACION/PERDIDA DE CONDICION DE MONTE SINGULAR")</f>
        <v>DECLARACION/MODIFICACION/PERDIDA DE CONDICION DE MONTE SINGULAR</v>
      </c>
      <c r="J949" s="3" t="s">
        <v>42</v>
      </c>
      <c r="K949" s="3" t="s">
        <v>41</v>
      </c>
      <c r="L949" s="3" t="s">
        <v>42</v>
      </c>
      <c r="M949" s="3" t="s">
        <v>41</v>
      </c>
    </row>
    <row r="950" spans="1:13" ht="218.45">
      <c r="A950" s="22" t="s">
        <v>11</v>
      </c>
      <c r="B950" s="3" t="s">
        <v>3053</v>
      </c>
      <c r="C950" s="3" t="s">
        <v>3054</v>
      </c>
      <c r="D950" s="3" t="s">
        <v>51</v>
      </c>
      <c r="E950" s="3" t="s">
        <v>46</v>
      </c>
      <c r="F950" s="3" t="s">
        <v>2417</v>
      </c>
      <c r="G950" s="3" t="s">
        <v>2510</v>
      </c>
      <c r="H950" s="3" t="s">
        <v>3055</v>
      </c>
      <c r="I950" s="3" t="str">
        <f>HYPERLINK("http://www.jccm.es/sede/tramite/KV3","SOLICITUD DE MODIFICACION DE LA RESOLUCION DEL EXPEDIENTE DE AYUDA EN INVERSIONES EN TECNOLOGIAS FORESTALES Y EN LA TRANSFORMACION, MOVILIZACION Y COMERCIALIZACION DE PRODUCTOS FORESTALES")</f>
        <v>SOLICITUD DE MODIFICACION DE LA RESOLUCION DEL EXPEDIENTE DE AYUDA EN INVERSIONES EN TECNOLOGIAS FORESTALES Y EN LA TRANSFORMACION, MOVILIZACION Y COMERCIALIZACION DE PRODUCTOS FORESTALES</v>
      </c>
      <c r="J950" s="3" t="s">
        <v>41</v>
      </c>
      <c r="K950" s="3" t="s">
        <v>41</v>
      </c>
      <c r="L950" s="3" t="s">
        <v>42</v>
      </c>
      <c r="M950" s="3" t="s">
        <v>41</v>
      </c>
    </row>
    <row r="951" spans="1:13" ht="126.6">
      <c r="A951" s="22" t="s">
        <v>11</v>
      </c>
      <c r="B951" s="3" t="s">
        <v>3056</v>
      </c>
      <c r="C951" s="3" t="s">
        <v>3057</v>
      </c>
      <c r="D951" s="3" t="s">
        <v>36</v>
      </c>
      <c r="E951" s="3" t="s">
        <v>46</v>
      </c>
      <c r="F951" s="3" t="s">
        <v>2417</v>
      </c>
      <c r="G951" s="3" t="s">
        <v>2418</v>
      </c>
      <c r="H951" s="3" t="s">
        <v>3058</v>
      </c>
      <c r="I951" s="3" t="str">
        <f>HYPERLINK("http://www.jccm.es/sede/tramite/KZ4","SOLICITUD DE EXPRESION DE INTERES PARA AHORRO Y EFICIENCIA ENERGETICA EN ALUMBRADO PUBLICO EXTERIOR.")</f>
        <v>SOLICITUD DE EXPRESION DE INTERES PARA AHORRO Y EFICIENCIA ENERGETICA EN ALUMBRADO PUBLICO EXTERIOR.</v>
      </c>
      <c r="J951" s="3" t="s">
        <v>41</v>
      </c>
      <c r="K951" s="3" t="s">
        <v>41</v>
      </c>
      <c r="L951" s="3" t="s">
        <v>42</v>
      </c>
      <c r="M951" s="3" t="s">
        <v>41</v>
      </c>
    </row>
    <row r="952" spans="1:13" ht="126.6">
      <c r="A952" s="22" t="s">
        <v>11</v>
      </c>
      <c r="B952" s="3" t="s">
        <v>3059</v>
      </c>
      <c r="C952" s="3" t="s">
        <v>3060</v>
      </c>
      <c r="D952" s="3" t="s">
        <v>36</v>
      </c>
      <c r="E952" s="3" t="s">
        <v>46</v>
      </c>
      <c r="F952" s="3" t="s">
        <v>2417</v>
      </c>
      <c r="G952" s="3" t="s">
        <v>2418</v>
      </c>
      <c r="H952" s="3" t="s">
        <v>3061</v>
      </c>
      <c r="I952" s="3" t="str">
        <f>HYPERLINK("http://www.jccm.es/sede/tramite/KZ5","SOLICITUD DE EXPRESION DE INTERES PARA AHORRO Y EFICIENCIA ENERGETICA EN EDIFICACIONES DE LA ADMINISTRACION LOCAL.")</f>
        <v>SOLICITUD DE EXPRESION DE INTERES PARA AHORRO Y EFICIENCIA ENERGETICA EN EDIFICACIONES DE LA ADMINISTRACION LOCAL.</v>
      </c>
      <c r="J952" s="3" t="s">
        <v>41</v>
      </c>
      <c r="K952" s="3" t="s">
        <v>41</v>
      </c>
      <c r="L952" s="3" t="s">
        <v>42</v>
      </c>
      <c r="M952" s="3" t="s">
        <v>41</v>
      </c>
    </row>
    <row r="953" spans="1:13" ht="161.1">
      <c r="A953" s="22" t="s">
        <v>11</v>
      </c>
      <c r="B953" s="3" t="s">
        <v>3062</v>
      </c>
      <c r="C953" s="3" t="s">
        <v>3063</v>
      </c>
      <c r="D953" s="3" t="s">
        <v>3064</v>
      </c>
      <c r="E953" s="3" t="s">
        <v>46</v>
      </c>
      <c r="F953" s="3" t="s">
        <v>2417</v>
      </c>
      <c r="G953" s="3" t="s">
        <v>2581</v>
      </c>
      <c r="H953" s="3" t="s">
        <v>3065</v>
      </c>
      <c r="I953" s="3" t="str">
        <f>HYPERLINK("http://www.jccm.es/sede/tramite/KZG","AYUDAS A CENTROS DOCENTES PARA LA REALIZACION DE VISITAS DE EDUCACION AMBIENTAL EN LA COMUNIDAD AUTONOMA DE CASTILLA-LA MANCHA DURANTE EL CURSO 2021/2022")</f>
        <v>AYUDAS A CENTROS DOCENTES PARA LA REALIZACION DE VISITAS DE EDUCACION AMBIENTAL EN LA COMUNIDAD AUTONOMA DE CASTILLA-LA MANCHA DURANTE EL CURSO 2021/2022</v>
      </c>
      <c r="J953" s="3" t="s">
        <v>41</v>
      </c>
      <c r="K953" s="3" t="s">
        <v>41</v>
      </c>
      <c r="L953" s="3" t="s">
        <v>42</v>
      </c>
      <c r="M953" s="3" t="s">
        <v>41</v>
      </c>
    </row>
    <row r="954" spans="1:13" ht="264.60000000000002">
      <c r="A954" s="22" t="s">
        <v>11</v>
      </c>
      <c r="B954" s="3" t="s">
        <v>3066</v>
      </c>
      <c r="C954" s="3" t="s">
        <v>3067</v>
      </c>
      <c r="D954" s="3" t="s">
        <v>45</v>
      </c>
      <c r="E954" s="3" t="s">
        <v>46</v>
      </c>
      <c r="F954" s="3" t="s">
        <v>2417</v>
      </c>
      <c r="G954" s="3" t="s">
        <v>2836</v>
      </c>
      <c r="H954" s="3" t="s">
        <v>3068</v>
      </c>
      <c r="I954" s="3" t="str">
        <f>HYPERLINK("http://www.jccm.es/sede/tramite/L2X","SUBVENCIONES PARA LA PARTICIPACION DE LAS ASOCIACIONES DE PERSONAS CONSUMIDORAS EN EL DESARROLLO DE ACTIVIDADES EN MATERIA DE CONSUMO Y SU GESTION ORDINARIA")</f>
        <v>SUBVENCIONES PARA LA PARTICIPACION DE LAS ASOCIACIONES DE PERSONAS CONSUMIDORAS EN EL DESARROLLO DE ACTIVIDADES EN MATERIA DE CONSUMO Y SU GESTION ORDINARIA</v>
      </c>
      <c r="J954" s="3" t="s">
        <v>41</v>
      </c>
      <c r="K954" s="3" t="s">
        <v>41</v>
      </c>
      <c r="L954" s="3" t="s">
        <v>42</v>
      </c>
      <c r="M954" s="3" t="s">
        <v>41</v>
      </c>
    </row>
    <row r="955" spans="1:13" ht="230.1">
      <c r="A955" s="22" t="s">
        <v>11</v>
      </c>
      <c r="B955" s="3" t="s">
        <v>3069</v>
      </c>
      <c r="C955" s="3" t="s">
        <v>3070</v>
      </c>
      <c r="D955" s="3" t="s">
        <v>51</v>
      </c>
      <c r="E955" s="3" t="s">
        <v>46</v>
      </c>
      <c r="F955" s="3" t="s">
        <v>2417</v>
      </c>
      <c r="G955" s="3" t="s">
        <v>2510</v>
      </c>
      <c r="H955" s="3" t="s">
        <v>3071</v>
      </c>
      <c r="I955" s="3" t="str">
        <f>HYPERLINK("http://www.jccm.es/sede/tramite/K64","SOLICITUD DE MODIFICACION DE LA RESOLUCION DE LA AYUDA PARA LA EJECUCION DE TRATAMIENTOS SELVICOLAS.")</f>
        <v>SOLICITUD DE MODIFICACION DE LA RESOLUCION DE LA AYUDA PARA LA EJECUCION DE TRATAMIENTOS SELVICOLAS.</v>
      </c>
      <c r="J955" s="3" t="s">
        <v>41</v>
      </c>
      <c r="K955" s="3" t="s">
        <v>41</v>
      </c>
      <c r="L955" s="3" t="s">
        <v>42</v>
      </c>
      <c r="M955" s="3" t="s">
        <v>41</v>
      </c>
    </row>
    <row r="956" spans="1:13" ht="126.6">
      <c r="A956" s="22" t="s">
        <v>11</v>
      </c>
      <c r="B956" s="3" t="s">
        <v>3072</v>
      </c>
      <c r="C956" s="3" t="s">
        <v>3073</v>
      </c>
      <c r="D956" s="3" t="s">
        <v>327</v>
      </c>
      <c r="E956" s="3" t="s">
        <v>46</v>
      </c>
      <c r="F956" s="3" t="s">
        <v>2417</v>
      </c>
      <c r="G956" s="3" t="s">
        <v>2418</v>
      </c>
      <c r="H956" s="3" t="s">
        <v>3074</v>
      </c>
      <c r="I956" s="3" t="str">
        <f>HYPERLINK("http://www.jccm.es/sede/tramite/L8R","SOLICITUD DE AYUDA PROGRAMA MOVES II")</f>
        <v>SOLICITUD DE AYUDA PROGRAMA MOVES II</v>
      </c>
      <c r="J956" s="3" t="s">
        <v>42</v>
      </c>
      <c r="K956" s="3" t="s">
        <v>41</v>
      </c>
      <c r="L956" s="3" t="s">
        <v>42</v>
      </c>
      <c r="M956" s="3" t="s">
        <v>41</v>
      </c>
    </row>
    <row r="957" spans="1:13" ht="126.6">
      <c r="A957" s="22" t="s">
        <v>11</v>
      </c>
      <c r="B957" s="3" t="s">
        <v>3075</v>
      </c>
      <c r="C957" s="3" t="s">
        <v>3076</v>
      </c>
      <c r="D957" s="3" t="s">
        <v>327</v>
      </c>
      <c r="E957" s="3" t="s">
        <v>46</v>
      </c>
      <c r="F957" s="3" t="s">
        <v>2417</v>
      </c>
      <c r="G957" s="3" t="s">
        <v>2418</v>
      </c>
      <c r="H957" s="3" t="s">
        <v>3077</v>
      </c>
      <c r="I957" s="3" t="str">
        <f>HYPERLINK("http://www.jccm.es/sede/tramite/L9V","SOLICITUD DE AYUDA PARA ACTUACIONES DE EFICIENCIA ENERGETICA EN PYME Y GRAN EMPRESA DEL SECTOR INDUSTRIAL.")</f>
        <v>SOLICITUD DE AYUDA PARA ACTUACIONES DE EFICIENCIA ENERGETICA EN PYME Y GRAN EMPRESA DEL SECTOR INDUSTRIAL.</v>
      </c>
      <c r="J957" s="3" t="s">
        <v>41</v>
      </c>
      <c r="K957" s="3" t="s">
        <v>41</v>
      </c>
      <c r="L957" s="3" t="s">
        <v>42</v>
      </c>
      <c r="M957" s="3" t="s">
        <v>41</v>
      </c>
    </row>
    <row r="958" spans="1:13" ht="114.95">
      <c r="A958" s="22" t="s">
        <v>11</v>
      </c>
      <c r="B958" s="3" t="s">
        <v>3078</v>
      </c>
      <c r="C958" s="3" t="s">
        <v>3079</v>
      </c>
      <c r="D958" s="3" t="s">
        <v>3080</v>
      </c>
      <c r="E958" s="3" t="s">
        <v>46</v>
      </c>
      <c r="F958" s="3" t="s">
        <v>2417</v>
      </c>
      <c r="G958" s="3" t="s">
        <v>2581</v>
      </c>
      <c r="H958" s="3" t="s">
        <v>3081</v>
      </c>
      <c r="I958" s="3" t="str">
        <f>HYPERLINK("http://www.jccm.es/sede/tramite/LKJ","PREMIO REGIONAL DE MEDIO AMBIENTE DE CASTILLA-LA MANCHA")</f>
        <v>PREMIO REGIONAL DE MEDIO AMBIENTE DE CASTILLA-LA MANCHA</v>
      </c>
      <c r="J958" s="3" t="s">
        <v>42</v>
      </c>
      <c r="K958" s="3" t="s">
        <v>41</v>
      </c>
      <c r="L958" s="3" t="s">
        <v>42</v>
      </c>
      <c r="M958" s="3" t="s">
        <v>41</v>
      </c>
    </row>
    <row r="959" spans="1:13" ht="172.5">
      <c r="A959" s="22" t="s">
        <v>11</v>
      </c>
      <c r="B959" s="3" t="s">
        <v>3082</v>
      </c>
      <c r="C959" s="3" t="s">
        <v>3083</v>
      </c>
      <c r="D959" s="3" t="s">
        <v>51</v>
      </c>
      <c r="E959" s="3" t="s">
        <v>46</v>
      </c>
      <c r="F959" s="3" t="s">
        <v>2417</v>
      </c>
      <c r="G959" s="3" t="s">
        <v>2836</v>
      </c>
      <c r="H959" s="3" t="s">
        <v>3084</v>
      </c>
      <c r="I959" s="3" t="str">
        <f>HYPERLINK("http://www.jccm.es/sede/tramite/LNZ","SUBVENCIONES PARA EL DESARROLLO DE PROYECTOS EN MATERIA DE CONSUMO RESPONSABLE REALIZADOS POR ENTIDADES SIN ANIMO DE LUCRO.")</f>
        <v>SUBVENCIONES PARA EL DESARROLLO DE PROYECTOS EN MATERIA DE CONSUMO RESPONSABLE REALIZADOS POR ENTIDADES SIN ANIMO DE LUCRO.</v>
      </c>
      <c r="J959" s="3" t="s">
        <v>41</v>
      </c>
      <c r="K959" s="3" t="s">
        <v>41</v>
      </c>
      <c r="L959" s="3" t="s">
        <v>42</v>
      </c>
      <c r="M959" s="3" t="s">
        <v>41</v>
      </c>
    </row>
    <row r="960" spans="1:13" ht="264.60000000000002">
      <c r="A960" s="22" t="s">
        <v>11</v>
      </c>
      <c r="B960" s="3" t="s">
        <v>3085</v>
      </c>
      <c r="C960" s="3" t="s">
        <v>3086</v>
      </c>
      <c r="D960" s="3" t="s">
        <v>232</v>
      </c>
      <c r="E960" s="3" t="s">
        <v>46</v>
      </c>
      <c r="F960" s="3" t="s">
        <v>2417</v>
      </c>
      <c r="G960" s="3" t="s">
        <v>2510</v>
      </c>
      <c r="H960" s="3" t="s">
        <v>3087</v>
      </c>
      <c r="I960" s="3" t="str">
        <f>HYPERLINK("http://www.jccm.es/sede/tramite/LOI","AYUDAS PARA ADAPTACION DE LINEAS ELECTRICAS DE ALTA TENSION A LOS REQUISITOS ESTABLECIDOS POR EL REAL DECRETO 1432/2008 PARA PERSONAS QUE NO TIENEN LA CONDICION DE EMPRESA DE DISTRIBUCION.")</f>
        <v>AYUDAS PARA ADAPTACION DE LINEAS ELECTRICAS DE ALTA TENSION A LOS REQUISITOS ESTABLECIDOS POR EL REAL DECRETO 1432/2008 PARA PERSONAS QUE NO TIENEN LA CONDICION DE EMPRESA DE DISTRIBUCION.</v>
      </c>
      <c r="J960" s="3" t="s">
        <v>42</v>
      </c>
      <c r="K960" s="3" t="s">
        <v>41</v>
      </c>
      <c r="L960" s="3" t="s">
        <v>42</v>
      </c>
      <c r="M960" s="3" t="s">
        <v>41</v>
      </c>
    </row>
    <row r="961" spans="1:13" ht="252.95">
      <c r="A961" s="22" t="s">
        <v>11</v>
      </c>
      <c r="B961" s="3" t="s">
        <v>3088</v>
      </c>
      <c r="C961" s="3" t="s">
        <v>3089</v>
      </c>
      <c r="D961" s="3" t="s">
        <v>3090</v>
      </c>
      <c r="E961" s="3" t="s">
        <v>46</v>
      </c>
      <c r="F961" s="3" t="s">
        <v>2417</v>
      </c>
      <c r="G961" s="3" t="s">
        <v>2604</v>
      </c>
      <c r="H961" s="3" t="s">
        <v>3091</v>
      </c>
      <c r="I961" s="3" t="str">
        <f>HYPERLINK("http://www.jccm.es/sede/tramite/LPP","AYUDAS DE CONECTIVIDAD DIGITAL PARA REDES DE BANDA ANCHA DE MUY ALTA VELOCIDAD EN POLIGONOS INDUSTRIALES, CENTROS LOGISTICOS,  ZONAS DE CONCENTRACION EMPRESARIAL Y ZONAS DE INTERES ECONOMICO")</f>
        <v>AYUDAS DE CONECTIVIDAD DIGITAL PARA REDES DE BANDA ANCHA DE MUY ALTA VELOCIDAD EN POLIGONOS INDUSTRIALES, CENTROS LOGISTICOS,  ZONAS DE CONCENTRACION EMPRESARIAL Y ZONAS DE INTERES ECONOMICO</v>
      </c>
      <c r="J961" s="3" t="s">
        <v>41</v>
      </c>
      <c r="K961" s="3" t="s">
        <v>41</v>
      </c>
      <c r="L961" s="3" t="s">
        <v>42</v>
      </c>
      <c r="M961" s="3" t="s">
        <v>41</v>
      </c>
    </row>
    <row r="962" spans="1:13" ht="207">
      <c r="A962" s="22" t="s">
        <v>11</v>
      </c>
      <c r="B962" s="3" t="s">
        <v>3092</v>
      </c>
      <c r="C962" s="3" t="s">
        <v>3093</v>
      </c>
      <c r="D962" s="3" t="s">
        <v>232</v>
      </c>
      <c r="E962" s="3" t="s">
        <v>46</v>
      </c>
      <c r="F962" s="3" t="s">
        <v>2417</v>
      </c>
      <c r="G962" s="3" t="s">
        <v>2570</v>
      </c>
      <c r="H962" s="3" t="s">
        <v>3094</v>
      </c>
      <c r="I962" s="3" t="str">
        <f>HYPERLINK("http://www.jccm.es/sede/tramite/LQO","SUBVENCIONES PARA PROYECTOS DE IMPLANTACION DE NUEVAS RECOGIDAS DE RESIDUOS SEPARADAS Y MEJORA DE LAS EXISTENTES EN MUNICIPIOS DE CASTILLA-LA MANCHA.")</f>
        <v>SUBVENCIONES PARA PROYECTOS DE IMPLANTACION DE NUEVAS RECOGIDAS DE RESIDUOS SEPARADAS Y MEJORA DE LAS EXISTENTES EN MUNICIPIOS DE CASTILLA-LA MANCHA.</v>
      </c>
      <c r="J962" s="3" t="s">
        <v>41</v>
      </c>
      <c r="K962" s="3" t="s">
        <v>41</v>
      </c>
      <c r="L962" s="3" t="s">
        <v>42</v>
      </c>
      <c r="M962" s="3" t="s">
        <v>41</v>
      </c>
    </row>
    <row r="963" spans="1:13" ht="241.5">
      <c r="A963" s="22" t="s">
        <v>11</v>
      </c>
      <c r="B963" s="3" t="s">
        <v>3095</v>
      </c>
      <c r="C963" s="3" t="s">
        <v>3096</v>
      </c>
      <c r="D963" s="3" t="s">
        <v>327</v>
      </c>
      <c r="E963" s="3" t="s">
        <v>46</v>
      </c>
      <c r="F963" s="3" t="s">
        <v>2417</v>
      </c>
      <c r="G963" s="3" t="s">
        <v>2570</v>
      </c>
      <c r="H963" s="3" t="s">
        <v>3097</v>
      </c>
      <c r="I963" s="3" t="str">
        <f>HYPERLINK("http://www.jccm.es/sede/tramite/LQX","SUBVENCIONES PARA PROYECTOS DE CONSTRUCCION Y MEJORA DE INSTALACIONES ESPECIFICAS PARA EL TRATAMIENTO DE LOS BIORRESIDUOS RECOGIDOS SEPARADAMENTE EN MUNICIPIOS DE CASTILLA-LA MANCHA.")</f>
        <v>SUBVENCIONES PARA PROYECTOS DE CONSTRUCCION Y MEJORA DE INSTALACIONES ESPECIFICAS PARA EL TRATAMIENTO DE LOS BIORRESIDUOS RECOGIDOS SEPARADAMENTE EN MUNICIPIOS DE CASTILLA-LA MANCHA.</v>
      </c>
      <c r="J963" s="3" t="s">
        <v>41</v>
      </c>
      <c r="K963" s="3" t="s">
        <v>41</v>
      </c>
      <c r="L963" s="3" t="s">
        <v>42</v>
      </c>
      <c r="M963" s="3" t="s">
        <v>41</v>
      </c>
    </row>
    <row r="964" spans="1:13" ht="207">
      <c r="A964" s="22" t="s">
        <v>11</v>
      </c>
      <c r="B964" s="3" t="s">
        <v>3098</v>
      </c>
      <c r="C964" s="3" t="s">
        <v>3099</v>
      </c>
      <c r="D964" s="3" t="s">
        <v>3100</v>
      </c>
      <c r="E964" s="3" t="s">
        <v>46</v>
      </c>
      <c r="F964" s="3" t="s">
        <v>2417</v>
      </c>
      <c r="G964" s="3" t="s">
        <v>2570</v>
      </c>
      <c r="H964" s="3" t="s">
        <v>3101</v>
      </c>
      <c r="I964" s="3" t="str">
        <f>HYPERLINK("http://www.jccm.es/sede/tramite/LRY","SUBVENCIONES PARA ACTUACIONES DE CONSTRUCCION Y MEJORA DE INSTALACIONES DE RECOGIDA (PUNTOS LIMPIOS) EN MUNICIPIOS DE CASTILLA-LA MANCHA CON MAS DE 5.000 HABITANTES")</f>
        <v>SUBVENCIONES PARA ACTUACIONES DE CONSTRUCCION Y MEJORA DE INSTALACIONES DE RECOGIDA (PUNTOS LIMPIOS) EN MUNICIPIOS DE CASTILLA-LA MANCHA CON MAS DE 5.000 HABITANTES</v>
      </c>
      <c r="J964" s="3" t="s">
        <v>41</v>
      </c>
      <c r="K964" s="3" t="s">
        <v>41</v>
      </c>
      <c r="L964" s="3" t="s">
        <v>42</v>
      </c>
      <c r="M964" s="3" t="s">
        <v>41</v>
      </c>
    </row>
    <row r="965" spans="1:13" ht="230.1">
      <c r="A965" s="22" t="s">
        <v>11</v>
      </c>
      <c r="B965" s="3" t="s">
        <v>3102</v>
      </c>
      <c r="C965" s="3" t="s">
        <v>3103</v>
      </c>
      <c r="D965" s="3" t="s">
        <v>3100</v>
      </c>
      <c r="E965" s="3" t="s">
        <v>46</v>
      </c>
      <c r="F965" s="3" t="s">
        <v>2417</v>
      </c>
      <c r="G965" s="3" t="s">
        <v>2570</v>
      </c>
      <c r="H965" s="3" t="s">
        <v>3104</v>
      </c>
      <c r="I965" s="3" t="str">
        <f>HYPERLINK("http://www.jccm.es/sede/tramite/LS2","SUBVENCIONES PARA PROYECTOS DE CONSTRUCCION DE NUEVAS INSTALACIONES DE PREPARACION PARA LA REUTILIZACION Y EL RECICLADO DE OTROS FLUJOS DE RESIDUOS RECOGIDOS SEPARADAMENTE.")</f>
        <v>SUBVENCIONES PARA PROYECTOS DE CONSTRUCCION DE NUEVAS INSTALACIONES DE PREPARACION PARA LA REUTILIZACION Y EL RECICLADO DE OTROS FLUJOS DE RESIDUOS RECOGIDOS SEPARADAMENTE.</v>
      </c>
      <c r="J965" s="3" t="s">
        <v>42</v>
      </c>
      <c r="K965" s="3" t="s">
        <v>41</v>
      </c>
      <c r="L965" s="3" t="s">
        <v>42</v>
      </c>
      <c r="M965" s="3" t="s">
        <v>41</v>
      </c>
    </row>
    <row r="966" spans="1:13" ht="183.95">
      <c r="A966" s="22" t="s">
        <v>11</v>
      </c>
      <c r="B966" s="3" t="s">
        <v>3105</v>
      </c>
      <c r="C966" s="3" t="s">
        <v>3106</v>
      </c>
      <c r="D966" s="3" t="s">
        <v>327</v>
      </c>
      <c r="E966" s="3" t="s">
        <v>46</v>
      </c>
      <c r="F966" s="3" t="s">
        <v>2417</v>
      </c>
      <c r="G966" s="3" t="s">
        <v>2570</v>
      </c>
      <c r="H966" s="3" t="s">
        <v>3107</v>
      </c>
      <c r="I966" s="3" t="str">
        <f>HYPERLINK("http://www.jccm.es/sede/tramite/LTP","SUBVENCIONES DESTINADAS A LA IMPLEMENTACION DE PROYECTOS DE ECONOMIA CIRCULAR EN EL AMBITO DEL SECTOR TURISTICO DE CASTILLA-LA MANCHA")</f>
        <v>SUBVENCIONES DESTINADAS A LA IMPLEMENTACION DE PROYECTOS DE ECONOMIA CIRCULAR EN EL AMBITO DEL SECTOR TURISTICO DE CASTILLA-LA MANCHA</v>
      </c>
      <c r="J966" s="3" t="s">
        <v>41</v>
      </c>
      <c r="K966" s="3" t="s">
        <v>41</v>
      </c>
      <c r="L966" s="3" t="s">
        <v>42</v>
      </c>
      <c r="M966" s="3" t="s">
        <v>41</v>
      </c>
    </row>
    <row r="967" spans="1:13" ht="149.44999999999999">
      <c r="A967" s="22" t="s">
        <v>11</v>
      </c>
      <c r="B967" s="3" t="s">
        <v>3108</v>
      </c>
      <c r="C967" s="3" t="s">
        <v>3109</v>
      </c>
      <c r="D967" s="3" t="s">
        <v>3110</v>
      </c>
      <c r="E967" s="3" t="s">
        <v>46</v>
      </c>
      <c r="F967" s="3" t="s">
        <v>2417</v>
      </c>
      <c r="G967" s="3" t="s">
        <v>2836</v>
      </c>
      <c r="H967" s="3" t="s">
        <v>3111</v>
      </c>
      <c r="I967" s="3" t="str">
        <f>HYPERLINK("http://www.jccm.es/sede/tramite/LTV","SUBVENCIONES PARA PROGRAMAS DE ACTIVIDADES EN MATERIA DE CONSUMO QUE SE REALICEN POR ENTIDADES LOCALES")</f>
        <v>SUBVENCIONES PARA PROGRAMAS DE ACTIVIDADES EN MATERIA DE CONSUMO QUE SE REALICEN POR ENTIDADES LOCALES</v>
      </c>
      <c r="J967" s="3" t="s">
        <v>41</v>
      </c>
      <c r="K967" s="3" t="s">
        <v>41</v>
      </c>
      <c r="L967" s="3" t="s">
        <v>42</v>
      </c>
      <c r="M967" s="3" t="s">
        <v>41</v>
      </c>
    </row>
    <row r="968" spans="1:13" ht="252.95">
      <c r="A968" s="22" t="s">
        <v>11</v>
      </c>
      <c r="B968" s="3" t="s">
        <v>3112</v>
      </c>
      <c r="C968" s="3" t="s">
        <v>3113</v>
      </c>
      <c r="D968" s="3" t="s">
        <v>327</v>
      </c>
      <c r="E968" s="3" t="s">
        <v>46</v>
      </c>
      <c r="F968" s="3" t="s">
        <v>2417</v>
      </c>
      <c r="G968" s="3" t="s">
        <v>2510</v>
      </c>
      <c r="H968" s="3" t="s">
        <v>3114</v>
      </c>
      <c r="I968" s="3" t="str">
        <f>HYPERLINK("http://www.jccm.es/sede/tramite/LUL","AYUDA EN AREAS DE INFLUENCIA SOCIOECONOMICA DE PARQUES NACIONALES EN EL MARCO DEL PLAN DE RECUPERACION, TRANSFORMACION Y RESILIENCIA, FINANCIADO POR LA UNION EUROPEA NEXT GENERATION EU")</f>
        <v>AYUDA EN AREAS DE INFLUENCIA SOCIOECONOMICA DE PARQUES NACIONALES EN EL MARCO DEL PLAN DE RECUPERACION, TRANSFORMACION Y RESILIENCIA, FINANCIADO POR LA UNION EUROPEA NEXT GENERATION EU</v>
      </c>
      <c r="J968" s="3" t="s">
        <v>42</v>
      </c>
      <c r="K968" s="3" t="s">
        <v>41</v>
      </c>
      <c r="L968" s="3" t="s">
        <v>42</v>
      </c>
      <c r="M968" s="3" t="s">
        <v>41</v>
      </c>
    </row>
    <row r="969" spans="1:13" ht="287.45">
      <c r="A969" s="22" t="s">
        <v>11</v>
      </c>
      <c r="B969" s="3" t="s">
        <v>3115</v>
      </c>
      <c r="C969" s="3" t="s">
        <v>3116</v>
      </c>
      <c r="D969" s="3" t="s">
        <v>3090</v>
      </c>
      <c r="E969" s="3" t="s">
        <v>46</v>
      </c>
      <c r="F969" s="3" t="s">
        <v>2417</v>
      </c>
      <c r="G969" s="3" t="s">
        <v>2604</v>
      </c>
      <c r="H969" s="3" t="s">
        <v>3117</v>
      </c>
      <c r="I969" s="3" t="str">
        <f>HYPERLINK("http://www.jccm.es/sede/tramite/LVI","SUBVENCIONES A PROYECTOS DE INSTALACION DE REDES INTERNAS DE COMUNICACIONES ELECTRONICAS ALTA VELOCIDAD EN FABRICAS, CENTROS Y DEPENDENCIAS SITAS EN POLIGONOS INDUSTRIALES")</f>
        <v>SUBVENCIONES A PROYECTOS DE INSTALACION DE REDES INTERNAS DE COMUNICACIONES ELECTRONICAS ALTA VELOCIDAD EN FABRICAS, CENTROS Y DEPENDENCIAS SITAS EN POLIGONOS INDUSTRIALES</v>
      </c>
      <c r="J969" s="3" t="s">
        <v>41</v>
      </c>
      <c r="K969" s="3" t="s">
        <v>41</v>
      </c>
      <c r="L969" s="3" t="s">
        <v>42</v>
      </c>
      <c r="M969" s="3" t="s">
        <v>41</v>
      </c>
    </row>
    <row r="970" spans="1:13" ht="183.95">
      <c r="A970" s="22" t="s">
        <v>11</v>
      </c>
      <c r="B970" s="3" t="s">
        <v>3118</v>
      </c>
      <c r="C970" s="3" t="s">
        <v>3119</v>
      </c>
      <c r="D970" s="3" t="s">
        <v>3120</v>
      </c>
      <c r="E970" s="3" t="s">
        <v>46</v>
      </c>
      <c r="F970" s="3" t="s">
        <v>2417</v>
      </c>
      <c r="G970" s="3" t="s">
        <v>2418</v>
      </c>
      <c r="H970" s="3" t="s">
        <v>3121</v>
      </c>
      <c r="I970" s="3" t="str">
        <f>HYPERLINK("http://www.jccm.es/sede/tramite/LVS","PROGRAMAS DE INCENTIVOS PARA LA IMPLANTACION DE INSTALACIONES DE ENERGIAS RENOVABLES TERMICAS EN DIFERENTES SECTORES DE LA ECONOMIA")</f>
        <v>PROGRAMAS DE INCENTIVOS PARA LA IMPLANTACION DE INSTALACIONES DE ENERGIAS RENOVABLES TERMICAS EN DIFERENTES SECTORES DE LA ECONOMIA</v>
      </c>
      <c r="J970" s="3" t="s">
        <v>41</v>
      </c>
      <c r="K970" s="3" t="s">
        <v>41</v>
      </c>
      <c r="L970" s="3" t="s">
        <v>42</v>
      </c>
      <c r="M970" s="3" t="s">
        <v>41</v>
      </c>
    </row>
    <row r="971" spans="1:13" ht="195.6">
      <c r="A971" s="22" t="s">
        <v>11</v>
      </c>
      <c r="B971" s="3" t="s">
        <v>3122</v>
      </c>
      <c r="C971" s="3" t="s">
        <v>3123</v>
      </c>
      <c r="D971" s="3" t="s">
        <v>327</v>
      </c>
      <c r="E971" s="3" t="s">
        <v>46</v>
      </c>
      <c r="F971" s="3" t="s">
        <v>2417</v>
      </c>
      <c r="G971" s="3" t="s">
        <v>2836</v>
      </c>
      <c r="H971" s="3" t="s">
        <v>3124</v>
      </c>
      <c r="I971" s="3" t="str">
        <f>HYPERLINK("http://www.jccm.es/sede/tramite/LX4","SUBVENCIONES PARA EL DESARROLLO DE PROYECTOS DE SENSIBILIZACION Y FORMACION EN AGENDA 2030 Y LOS OBJETIVOS DE DESARROLLO SOSTENIBLE")</f>
        <v>SUBVENCIONES PARA EL DESARROLLO DE PROYECTOS DE SENSIBILIZACION Y FORMACION EN AGENDA 2030 Y LOS OBJETIVOS DE DESARROLLO SOSTENIBLE</v>
      </c>
      <c r="J971" s="3" t="s">
        <v>41</v>
      </c>
      <c r="K971" s="3" t="s">
        <v>41</v>
      </c>
      <c r="L971" s="3" t="s">
        <v>42</v>
      </c>
      <c r="M971" s="3" t="s">
        <v>41</v>
      </c>
    </row>
    <row r="972" spans="1:13" ht="183.95">
      <c r="A972" s="22" t="s">
        <v>11</v>
      </c>
      <c r="B972" s="3" t="s">
        <v>3125</v>
      </c>
      <c r="C972" s="3" t="s">
        <v>3126</v>
      </c>
      <c r="D972" s="3" t="s">
        <v>327</v>
      </c>
      <c r="E972" s="3" t="s">
        <v>46</v>
      </c>
      <c r="F972" s="3" t="s">
        <v>2417</v>
      </c>
      <c r="G972" s="3" t="s">
        <v>2417</v>
      </c>
      <c r="H972" s="3" t="s">
        <v>3127</v>
      </c>
      <c r="I972" s="3" t="str">
        <f>HYPERLINK("http://www.jccm.es/sede/tramite/LX7","AYUDAS DEL PROGRAMA DE EMISION DE BONOS DIGITALES PARA COLECTIVOS VULNERABLES, EN EL MARCO DEL PLAN DE RECUPERACION, TRANSFORMACION Y RESILIENCIA")</f>
        <v>AYUDAS DEL PROGRAMA DE EMISION DE BONOS DIGITALES PARA COLECTIVOS VULNERABLES, EN EL MARCO DEL PLAN DE RECUPERACION, TRANSFORMACION Y RESILIENCIA</v>
      </c>
      <c r="J972" s="3" t="s">
        <v>41</v>
      </c>
      <c r="K972" s="3" t="s">
        <v>41</v>
      </c>
      <c r="L972" s="3" t="s">
        <v>42</v>
      </c>
      <c r="M972" s="3" t="s">
        <v>41</v>
      </c>
    </row>
    <row r="973" spans="1:13" ht="138">
      <c r="A973" s="22" t="s">
        <v>11</v>
      </c>
      <c r="B973" s="3" t="s">
        <v>3128</v>
      </c>
      <c r="C973" s="3" t="s">
        <v>3129</v>
      </c>
      <c r="D973" s="3" t="s">
        <v>51</v>
      </c>
      <c r="E973" s="3" t="s">
        <v>46</v>
      </c>
      <c r="F973" s="3" t="s">
        <v>2417</v>
      </c>
      <c r="G973" s="3" t="s">
        <v>2510</v>
      </c>
      <c r="H973" s="3" t="s">
        <v>3130</v>
      </c>
      <c r="I973" s="3" t="str">
        <f>HYPERLINK("http://www.jccm.es/sede/tramite/025","AYUDAS PARA EL FOMENTO DE LA ACUICULTURA EN CASTILLA LA MANCHA")</f>
        <v>AYUDAS PARA EL FOMENTO DE LA ACUICULTURA EN CASTILLA LA MANCHA</v>
      </c>
      <c r="J973" s="3" t="s">
        <v>42</v>
      </c>
      <c r="K973" s="3" t="s">
        <v>41</v>
      </c>
      <c r="L973" s="3" t="s">
        <v>42</v>
      </c>
      <c r="M973" s="3" t="s">
        <v>41</v>
      </c>
    </row>
    <row r="974" spans="1:13" ht="138">
      <c r="A974" s="22" t="s">
        <v>11</v>
      </c>
      <c r="B974" s="3" t="s">
        <v>3131</v>
      </c>
      <c r="C974" s="3" t="s">
        <v>3132</v>
      </c>
      <c r="D974" s="3" t="s">
        <v>51</v>
      </c>
      <c r="E974" s="3" t="s">
        <v>46</v>
      </c>
      <c r="F974" s="3" t="s">
        <v>2417</v>
      </c>
      <c r="G974" s="3" t="s">
        <v>2510</v>
      </c>
      <c r="H974" s="3" t="s">
        <v>3133</v>
      </c>
      <c r="I974" s="3" t="str">
        <f>HYPERLINK("http://www.jccm.es/sede/tramite/K6I","PAGO DE LA AYUDA PARA EL FOMENTO DE LA ACUICULTURA EN CASTILLA LA MANCHA")</f>
        <v>PAGO DE LA AYUDA PARA EL FOMENTO DE LA ACUICULTURA EN CASTILLA LA MANCHA</v>
      </c>
      <c r="J974" s="3" t="s">
        <v>42</v>
      </c>
      <c r="K974" s="3" t="s">
        <v>41</v>
      </c>
      <c r="L974" s="3" t="s">
        <v>42</v>
      </c>
      <c r="M974" s="3" t="s">
        <v>41</v>
      </c>
    </row>
    <row r="975" spans="1:13" ht="172.5">
      <c r="A975" s="22" t="s">
        <v>11</v>
      </c>
      <c r="B975" s="3" t="s">
        <v>3134</v>
      </c>
      <c r="C975" s="3" t="s">
        <v>3135</v>
      </c>
      <c r="D975" s="3" t="s">
        <v>51</v>
      </c>
      <c r="E975" s="3" t="s">
        <v>46</v>
      </c>
      <c r="F975" s="3" t="s">
        <v>2417</v>
      </c>
      <c r="G975" s="3" t="s">
        <v>2510</v>
      </c>
      <c r="H975" s="3" t="s">
        <v>3136</v>
      </c>
      <c r="I975" s="3" t="str">
        <f>HYPERLINK("http://www.jccm.es/sede/tramite/KV5","MODIFICACION DE LA RESOLUCION DE LA CONCESION DE AYUDAS PARA EL FOMENTO DE LA ACUICULTURA EN LA COMUNIDAD AUTONOMA DE CASTILLA LA MANCHA.")</f>
        <v>MODIFICACION DE LA RESOLUCION DE LA CONCESION DE AYUDAS PARA EL FOMENTO DE LA ACUICULTURA EN LA COMUNIDAD AUTONOMA DE CASTILLA LA MANCHA.</v>
      </c>
      <c r="J975" s="3" t="s">
        <v>42</v>
      </c>
      <c r="K975" s="3" t="s">
        <v>41</v>
      </c>
      <c r="L975" s="3" t="s">
        <v>42</v>
      </c>
      <c r="M975" s="3" t="s">
        <v>41</v>
      </c>
    </row>
    <row r="976" spans="1:13" ht="138">
      <c r="A976" s="22" t="s">
        <v>11</v>
      </c>
      <c r="B976" s="3" t="s">
        <v>3137</v>
      </c>
      <c r="C976" s="3" t="s">
        <v>3138</v>
      </c>
      <c r="D976" s="3" t="s">
        <v>327</v>
      </c>
      <c r="E976" s="3" t="s">
        <v>46</v>
      </c>
      <c r="F976" s="3" t="s">
        <v>2417</v>
      </c>
      <c r="G976" s="3" t="s">
        <v>2510</v>
      </c>
      <c r="H976" s="3" t="s">
        <v>3139</v>
      </c>
      <c r="I976" s="3" t="str">
        <f>HYPERLINK("http://www.jccm.es/sede/tramite/K62","SOLICITUD DE PAGO DE LA AYUDA PARA LA EJECUCION DE TRATAMIENTOS SELVICOLAS.")</f>
        <v>SOLICITUD DE PAGO DE LA AYUDA PARA LA EJECUCION DE TRATAMIENTOS SELVICOLAS.</v>
      </c>
      <c r="J976" s="3" t="s">
        <v>42</v>
      </c>
      <c r="K976" s="3" t="s">
        <v>41</v>
      </c>
      <c r="L976" s="3" t="s">
        <v>42</v>
      </c>
      <c r="M976" s="3" t="s">
        <v>41</v>
      </c>
    </row>
    <row r="977" spans="1:13" ht="230.1">
      <c r="A977" s="22" t="s">
        <v>11</v>
      </c>
      <c r="B977" s="3" t="s">
        <v>3140</v>
      </c>
      <c r="C977" s="3" t="s">
        <v>3141</v>
      </c>
      <c r="D977" s="3" t="s">
        <v>327</v>
      </c>
      <c r="E977" s="3" t="s">
        <v>46</v>
      </c>
      <c r="F977" s="3" t="s">
        <v>2417</v>
      </c>
      <c r="G977" s="3" t="s">
        <v>2510</v>
      </c>
      <c r="H977" s="3" t="s">
        <v>3142</v>
      </c>
      <c r="I977" s="3" t="str">
        <f>HYPERLINK("http://www.jccm.es/sede/tramite/K65","COMUNICACION DE CAMBIO DE TITULARIDAD Y ACEPTACION EXPRESA POR EL NUEVO TITULAR DE LAS CONDICIONES DE LA AYUDA PARA LA EJECUCION DE TRATAMIENTOS SELVICOLAS.")</f>
        <v>COMUNICACION DE CAMBIO DE TITULARIDAD Y ACEPTACION EXPRESA POR EL NUEVO TITULAR DE LAS CONDICIONES DE LA AYUDA PARA LA EJECUCION DE TRATAMIENTOS SELVICOLAS.</v>
      </c>
      <c r="J977" s="3" t="s">
        <v>41</v>
      </c>
      <c r="K977" s="3" t="s">
        <v>41</v>
      </c>
      <c r="L977" s="3" t="s">
        <v>42</v>
      </c>
      <c r="M977" s="3" t="s">
        <v>41</v>
      </c>
    </row>
    <row r="978" spans="1:13" ht="138">
      <c r="A978" s="22" t="s">
        <v>11</v>
      </c>
      <c r="B978" s="3" t="s">
        <v>3143</v>
      </c>
      <c r="C978" s="3" t="s">
        <v>3144</v>
      </c>
      <c r="D978" s="3" t="s">
        <v>327</v>
      </c>
      <c r="E978" s="3" t="s">
        <v>46</v>
      </c>
      <c r="F978" s="3" t="s">
        <v>2417</v>
      </c>
      <c r="G978" s="3" t="s">
        <v>2510</v>
      </c>
      <c r="H978" s="3" t="s">
        <v>3145</v>
      </c>
      <c r="I978" s="3" t="str">
        <f>HYPERLINK("http://www.jccm.es/sede/tramite/J11","AYUDAS PARA LA EJECUCION DE TRATAMIENTOS SELVICOLAS.")</f>
        <v>AYUDAS PARA LA EJECUCION DE TRATAMIENTOS SELVICOLAS.</v>
      </c>
      <c r="J978" s="3" t="s">
        <v>41</v>
      </c>
      <c r="K978" s="3" t="s">
        <v>41</v>
      </c>
      <c r="L978" s="3" t="s">
        <v>42</v>
      </c>
      <c r="M978" s="3" t="s">
        <v>41</v>
      </c>
    </row>
    <row r="979" spans="1:13" ht="138">
      <c r="A979" s="22" t="s">
        <v>11</v>
      </c>
      <c r="B979" s="3" t="s">
        <v>3146</v>
      </c>
      <c r="C979" s="3" t="s">
        <v>3147</v>
      </c>
      <c r="D979" s="3" t="s">
        <v>327</v>
      </c>
      <c r="E979" s="3" t="s">
        <v>46</v>
      </c>
      <c r="F979" s="3" t="s">
        <v>2417</v>
      </c>
      <c r="G979" s="3" t="s">
        <v>2510</v>
      </c>
      <c r="H979" s="3" t="s">
        <v>3148</v>
      </c>
      <c r="I979" s="3" t="str">
        <f>HYPERLINK("http://www.jccm.es/sede/tramite/JTG","APORTACION DE DOCUMENTACION EN EL TRAMITE DE AUDIENCIA")</f>
        <v>APORTACION DE DOCUMENTACION EN EL TRAMITE DE AUDIENCIA</v>
      </c>
      <c r="J979" s="3" t="s">
        <v>42</v>
      </c>
      <c r="K979" s="3" t="s">
        <v>41</v>
      </c>
      <c r="L979" s="3" t="s">
        <v>42</v>
      </c>
      <c r="M979" s="3" t="s">
        <v>41</v>
      </c>
    </row>
    <row r="980" spans="1:13" ht="138">
      <c r="A980" s="22" t="s">
        <v>11</v>
      </c>
      <c r="B980" s="3" t="s">
        <v>3149</v>
      </c>
      <c r="C980" s="3" t="s">
        <v>3150</v>
      </c>
      <c r="D980" s="3" t="s">
        <v>327</v>
      </c>
      <c r="E980" s="3" t="s">
        <v>46</v>
      </c>
      <c r="F980" s="3" t="s">
        <v>2417</v>
      </c>
      <c r="G980" s="3" t="s">
        <v>2510</v>
      </c>
      <c r="H980" s="3" t="s">
        <v>3151</v>
      </c>
      <c r="I980" s="3" t="str">
        <f>HYPERLINK("http://www.jccm.es/sede/tramite/L34","MODIFICACION DE LAS CONDICIONES DE TIEMPO O DE LA ESTRUCTURA DEL PROYECTO INICIAL APROBADO")</f>
        <v>MODIFICACION DE LAS CONDICIONES DE TIEMPO O DE LA ESTRUCTURA DEL PROYECTO INICIAL APROBADO</v>
      </c>
      <c r="J980" s="3" t="s">
        <v>42</v>
      </c>
      <c r="K980" s="3" t="s">
        <v>41</v>
      </c>
      <c r="L980" s="3" t="s">
        <v>42</v>
      </c>
      <c r="M980" s="3" t="s">
        <v>41</v>
      </c>
    </row>
    <row r="981" spans="1:13" ht="138">
      <c r="A981" s="22" t="s">
        <v>11</v>
      </c>
      <c r="B981" s="3" t="s">
        <v>3152</v>
      </c>
      <c r="C981" s="3" t="s">
        <v>3153</v>
      </c>
      <c r="D981" s="3" t="s">
        <v>327</v>
      </c>
      <c r="E981" s="3" t="s">
        <v>46</v>
      </c>
      <c r="F981" s="3" t="s">
        <v>2417</v>
      </c>
      <c r="G981" s="3" t="s">
        <v>2510</v>
      </c>
      <c r="H981" s="3" t="s">
        <v>3154</v>
      </c>
      <c r="I981" s="3" t="str">
        <f>HYPERLINK("http://www.jccm.es/sede/tramite/JTH","SOLICITUD DE ABONO DE AYUDAS EN AREAS DE INFLUENCIA SOCIOECONOMICA DE PARQUES NACIONALES EN CASTILLA-LA MANCHA")</f>
        <v>SOLICITUD DE ABONO DE AYUDAS EN AREAS DE INFLUENCIA SOCIOECONOMICA DE PARQUES NACIONALES EN CASTILLA-LA MANCHA</v>
      </c>
      <c r="J981" s="3" t="s">
        <v>42</v>
      </c>
      <c r="K981" s="3" t="s">
        <v>41</v>
      </c>
      <c r="L981" s="3" t="s">
        <v>42</v>
      </c>
      <c r="M981" s="3" t="s">
        <v>41</v>
      </c>
    </row>
    <row r="982" spans="1:13" ht="276">
      <c r="A982" s="22" t="s">
        <v>11</v>
      </c>
      <c r="B982" s="3" t="s">
        <v>3155</v>
      </c>
      <c r="C982" s="3" t="s">
        <v>3156</v>
      </c>
      <c r="D982" s="3" t="s">
        <v>95</v>
      </c>
      <c r="E982" s="3" t="s">
        <v>95</v>
      </c>
      <c r="F982" s="3" t="s">
        <v>2417</v>
      </c>
      <c r="G982" s="3" t="s">
        <v>2581</v>
      </c>
      <c r="H982" s="3" t="s">
        <v>3157</v>
      </c>
      <c r="I982" s="3" t="str">
        <f>HYPERLINK("http://www.jccm.es/sede/tramite/KNV","JUSTIFICACION DE UNA SUBVENCION A LA CONFEDERACION REGIONAL DE EMPRESARIOS DE CASTILLA-LA MANCHA PARA LA REALIZACION DE ACTUACIONES EN EL MARCO DEL PLAN INTEGRADO DE GESTION DE RESIDUOS DE CLM")</f>
        <v>JUSTIFICACION DE UNA SUBVENCION A LA CONFEDERACION REGIONAL DE EMPRESARIOS DE CASTILLA-LA MANCHA PARA LA REALIZACION DE ACTUACIONES EN EL MARCO DEL PLAN INTEGRADO DE GESTION DE RESIDUOS DE CLM</v>
      </c>
      <c r="J982" s="3" t="s">
        <v>41</v>
      </c>
      <c r="K982" s="3" t="s">
        <v>41</v>
      </c>
      <c r="L982" s="3" t="s">
        <v>42</v>
      </c>
      <c r="M982" s="3" t="s">
        <v>41</v>
      </c>
    </row>
    <row r="983" spans="1:13" ht="264.60000000000002">
      <c r="A983" s="22" t="s">
        <v>11</v>
      </c>
      <c r="B983" s="3" t="s">
        <v>3158</v>
      </c>
      <c r="C983" s="3" t="s">
        <v>3159</v>
      </c>
      <c r="D983" s="3" t="s">
        <v>95</v>
      </c>
      <c r="E983" s="3" t="s">
        <v>95</v>
      </c>
      <c r="F983" s="3" t="s">
        <v>2417</v>
      </c>
      <c r="G983" s="3" t="s">
        <v>2581</v>
      </c>
      <c r="H983" s="3" t="s">
        <v>3160</v>
      </c>
      <c r="I983" s="3" t="str">
        <f>HYPERLINK("http://www.jccm.es/sede/tramite/KNX","JUSTIFICACION DE SUBVENCION A COOPERATIVAS AGRO-ALIMENTARIAS DE CASTILLA-LA MANCHA PARA LA REALIZACION DE ACTUACIONES EN EL MARCO DEL PLAN INTEGRADO DE GESTION DE RESIDUOS DE CLM 2016-2022")</f>
        <v>JUSTIFICACION DE SUBVENCION A COOPERATIVAS AGRO-ALIMENTARIAS DE CASTILLA-LA MANCHA PARA LA REALIZACION DE ACTUACIONES EN EL MARCO DEL PLAN INTEGRADO DE GESTION DE RESIDUOS DE CLM 2016-2022</v>
      </c>
      <c r="J983" s="3" t="s">
        <v>41</v>
      </c>
      <c r="K983" s="3" t="s">
        <v>41</v>
      </c>
      <c r="L983" s="3" t="s">
        <v>42</v>
      </c>
      <c r="M983" s="3" t="s">
        <v>41</v>
      </c>
    </row>
    <row r="984" spans="1:13" ht="252.95">
      <c r="A984" s="22" t="s">
        <v>11</v>
      </c>
      <c r="B984" s="3" t="s">
        <v>3161</v>
      </c>
      <c r="C984" s="3" t="s">
        <v>3162</v>
      </c>
      <c r="D984" s="3" t="s">
        <v>327</v>
      </c>
      <c r="E984" s="3" t="s">
        <v>46</v>
      </c>
      <c r="F984" s="3" t="s">
        <v>2417</v>
      </c>
      <c r="G984" s="3" t="s">
        <v>2510</v>
      </c>
      <c r="H984" s="3" t="s">
        <v>3163</v>
      </c>
      <c r="I984" s="3" t="str">
        <f>HYPERLINK("http://www.jccm.es/sede/tramite/KUE","COMUNICACION DE CAMBIO DE TITULARIDAD Y ACEPTACION EXPRESA POR EL NUEVO TITULAR DE LAS CONDICIONES DE LA AYUDA PARA LA ELABORACION Y REVISION DE INSTRUMENTOS DE GESTION FORESTAL.")</f>
        <v>COMUNICACION DE CAMBIO DE TITULARIDAD Y ACEPTACION EXPRESA POR EL NUEVO TITULAR DE LAS CONDICIONES DE LA AYUDA PARA LA ELABORACION Y REVISION DE INSTRUMENTOS DE GESTION FORESTAL.</v>
      </c>
      <c r="J984" s="3" t="s">
        <v>42</v>
      </c>
      <c r="K984" s="3" t="s">
        <v>41</v>
      </c>
      <c r="L984" s="3" t="s">
        <v>42</v>
      </c>
      <c r="M984" s="3" t="s">
        <v>41</v>
      </c>
    </row>
    <row r="985" spans="1:13" ht="252.95">
      <c r="A985" s="22" t="s">
        <v>11</v>
      </c>
      <c r="B985" s="3" t="s">
        <v>3164</v>
      </c>
      <c r="C985" s="3" t="s">
        <v>3165</v>
      </c>
      <c r="D985" s="3" t="s">
        <v>327</v>
      </c>
      <c r="E985" s="3" t="s">
        <v>46</v>
      </c>
      <c r="F985" s="3" t="s">
        <v>2417</v>
      </c>
      <c r="G985" s="3" t="s">
        <v>2510</v>
      </c>
      <c r="H985" s="3" t="s">
        <v>3166</v>
      </c>
      <c r="I985" s="3" t="str">
        <f>HYPERLINK("http://www.jccm.es/sede/tramite/KV1","CAMBIO DE TITULARIDAD Y ACEPTACION EXPRESA DE LAS CONDICIONES DE LA AYUDA EN INVERSIONES EN TEC. FORESTALES Y EN LA TRANSFORMACION, MOVILIZACION Y COMERCIALIZACION DE PRODUCTOS FORESTALES")</f>
        <v>CAMBIO DE TITULARIDAD Y ACEPTACION EXPRESA DE LAS CONDICIONES DE LA AYUDA EN INVERSIONES EN TEC. FORESTALES Y EN LA TRANSFORMACION, MOVILIZACION Y COMERCIALIZACION DE PRODUCTOS FORESTALES</v>
      </c>
      <c r="J985" s="3" t="s">
        <v>41</v>
      </c>
      <c r="K985" s="3" t="s">
        <v>41</v>
      </c>
      <c r="L985" s="3" t="s">
        <v>42</v>
      </c>
      <c r="M985" s="3" t="s">
        <v>41</v>
      </c>
    </row>
    <row r="986" spans="1:13" ht="207">
      <c r="A986" s="22" t="s">
        <v>11</v>
      </c>
      <c r="B986" s="3" t="s">
        <v>3167</v>
      </c>
      <c r="C986" s="3" t="s">
        <v>3168</v>
      </c>
      <c r="D986" s="3" t="s">
        <v>327</v>
      </c>
      <c r="E986" s="3" t="s">
        <v>46</v>
      </c>
      <c r="F986" s="3" t="s">
        <v>2417</v>
      </c>
      <c r="G986" s="3" t="s">
        <v>2510</v>
      </c>
      <c r="H986" s="3" t="s">
        <v>3169</v>
      </c>
      <c r="I986" s="3" t="str">
        <f>HYPERLINK("http://www.jccm.es/sede/tramite/KV2","SOLICITUD DE PAGO DE AYUDA EN INVERSIONES EN TECNOLOGIAS FORESTALES Y EN LA TRANSFORMACION, MOVILIZACION Y COMERCIALIZACION DE PRODUCTOS FORESTALES")</f>
        <v>SOLICITUD DE PAGO DE AYUDA EN INVERSIONES EN TECNOLOGIAS FORESTALES Y EN LA TRANSFORMACION, MOVILIZACION Y COMERCIALIZACION DE PRODUCTOS FORESTALES</v>
      </c>
      <c r="J986" s="3" t="s">
        <v>41</v>
      </c>
      <c r="K986" s="3" t="s">
        <v>41</v>
      </c>
      <c r="L986" s="3" t="s">
        <v>42</v>
      </c>
      <c r="M986" s="3" t="s">
        <v>41</v>
      </c>
    </row>
    <row r="987" spans="1:13" ht="207">
      <c r="A987" s="22" t="s">
        <v>11</v>
      </c>
      <c r="B987" s="3" t="s">
        <v>3170</v>
      </c>
      <c r="C987" s="3" t="s">
        <v>3171</v>
      </c>
      <c r="D987" s="3" t="s">
        <v>327</v>
      </c>
      <c r="E987" s="3" t="s">
        <v>46</v>
      </c>
      <c r="F987" s="3" t="s">
        <v>2417</v>
      </c>
      <c r="G987" s="3" t="s">
        <v>2510</v>
      </c>
      <c r="H987" s="3" t="s">
        <v>3172</v>
      </c>
      <c r="I987" s="3" t="str">
        <f>HYPERLINK("http://www.jccm.es/sede/tramite/KV0","SOLICITUD DE AYUDAS EN INVERSIONES EN TECNOLOGIAS FORESTALES Y EN LA TRANSFORMACION, MOVILIZACION Y COMERCIALIZACION DE PRODUCTOS FORESTALES")</f>
        <v>SOLICITUD DE AYUDAS EN INVERSIONES EN TECNOLOGIAS FORESTALES Y EN LA TRANSFORMACION, MOVILIZACION Y COMERCIALIZACION DE PRODUCTOS FORESTALES</v>
      </c>
      <c r="J987" s="3" t="s">
        <v>41</v>
      </c>
      <c r="K987" s="3" t="s">
        <v>41</v>
      </c>
      <c r="L987" s="3" t="s">
        <v>42</v>
      </c>
      <c r="M987" s="3" t="s">
        <v>41</v>
      </c>
    </row>
    <row r="988" spans="1:13" ht="138">
      <c r="A988" s="22" t="s">
        <v>11</v>
      </c>
      <c r="B988" s="3" t="s">
        <v>3173</v>
      </c>
      <c r="C988" s="3" t="s">
        <v>3174</v>
      </c>
      <c r="D988" s="3" t="s">
        <v>51</v>
      </c>
      <c r="E988" s="3" t="s">
        <v>46</v>
      </c>
      <c r="F988" s="3" t="s">
        <v>2417</v>
      </c>
      <c r="G988" s="3" t="s">
        <v>2510</v>
      </c>
      <c r="H988" s="3" t="s">
        <v>3175</v>
      </c>
      <c r="I988" s="3" t="str">
        <f>HYPERLINK("http://www.jccm.es/sede/tramite/KWZ","SOLICITUD MODIFICACION DE RESOLUCION DE AYUDAS DE PAGOS POR COMPROMISOS SILVOAMBIENTALES Y CLIMATICOS.")</f>
        <v>SOLICITUD MODIFICACION DE RESOLUCION DE AYUDAS DE PAGOS POR COMPROMISOS SILVOAMBIENTALES Y CLIMATICOS.</v>
      </c>
      <c r="J988" s="3" t="s">
        <v>42</v>
      </c>
      <c r="K988" s="3" t="s">
        <v>41</v>
      </c>
      <c r="L988" s="3" t="s">
        <v>42</v>
      </c>
      <c r="M988" s="3" t="s">
        <v>41</v>
      </c>
    </row>
    <row r="989" spans="1:13" ht="230.1">
      <c r="A989" s="22" t="s">
        <v>11</v>
      </c>
      <c r="B989" s="3" t="s">
        <v>3176</v>
      </c>
      <c r="C989" s="3" t="s">
        <v>3177</v>
      </c>
      <c r="D989" s="3" t="s">
        <v>51</v>
      </c>
      <c r="E989" s="3" t="s">
        <v>46</v>
      </c>
      <c r="F989" s="3" t="s">
        <v>2417</v>
      </c>
      <c r="G989" s="3" t="s">
        <v>2510</v>
      </c>
      <c r="H989" s="3" t="s">
        <v>3178</v>
      </c>
      <c r="I989" s="3" t="str">
        <f>HYPERLINK("http://www.jccm.es/sede/tramite/KX0","CAMBIO DE TITULARIDAD Y ACEPTACION EXPRESA DE LAS CONDICIONES DE LA AYUDA PARA LA SUBMEDIDA 15.1 DE PAGOS COMPENSATORIOS POR COMPROMISOS SILVOAMBIENTALES Y CLIMATICOS.")</f>
        <v>CAMBIO DE TITULARIDAD Y ACEPTACION EXPRESA DE LAS CONDICIONES DE LA AYUDA PARA LA SUBMEDIDA 15.1 DE PAGOS COMPENSATORIOS POR COMPROMISOS SILVOAMBIENTALES Y CLIMATICOS.</v>
      </c>
      <c r="J989" s="3" t="s">
        <v>42</v>
      </c>
      <c r="K989" s="3" t="s">
        <v>41</v>
      </c>
      <c r="L989" s="3" t="s">
        <v>42</v>
      </c>
      <c r="M989" s="3" t="s">
        <v>41</v>
      </c>
    </row>
    <row r="990" spans="1:13" ht="218.45">
      <c r="A990" s="22" t="s">
        <v>11</v>
      </c>
      <c r="B990" s="3" t="s">
        <v>3179</v>
      </c>
      <c r="C990" s="3" t="s">
        <v>3180</v>
      </c>
      <c r="D990" s="3" t="s">
        <v>36</v>
      </c>
      <c r="E990" s="3" t="s">
        <v>46</v>
      </c>
      <c r="F990" s="3" t="s">
        <v>2417</v>
      </c>
      <c r="G990" s="3" t="s">
        <v>2581</v>
      </c>
      <c r="H990" s="3" t="s">
        <v>3181</v>
      </c>
      <c r="I990" s="3" t="str">
        <f>HYPERLINK("http://www.jccm.es/sede/tramite/KZ3","SOLICITUD PARA LA CONVOCATORIA DE EXPRESIONES DE INTERES RELATIVA A ACTUACIONES DE MEJORA DE LA GESTION DE RESIDUOS EN EL MARCO DEL PO FEDER CLM 2014-2020.")</f>
        <v>SOLICITUD PARA LA CONVOCATORIA DE EXPRESIONES DE INTERES RELATIVA A ACTUACIONES DE MEJORA DE LA GESTION DE RESIDUOS EN EL MARCO DEL PO FEDER CLM 2014-2020.</v>
      </c>
      <c r="J990" s="3" t="s">
        <v>41</v>
      </c>
      <c r="K990" s="3" t="s">
        <v>41</v>
      </c>
      <c r="L990" s="3" t="s">
        <v>42</v>
      </c>
      <c r="M990" s="3" t="s">
        <v>41</v>
      </c>
    </row>
    <row r="991" spans="1:13" ht="207">
      <c r="A991" s="22" t="s">
        <v>11</v>
      </c>
      <c r="B991" s="3" t="s">
        <v>3182</v>
      </c>
      <c r="C991" s="3" t="s">
        <v>3183</v>
      </c>
      <c r="D991" s="3" t="s">
        <v>327</v>
      </c>
      <c r="E991" s="3" t="s">
        <v>46</v>
      </c>
      <c r="F991" s="3" t="s">
        <v>2417</v>
      </c>
      <c r="G991" s="3" t="s">
        <v>2510</v>
      </c>
      <c r="H991" s="3" t="s">
        <v>3184</v>
      </c>
      <c r="I991" s="3" t="str">
        <f>HYPERLINK("http://www.jccm.es/sede/tramite/L25","SOLICITUD DE AYUDA PARA EL MANTENIMIENTO Y MEJORA DE LA BIODIVERSIDAD EN ACCIONES QUE REPERCUTEN EN EL ESTADO DE CONSERVACION DE LA RED NATURA 2000")</f>
        <v>SOLICITUD DE AYUDA PARA EL MANTENIMIENTO Y MEJORA DE LA BIODIVERSIDAD EN ACCIONES QUE REPERCUTEN EN EL ESTADO DE CONSERVACION DE LA RED NATURA 2000</v>
      </c>
      <c r="J991" s="3" t="s">
        <v>42</v>
      </c>
      <c r="K991" s="3" t="s">
        <v>41</v>
      </c>
      <c r="L991" s="3" t="s">
        <v>42</v>
      </c>
      <c r="M991" s="3" t="s">
        <v>41</v>
      </c>
    </row>
    <row r="992" spans="1:13" ht="241.5">
      <c r="A992" s="22" t="s">
        <v>11</v>
      </c>
      <c r="B992" s="3" t="s">
        <v>3185</v>
      </c>
      <c r="C992" s="3" t="s">
        <v>3186</v>
      </c>
      <c r="D992" s="3" t="s">
        <v>327</v>
      </c>
      <c r="E992" s="3" t="s">
        <v>46</v>
      </c>
      <c r="F992" s="3" t="s">
        <v>2417</v>
      </c>
      <c r="G992" s="3" t="s">
        <v>2510</v>
      </c>
      <c r="H992" s="3" t="s">
        <v>3187</v>
      </c>
      <c r="I992" s="3" t="str">
        <f>HYPERLINK("http://www.jccm.es/sede/tramite/L26","COMUNICACION DE CAMBIO DE TITULARIDAD Y ACEPTACION EXPRESA DE LAS CONDICIONES DE LAS AYUDAS PARA EL MANTENIMIENTO Y MEJORA DE LA BIODIVERSIDAD EN ACCIONES SOBRE RED NATURA 2000")</f>
        <v>COMUNICACION DE CAMBIO DE TITULARIDAD Y ACEPTACION EXPRESA DE LAS CONDICIONES DE LAS AYUDAS PARA EL MANTENIMIENTO Y MEJORA DE LA BIODIVERSIDAD EN ACCIONES SOBRE RED NATURA 2000</v>
      </c>
      <c r="J992" s="3" t="s">
        <v>42</v>
      </c>
      <c r="K992" s="3" t="s">
        <v>41</v>
      </c>
      <c r="L992" s="3" t="s">
        <v>42</v>
      </c>
      <c r="M992" s="3" t="s">
        <v>41</v>
      </c>
    </row>
    <row r="993" spans="1:13" ht="218.45">
      <c r="A993" s="22" t="s">
        <v>11</v>
      </c>
      <c r="B993" s="3" t="s">
        <v>3188</v>
      </c>
      <c r="C993" s="3" t="s">
        <v>3189</v>
      </c>
      <c r="D993" s="3" t="s">
        <v>327</v>
      </c>
      <c r="E993" s="3" t="s">
        <v>46</v>
      </c>
      <c r="F993" s="3" t="s">
        <v>2417</v>
      </c>
      <c r="G993" s="3" t="s">
        <v>2510</v>
      </c>
      <c r="H993" s="3" t="s">
        <v>3190</v>
      </c>
      <c r="I993" s="3" t="str">
        <f>HYPERLINK("http://www.jccm.es/sede/tramite/L27","SOLICITUD DE PAGO AYUDAS PARA EL MANTENIMIENTO Y MEJORA DE LA BIODIVERSIDAD EN ACCIONES QUE REPERCUTEN EN EL ESTADO DE CONSERVACION DE LA RED NATURA 2000")</f>
        <v>SOLICITUD DE PAGO AYUDAS PARA EL MANTENIMIENTO Y MEJORA DE LA BIODIVERSIDAD EN ACCIONES QUE REPERCUTEN EN EL ESTADO DE CONSERVACION DE LA RED NATURA 2000</v>
      </c>
      <c r="J993" s="3" t="s">
        <v>42</v>
      </c>
      <c r="K993" s="3" t="s">
        <v>41</v>
      </c>
      <c r="L993" s="3" t="s">
        <v>42</v>
      </c>
      <c r="M993" s="3" t="s">
        <v>41</v>
      </c>
    </row>
    <row r="994" spans="1:13" ht="241.5">
      <c r="A994" s="22" t="s">
        <v>11</v>
      </c>
      <c r="B994" s="3" t="s">
        <v>3191</v>
      </c>
      <c r="C994" s="3" t="s">
        <v>3192</v>
      </c>
      <c r="D994" s="3" t="s">
        <v>51</v>
      </c>
      <c r="E994" s="3" t="s">
        <v>46</v>
      </c>
      <c r="F994" s="3" t="s">
        <v>2417</v>
      </c>
      <c r="G994" s="3" t="s">
        <v>2510</v>
      </c>
      <c r="H994" s="3" t="s">
        <v>3193</v>
      </c>
      <c r="I994" s="3" t="str">
        <f>HYPERLINK("http://www.jccm.es/sede/tramite/L28","SOLICITUD MODIFICACION DE LA RESOLUCION DE LA AYUDA PARA EL MANTENIMIENTO Y MEJORA DE LA BIODIVERSIDAD EN ACCIONES QUE REPERCUTEN EN EL ESTADO DE CONSERVACION DE LA RED NATURA 2000.")</f>
        <v>SOLICITUD MODIFICACION DE LA RESOLUCION DE LA AYUDA PARA EL MANTENIMIENTO Y MEJORA DE LA BIODIVERSIDAD EN ACCIONES QUE REPERCUTEN EN EL ESTADO DE CONSERVACION DE LA RED NATURA 2000.</v>
      </c>
      <c r="J994" s="3" t="s">
        <v>42</v>
      </c>
      <c r="K994" s="3" t="s">
        <v>41</v>
      </c>
      <c r="L994" s="3" t="s">
        <v>42</v>
      </c>
      <c r="M994" s="3" t="s">
        <v>41</v>
      </c>
    </row>
    <row r="995" spans="1:13" ht="252.95">
      <c r="A995" s="22" t="s">
        <v>11</v>
      </c>
      <c r="B995" s="3" t="s">
        <v>3194</v>
      </c>
      <c r="C995" s="3" t="s">
        <v>3195</v>
      </c>
      <c r="D995" s="3" t="s">
        <v>51</v>
      </c>
      <c r="E995" s="3" t="s">
        <v>46</v>
      </c>
      <c r="F995" s="3" t="s">
        <v>2417</v>
      </c>
      <c r="G995" s="3" t="s">
        <v>2510</v>
      </c>
      <c r="H995" s="3" t="s">
        <v>3196</v>
      </c>
      <c r="I995" s="3" t="str">
        <f>HYPERLINK("http://www.jccm.es/sede/tramite/L29","SOLICITUD AMPLIACION DE PLAZO DE EJECUCION DE LAS AYUDAS PARA EL MANTENIMIENTO Y MEJORA DE LA BIODIVERSIDAD EN ACCIONES QUE REPERCUTEN EN EL ESTADO DE CONSERVACION DE LA RED NATURA 2000")</f>
        <v>SOLICITUD AMPLIACION DE PLAZO DE EJECUCION DE LAS AYUDAS PARA EL MANTENIMIENTO Y MEJORA DE LA BIODIVERSIDAD EN ACCIONES QUE REPERCUTEN EN EL ESTADO DE CONSERVACION DE LA RED NATURA 2000</v>
      </c>
      <c r="J995" s="3" t="s">
        <v>42</v>
      </c>
      <c r="K995" s="3" t="s">
        <v>41</v>
      </c>
      <c r="L995" s="3" t="s">
        <v>42</v>
      </c>
      <c r="M995" s="3" t="s">
        <v>41</v>
      </c>
    </row>
    <row r="996" spans="1:13" ht="138">
      <c r="A996" s="22" t="s">
        <v>11</v>
      </c>
      <c r="B996" s="3" t="s">
        <v>3197</v>
      </c>
      <c r="C996" s="3" t="s">
        <v>3198</v>
      </c>
      <c r="D996" s="3" t="s">
        <v>327</v>
      </c>
      <c r="E996" s="3" t="s">
        <v>46</v>
      </c>
      <c r="F996" s="3" t="s">
        <v>2417</v>
      </c>
      <c r="G996" s="3" t="s">
        <v>2510</v>
      </c>
      <c r="H996" s="3" t="s">
        <v>3199</v>
      </c>
      <c r="I996" s="3" t="str">
        <f>HYPERLINK("http://www.jccm.es/sede/tramite/L4S","MODELO DE ACEPTACION/RENUNCIA PROPUESTA RESOLUCION.")</f>
        <v>MODELO DE ACEPTACION/RENUNCIA PROPUESTA RESOLUCION.</v>
      </c>
      <c r="J996" s="3" t="s">
        <v>41</v>
      </c>
      <c r="K996" s="3" t="s">
        <v>41</v>
      </c>
      <c r="L996" s="3" t="s">
        <v>42</v>
      </c>
      <c r="M996" s="3" t="s">
        <v>41</v>
      </c>
    </row>
    <row r="997" spans="1:13" ht="138">
      <c r="A997" s="22" t="s">
        <v>11</v>
      </c>
      <c r="B997" s="3" t="s">
        <v>3200</v>
      </c>
      <c r="C997" s="3" t="s">
        <v>3150</v>
      </c>
      <c r="D997" s="3" t="s">
        <v>327</v>
      </c>
      <c r="E997" s="3" t="s">
        <v>46</v>
      </c>
      <c r="F997" s="3" t="s">
        <v>2417</v>
      </c>
      <c r="G997" s="3" t="s">
        <v>2510</v>
      </c>
      <c r="H997" s="3" t="s">
        <v>3201</v>
      </c>
      <c r="I997" s="3" t="str">
        <f>HYPERLINK("http://www.jccm.es/sede/tramite/L4T","MODIFICACION DE LAS CONDICIONES DE TIEMPO O DE LA ESTRUCTURA DEL PROYECTO INICIAL APROBADO")</f>
        <v>MODIFICACION DE LAS CONDICIONES DE TIEMPO O DE LA ESTRUCTURA DEL PROYECTO INICIAL APROBADO</v>
      </c>
      <c r="J997" s="3" t="s">
        <v>41</v>
      </c>
      <c r="K997" s="3" t="s">
        <v>41</v>
      </c>
      <c r="L997" s="3" t="s">
        <v>42</v>
      </c>
      <c r="M997" s="3" t="s">
        <v>41</v>
      </c>
    </row>
    <row r="998" spans="1:13" ht="161.1">
      <c r="A998" s="22" t="s">
        <v>11</v>
      </c>
      <c r="B998" s="3" t="s">
        <v>3202</v>
      </c>
      <c r="C998" s="3" t="s">
        <v>3203</v>
      </c>
      <c r="D998" s="3" t="s">
        <v>327</v>
      </c>
      <c r="E998" s="3" t="s">
        <v>46</v>
      </c>
      <c r="F998" s="3" t="s">
        <v>2417</v>
      </c>
      <c r="G998" s="3" t="s">
        <v>2510</v>
      </c>
      <c r="H998" s="3" t="s">
        <v>3204</v>
      </c>
      <c r="I998" s="3" t="str">
        <f>HYPERLINK("http://www.jccm.es/sede/tramite/L4U","SOLICITUD DE ABONO DE AYUDAS PARA AYUNTAMIENTOS EN AREAS DE INFLUENCIA SOCIOECONOMICA DE PARQUES NACIONALES EN CASTILLA-LA MANCHA")</f>
        <v>SOLICITUD DE ABONO DE AYUDAS PARA AYUNTAMIENTOS EN AREAS DE INFLUENCIA SOCIOECONOMICA DE PARQUES NACIONALES EN CASTILLA-LA MANCHA</v>
      </c>
      <c r="J998" s="3" t="s">
        <v>41</v>
      </c>
      <c r="K998" s="3" t="s">
        <v>41</v>
      </c>
      <c r="L998" s="3" t="s">
        <v>42</v>
      </c>
      <c r="M998" s="3" t="s">
        <v>41</v>
      </c>
    </row>
    <row r="999" spans="1:13" ht="183.95">
      <c r="A999" s="22" t="s">
        <v>11</v>
      </c>
      <c r="B999" s="3" t="s">
        <v>3205</v>
      </c>
      <c r="C999" s="3" t="s">
        <v>3206</v>
      </c>
      <c r="D999" s="3" t="s">
        <v>327</v>
      </c>
      <c r="E999" s="3" t="s">
        <v>46</v>
      </c>
      <c r="F999" s="3" t="s">
        <v>2417</v>
      </c>
      <c r="G999" s="3" t="s">
        <v>2510</v>
      </c>
      <c r="H999" s="3" t="s">
        <v>3207</v>
      </c>
      <c r="I999" s="3" t="str">
        <f>HYPERLINK("http://www.jccm.es/sede/tramite/L4R","SUBVENCIONES EN REGIMEN DE CONCESION DIRECTA PARA AYUNTAMIENTOS EN AREAS DE INFLUENCIA SOCIOECONOMICA DE PARQUES NACIONALES EN CASTILLA-LA MANCHA.")</f>
        <v>SUBVENCIONES EN REGIMEN DE CONCESION DIRECTA PARA AYUNTAMIENTOS EN AREAS DE INFLUENCIA SOCIOECONOMICA DE PARQUES NACIONALES EN CASTILLA-LA MANCHA.</v>
      </c>
      <c r="J999" s="3" t="s">
        <v>41</v>
      </c>
      <c r="K999" s="3" t="s">
        <v>41</v>
      </c>
      <c r="L999" s="3" t="s">
        <v>42</v>
      </c>
      <c r="M999" s="3" t="s">
        <v>41</v>
      </c>
    </row>
    <row r="1000" spans="1:13" ht="183.95">
      <c r="A1000" s="22" t="s">
        <v>11</v>
      </c>
      <c r="B1000" s="3" t="s">
        <v>3208</v>
      </c>
      <c r="C1000" s="3" t="s">
        <v>3209</v>
      </c>
      <c r="D1000" s="3" t="s">
        <v>45</v>
      </c>
      <c r="E1000" s="3" t="s">
        <v>46</v>
      </c>
      <c r="F1000" s="3" t="s">
        <v>2417</v>
      </c>
      <c r="G1000" s="3" t="s">
        <v>2581</v>
      </c>
      <c r="H1000" s="3" t="s">
        <v>3210</v>
      </c>
      <c r="I1000" s="3" t="str">
        <f>HYPERLINK("http://www.jccm.es/sede/tramite/L92","SUBVENCIONES PARA PROYECTOS Y ACTIVIDADES DE EDUCACION AMBIENTAL PROMOVIDOS POR ENTIDADES PRIVADAS SIN ANIMO DE LUCRO DE CASTILLA-LA MANCHA")</f>
        <v>SUBVENCIONES PARA PROYECTOS Y ACTIVIDADES DE EDUCACION AMBIENTAL PROMOVIDOS POR ENTIDADES PRIVADAS SIN ANIMO DE LUCRO DE CASTILLA-LA MANCHA</v>
      </c>
      <c r="J1000" s="3" t="s">
        <v>41</v>
      </c>
      <c r="K1000" s="3" t="s">
        <v>41</v>
      </c>
      <c r="L1000" s="3" t="s">
        <v>42</v>
      </c>
      <c r="M1000" s="3" t="s">
        <v>41</v>
      </c>
    </row>
    <row r="1001" spans="1:13" ht="207">
      <c r="A1001" s="22" t="s">
        <v>11</v>
      </c>
      <c r="B1001" s="3" t="s">
        <v>3211</v>
      </c>
      <c r="C1001" s="3" t="s">
        <v>3212</v>
      </c>
      <c r="D1001" s="3" t="s">
        <v>232</v>
      </c>
      <c r="E1001" s="3" t="s">
        <v>46</v>
      </c>
      <c r="F1001" s="3" t="s">
        <v>2417</v>
      </c>
      <c r="G1001" s="3" t="s">
        <v>2570</v>
      </c>
      <c r="H1001" s="3" t="s">
        <v>3213</v>
      </c>
      <c r="I1001" s="3" t="str">
        <f>HYPERLINK("http://www.jccm.es/sede/tramite/LL3","REMISION DE INFORME ANUAL DE ACTUACIONES DE LAS AYUDAS PIMA-CC PARA EL DISEÑO E IMPLANTACION DE ZONAS DE BAJAS EMISIONES EN MUNICIPIOS DE CASTILLA-LA MANCHA.")</f>
        <v>REMISION DE INFORME ANUAL DE ACTUACIONES DE LAS AYUDAS PIMA-CC PARA EL DISEÑO E IMPLANTACION DE ZONAS DE BAJAS EMISIONES EN MUNICIPIOS DE CASTILLA-LA MANCHA.</v>
      </c>
      <c r="J1001" s="3" t="s">
        <v>41</v>
      </c>
      <c r="K1001" s="3" t="s">
        <v>41</v>
      </c>
      <c r="L1001" s="3" t="s">
        <v>42</v>
      </c>
      <c r="M1001" s="3" t="s">
        <v>41</v>
      </c>
    </row>
    <row r="1002" spans="1:13" ht="241.5">
      <c r="A1002" s="22" t="s">
        <v>11</v>
      </c>
      <c r="B1002" s="3" t="s">
        <v>3214</v>
      </c>
      <c r="C1002" s="3" t="s">
        <v>3215</v>
      </c>
      <c r="D1002" s="3" t="s">
        <v>232</v>
      </c>
      <c r="E1002" s="3" t="s">
        <v>46</v>
      </c>
      <c r="F1002" s="3" t="s">
        <v>2417</v>
      </c>
      <c r="G1002" s="3" t="s">
        <v>2570</v>
      </c>
      <c r="H1002" s="3" t="s">
        <v>3216</v>
      </c>
      <c r="I1002" s="3" t="str">
        <f>HYPERLINK("http://www.jccm.es/sede/tramite/LL4","ALEGACIONES Y ACEPTACION O RENUNCIA DE LA PROPUESTA DE RESOLUCION DE AYUDAS PIMA-CC PARA EL DISEÑO E IMPLANTACION DE ZONAS DE BAJAS EMISIONES EN MUNICIPIOS DE CASTILLA-LA MANCHA.")</f>
        <v>ALEGACIONES Y ACEPTACION O RENUNCIA DE LA PROPUESTA DE RESOLUCION DE AYUDAS PIMA-CC PARA EL DISEÑO E IMPLANTACION DE ZONAS DE BAJAS EMISIONES EN MUNICIPIOS DE CASTILLA-LA MANCHA.</v>
      </c>
      <c r="J1002" s="3" t="s">
        <v>41</v>
      </c>
      <c r="K1002" s="3" t="s">
        <v>41</v>
      </c>
      <c r="L1002" s="3" t="s">
        <v>42</v>
      </c>
      <c r="M1002" s="3" t="s">
        <v>41</v>
      </c>
    </row>
    <row r="1003" spans="1:13" ht="207">
      <c r="A1003" s="22" t="s">
        <v>11</v>
      </c>
      <c r="B1003" s="3" t="s">
        <v>3217</v>
      </c>
      <c r="C1003" s="3" t="s">
        <v>3218</v>
      </c>
      <c r="D1003" s="3" t="s">
        <v>232</v>
      </c>
      <c r="E1003" s="3" t="s">
        <v>46</v>
      </c>
      <c r="F1003" s="3" t="s">
        <v>2417</v>
      </c>
      <c r="G1003" s="3" t="s">
        <v>2570</v>
      </c>
      <c r="H1003" s="3" t="s">
        <v>3219</v>
      </c>
      <c r="I1003" s="3" t="str">
        <f>HYPERLINK("http://www.jccm.es/sede/tramite/LL6","MODIFICACION DE RESOLUCION DE CONCESION DE AYUDAS PIMA-CC PARA EL DISEÑO E IMPLANTACION DE ZONAS DE BAJAS EMISIONES EN MUNICIPIOS DE CASTILLA-LA MANCHA")</f>
        <v>MODIFICACION DE RESOLUCION DE CONCESION DE AYUDAS PIMA-CC PARA EL DISEÑO E IMPLANTACION DE ZONAS DE BAJAS EMISIONES EN MUNICIPIOS DE CASTILLA-LA MANCHA</v>
      </c>
      <c r="J1003" s="3" t="s">
        <v>41</v>
      </c>
      <c r="K1003" s="3" t="s">
        <v>41</v>
      </c>
      <c r="L1003" s="3" t="s">
        <v>42</v>
      </c>
      <c r="M1003" s="3" t="s">
        <v>41</v>
      </c>
    </row>
    <row r="1004" spans="1:13" ht="149.44999999999999">
      <c r="A1004" s="22" t="s">
        <v>11</v>
      </c>
      <c r="B1004" s="3" t="s">
        <v>3220</v>
      </c>
      <c r="C1004" s="3" t="s">
        <v>3221</v>
      </c>
      <c r="D1004" s="3" t="s">
        <v>232</v>
      </c>
      <c r="E1004" s="3" t="s">
        <v>46</v>
      </c>
      <c r="F1004" s="3" t="s">
        <v>2417</v>
      </c>
      <c r="G1004" s="3" t="s">
        <v>2570</v>
      </c>
      <c r="H1004" s="3" t="s">
        <v>3222</v>
      </c>
      <c r="I1004" s="3" t="str">
        <f>HYPERLINK("http://www.jccm.es/sede/tramite/LL2","AYUDAS PIMA-CC PARA EL DISEÑO E IMPLANTACION DE ZONAS DE BAJAS EMISIONES EN MUNICIPIOS DE CASTILLA-LA MANCHA.")</f>
        <v>AYUDAS PIMA-CC PARA EL DISEÑO E IMPLANTACION DE ZONAS DE BAJAS EMISIONES EN MUNICIPIOS DE CASTILLA-LA MANCHA.</v>
      </c>
      <c r="J1004" s="3" t="s">
        <v>41</v>
      </c>
      <c r="K1004" s="3" t="s">
        <v>41</v>
      </c>
      <c r="L1004" s="3" t="s">
        <v>42</v>
      </c>
      <c r="M1004" s="3" t="s">
        <v>41</v>
      </c>
    </row>
    <row r="1005" spans="1:13" ht="252.95">
      <c r="A1005" s="22" t="s">
        <v>11</v>
      </c>
      <c r="B1005" s="3" t="s">
        <v>3223</v>
      </c>
      <c r="C1005" s="3" t="s">
        <v>3224</v>
      </c>
      <c r="D1005" s="3" t="s">
        <v>232</v>
      </c>
      <c r="E1005" s="3" t="s">
        <v>46</v>
      </c>
      <c r="F1005" s="3" t="s">
        <v>2417</v>
      </c>
      <c r="G1005" s="3" t="s">
        <v>2570</v>
      </c>
      <c r="H1005" s="3" t="s">
        <v>3225</v>
      </c>
      <c r="I1005" s="3" t="str">
        <f>HYPERLINK("http://www.jccm.es/sede/tramite/LL5","PRESENTACION MEMORIA TECNICA, ECONOMICA Y SOLICITUD DE PAGO FINAL DE ACTUACIONES DE AYUDAS PIMA-CC PARA EL DISEÑO E IMPLANTACION DE ZONAS DE BAJAS EMISIONES EN MUNICIPIOS DE CASTILLA-LA MANCHA.")</f>
        <v>PRESENTACION MEMORIA TECNICA, ECONOMICA Y SOLICITUD DE PAGO FINAL DE ACTUACIONES DE AYUDAS PIMA-CC PARA EL DISEÑO E IMPLANTACION DE ZONAS DE BAJAS EMISIONES EN MUNICIPIOS DE CASTILLA-LA MANCHA.</v>
      </c>
      <c r="J1005" s="3" t="s">
        <v>41</v>
      </c>
      <c r="K1005" s="3" t="s">
        <v>41</v>
      </c>
      <c r="L1005" s="3" t="s">
        <v>42</v>
      </c>
      <c r="M1005" s="3" t="s">
        <v>41</v>
      </c>
    </row>
    <row r="1006" spans="1:13" ht="264.60000000000002">
      <c r="A1006" s="22" t="s">
        <v>11</v>
      </c>
      <c r="B1006" s="3" t="s">
        <v>3226</v>
      </c>
      <c r="C1006" s="3" t="s">
        <v>3227</v>
      </c>
      <c r="D1006" s="3" t="s">
        <v>327</v>
      </c>
      <c r="E1006" s="3" t="s">
        <v>46</v>
      </c>
      <c r="F1006" s="3" t="s">
        <v>2417</v>
      </c>
      <c r="G1006" s="3" t="s">
        <v>2570</v>
      </c>
      <c r="H1006" s="3" t="s">
        <v>3228</v>
      </c>
      <c r="I1006" s="3" t="str">
        <f>HYPERLINK("http://www.jccm.es/sede/tramite/LMA","ALEGACIONES Y ACEPTACION O RENUNCIA DE LA PROPUESTA DE RESOLUCION DE AYUDAS  PARA ACTUACIONES PILOTO DE CARACTER INNOVADOR PARA ADAPTACION AL CAMBIO CLIMATICO EN ESPACIOS URBANOS Y PERIURBANOS.")</f>
        <v>ALEGACIONES Y ACEPTACION O RENUNCIA DE LA PROPUESTA DE RESOLUCION DE AYUDAS  PARA ACTUACIONES PILOTO DE CARACTER INNOVADOR PARA ADAPTACION AL CAMBIO CLIMATICO EN ESPACIOS URBANOS Y PERIURBANOS.</v>
      </c>
      <c r="J1006" s="3" t="s">
        <v>41</v>
      </c>
      <c r="K1006" s="3" t="s">
        <v>41</v>
      </c>
      <c r="L1006" s="3" t="s">
        <v>42</v>
      </c>
      <c r="M1006" s="3" t="s">
        <v>41</v>
      </c>
    </row>
    <row r="1007" spans="1:13" ht="183.95">
      <c r="A1007" s="22" t="s">
        <v>11</v>
      </c>
      <c r="B1007" s="3" t="s">
        <v>3229</v>
      </c>
      <c r="C1007" s="3" t="s">
        <v>3230</v>
      </c>
      <c r="D1007" s="3" t="s">
        <v>327</v>
      </c>
      <c r="E1007" s="3" t="s">
        <v>46</v>
      </c>
      <c r="F1007" s="3" t="s">
        <v>2417</v>
      </c>
      <c r="G1007" s="3" t="s">
        <v>2570</v>
      </c>
      <c r="H1007" s="3" t="s">
        <v>3231</v>
      </c>
      <c r="I1007" s="3" t="str">
        <f>HYPERLINK("http://www.jccm.es/sede/tramite/LMB","REMISION DE INFORME ANUAL DE ACTUACIONES DE LAS AYUDAS PIMA-CC  PARA LA ADAPTACION AL CAMBIO CLIMATICO EN ESPACIOS URBANOS Y PERIURBANOS.")</f>
        <v>REMISION DE INFORME ANUAL DE ACTUACIONES DE LAS AYUDAS PIMA-CC  PARA LA ADAPTACION AL CAMBIO CLIMATICO EN ESPACIOS URBANOS Y PERIURBANOS.</v>
      </c>
      <c r="J1007" s="3" t="s">
        <v>41</v>
      </c>
      <c r="K1007" s="3" t="s">
        <v>41</v>
      </c>
      <c r="L1007" s="3" t="s">
        <v>42</v>
      </c>
      <c r="M1007" s="3" t="s">
        <v>41</v>
      </c>
    </row>
    <row r="1008" spans="1:13" ht="183.95">
      <c r="A1008" s="22" t="s">
        <v>11</v>
      </c>
      <c r="B1008" s="3" t="s">
        <v>3232</v>
      </c>
      <c r="C1008" s="3" t="s">
        <v>3233</v>
      </c>
      <c r="D1008" s="3" t="s">
        <v>327</v>
      </c>
      <c r="E1008" s="3" t="s">
        <v>46</v>
      </c>
      <c r="F1008" s="3" t="s">
        <v>2417</v>
      </c>
      <c r="G1008" s="3" t="s">
        <v>2570</v>
      </c>
      <c r="H1008" s="3" t="s">
        <v>3234</v>
      </c>
      <c r="I1008" s="3" t="str">
        <f>HYPERLINK("http://www.jccm.es/sede/tramite/LM9","AYUDAS PIMA-CC PARA ACTUACIONES PILOTO DE CARACTER INNOVADOR PARA LA ADAPTACION AL CAMBIO CLIMATICO EN ESPACIOS URBANOS Y PERIURBANOS.")</f>
        <v>AYUDAS PIMA-CC PARA ACTUACIONES PILOTO DE CARACTER INNOVADOR PARA LA ADAPTACION AL CAMBIO CLIMATICO EN ESPACIOS URBANOS Y PERIURBANOS.</v>
      </c>
      <c r="J1008" s="3" t="s">
        <v>41</v>
      </c>
      <c r="K1008" s="3" t="s">
        <v>41</v>
      </c>
      <c r="L1008" s="3" t="s">
        <v>42</v>
      </c>
      <c r="M1008" s="3" t="s">
        <v>41</v>
      </c>
    </row>
    <row r="1009" spans="1:13" ht="230.1">
      <c r="A1009" s="22" t="s">
        <v>11</v>
      </c>
      <c r="B1009" s="3" t="s">
        <v>3235</v>
      </c>
      <c r="C1009" s="3" t="s">
        <v>3236</v>
      </c>
      <c r="D1009" s="3" t="s">
        <v>327</v>
      </c>
      <c r="E1009" s="3" t="s">
        <v>46</v>
      </c>
      <c r="F1009" s="3" t="s">
        <v>2417</v>
      </c>
      <c r="G1009" s="3" t="s">
        <v>2570</v>
      </c>
      <c r="H1009" s="3" t="s">
        <v>3237</v>
      </c>
      <c r="I1009" s="3" t="str">
        <f>HYPERLINK("http://www.jccm.es/sede/tramite/LMC","PRESENTACION MEMORIA TECNICA, ECONOMICA Y SOLICITUD DE PAGO FINAL DE ACTUACIONES DE AYUDAS PIMA-CC PARA LA ADAPTACION AL CAMBIO CLIMATICO EN ESPACIOS URBANOS Y PERIURBANOS.")</f>
        <v>PRESENTACION MEMORIA TECNICA, ECONOMICA Y SOLICITUD DE PAGO FINAL DE ACTUACIONES DE AYUDAS PIMA-CC PARA LA ADAPTACION AL CAMBIO CLIMATICO EN ESPACIOS URBANOS Y PERIURBANOS.</v>
      </c>
      <c r="J1009" s="3" t="s">
        <v>41</v>
      </c>
      <c r="K1009" s="3" t="s">
        <v>41</v>
      </c>
      <c r="L1009" s="3" t="s">
        <v>42</v>
      </c>
      <c r="M1009" s="3" t="s">
        <v>41</v>
      </c>
    </row>
    <row r="1010" spans="1:13" ht="252.95">
      <c r="A1010" s="22" t="s">
        <v>11</v>
      </c>
      <c r="B1010" s="3" t="s">
        <v>3238</v>
      </c>
      <c r="C1010" s="3" t="s">
        <v>3239</v>
      </c>
      <c r="D1010" s="3" t="s">
        <v>327</v>
      </c>
      <c r="E1010" s="3" t="s">
        <v>46</v>
      </c>
      <c r="F1010" s="3" t="s">
        <v>2417</v>
      </c>
      <c r="G1010" s="3" t="s">
        <v>2570</v>
      </c>
      <c r="H1010" s="3" t="s">
        <v>3240</v>
      </c>
      <c r="I1010" s="3" t="str">
        <f>HYPERLINK("http://www.jccm.es/sede/tramite/LMD","MODIFICACION DE RESOLUCION DE CONCESION DE AYUDAS PIMA-CC PARA ACTUCACIONES PILOTO DE CARACTER INNOVADOR PARA LA ADAPTACION AL CAMBIO CLIMATICO DE ESPACIOS URBANOS Y PERIURBANOS.")</f>
        <v>MODIFICACION DE RESOLUCION DE CONCESION DE AYUDAS PIMA-CC PARA ACTUCACIONES PILOTO DE CARACTER INNOVADOR PARA LA ADAPTACION AL CAMBIO CLIMATICO DE ESPACIOS URBANOS Y PERIURBANOS.</v>
      </c>
      <c r="J1010" s="3" t="s">
        <v>41</v>
      </c>
      <c r="K1010" s="3" t="s">
        <v>41</v>
      </c>
      <c r="L1010" s="3" t="s">
        <v>42</v>
      </c>
      <c r="M1010" s="3" t="s">
        <v>41</v>
      </c>
    </row>
    <row r="1011" spans="1:13" ht="126.6">
      <c r="A1011" s="22" t="s">
        <v>11</v>
      </c>
      <c r="B1011" s="3" t="s">
        <v>3241</v>
      </c>
      <c r="C1011" s="3" t="s">
        <v>3242</v>
      </c>
      <c r="D1011" s="3" t="s">
        <v>327</v>
      </c>
      <c r="E1011" s="3" t="s">
        <v>46</v>
      </c>
      <c r="F1011" s="3" t="s">
        <v>2417</v>
      </c>
      <c r="G1011" s="3" t="s">
        <v>2418</v>
      </c>
      <c r="H1011" s="3" t="s">
        <v>3243</v>
      </c>
      <c r="I1011" s="3" t="str">
        <f>HYPERLINK("http://www.jccm.es/sede/tramite/LN5","SOLICITUD DE AYUDA MOVES III PARA ADQUISICION DE VEHICULOS ELECTRICOS")</f>
        <v>SOLICITUD DE AYUDA MOVES III PARA ADQUISICION DE VEHICULOS ELECTRICOS</v>
      </c>
      <c r="J1011" s="3" t="s">
        <v>42</v>
      </c>
      <c r="K1011" s="3" t="s">
        <v>41</v>
      </c>
      <c r="L1011" s="3" t="s">
        <v>42</v>
      </c>
      <c r="M1011" s="3" t="s">
        <v>41</v>
      </c>
    </row>
    <row r="1012" spans="1:13" ht="126.6">
      <c r="A1012" s="22" t="s">
        <v>11</v>
      </c>
      <c r="B1012" s="3" t="s">
        <v>3244</v>
      </c>
      <c r="C1012" s="3" t="s">
        <v>3245</v>
      </c>
      <c r="D1012" s="3" t="s">
        <v>327</v>
      </c>
      <c r="E1012" s="3" t="s">
        <v>46</v>
      </c>
      <c r="F1012" s="3" t="s">
        <v>2417</v>
      </c>
      <c r="G1012" s="3" t="s">
        <v>2418</v>
      </c>
      <c r="H1012" s="3" t="s">
        <v>3246</v>
      </c>
      <c r="I1012" s="3" t="str">
        <f>HYPERLINK("http://www.jccm.es/sede/tramite/LN6","SOLICITUD DE AYUDA MOVES III PARA IMPLANTACION DE INFRAESTRUCTURA DE RECARGA DE VEHICULOS ELECTRICOS")</f>
        <v>SOLICITUD DE AYUDA MOVES III PARA IMPLANTACION DE INFRAESTRUCTURA DE RECARGA DE VEHICULOS ELECTRICOS</v>
      </c>
      <c r="J1012" s="3" t="s">
        <v>42</v>
      </c>
      <c r="K1012" s="3" t="s">
        <v>41</v>
      </c>
      <c r="L1012" s="3" t="s">
        <v>42</v>
      </c>
      <c r="M1012" s="3" t="s">
        <v>41</v>
      </c>
    </row>
    <row r="1013" spans="1:13" ht="252.95">
      <c r="A1013" s="22" t="s">
        <v>11</v>
      </c>
      <c r="B1013" s="3" t="s">
        <v>3247</v>
      </c>
      <c r="C1013" s="3" t="s">
        <v>3248</v>
      </c>
      <c r="D1013" s="3" t="s">
        <v>327</v>
      </c>
      <c r="E1013" s="3" t="s">
        <v>46</v>
      </c>
      <c r="F1013" s="3" t="s">
        <v>2417</v>
      </c>
      <c r="G1013" s="3" t="s">
        <v>2418</v>
      </c>
      <c r="H1013" s="3" t="s">
        <v>3249</v>
      </c>
      <c r="I1013" s="3" t="str">
        <f>HYPERLINK("http://www.jccm.es/sede/tramite/LPT","CONVOCATORIA DE LOS PROGRAMAS DE INCENTIVOS 4 Y 5 PARA ACTUACIONES DE AUTOCONSUMO, CON FUENTES DE ENERGIAS RENOVABLES, EN EL SECTOR RESIDENCIAL, LAS ADMINISTRACIONES PUBLICAS Y EL TERCER SECTOR.")</f>
        <v>CONVOCATORIA DE LOS PROGRAMAS DE INCENTIVOS 4 Y 5 PARA ACTUACIONES DE AUTOCONSUMO, CON FUENTES DE ENERGIAS RENOVABLES, EN EL SECTOR RESIDENCIAL, LAS ADMINISTRACIONES PUBLICAS Y EL TERCER SECTOR.</v>
      </c>
      <c r="J1013" s="3" t="s">
        <v>41</v>
      </c>
      <c r="K1013" s="3" t="s">
        <v>41</v>
      </c>
      <c r="L1013" s="3" t="s">
        <v>42</v>
      </c>
      <c r="M1013" s="3" t="s">
        <v>41</v>
      </c>
    </row>
    <row r="1014" spans="1:13" ht="230.1">
      <c r="A1014" s="22" t="s">
        <v>11</v>
      </c>
      <c r="B1014" s="3" t="s">
        <v>3250</v>
      </c>
      <c r="C1014" s="3" t="s">
        <v>3251</v>
      </c>
      <c r="D1014" s="3" t="s">
        <v>327</v>
      </c>
      <c r="E1014" s="3" t="s">
        <v>46</v>
      </c>
      <c r="F1014" s="3" t="s">
        <v>2417</v>
      </c>
      <c r="G1014" s="3" t="s">
        <v>2418</v>
      </c>
      <c r="H1014" s="3" t="s">
        <v>3252</v>
      </c>
      <c r="I1014" s="3" t="str">
        <f>HYPERLINK("http://www.jccm.es/sede/tramite/LPS","CONVOCATORIA DE LOS PROGRAMAS DE INCENTIVOS 1, 2 Y 3 PARA ACTUACIONES DE AUTOCONSUMO, CON FUENTES DE ENERGIAS RENOVABLES, PARA EL SECTOR SERVICIOS Y OTROS SECTORES PRODUCTIVOS.")</f>
        <v>CONVOCATORIA DE LOS PROGRAMAS DE INCENTIVOS 1, 2 Y 3 PARA ACTUACIONES DE AUTOCONSUMO, CON FUENTES DE ENERGIAS RENOVABLES, PARA EL SECTOR SERVICIOS Y OTROS SECTORES PRODUCTIVOS.</v>
      </c>
      <c r="J1014" s="3" t="s">
        <v>41</v>
      </c>
      <c r="K1014" s="3" t="s">
        <v>41</v>
      </c>
      <c r="L1014" s="3" t="s">
        <v>42</v>
      </c>
      <c r="M1014" s="3" t="s">
        <v>41</v>
      </c>
    </row>
    <row r="1015" spans="1:13" ht="183.95">
      <c r="A1015" s="22" t="s">
        <v>11</v>
      </c>
      <c r="B1015" s="3" t="s">
        <v>3253</v>
      </c>
      <c r="C1015" s="3" t="s">
        <v>3254</v>
      </c>
      <c r="D1015" s="3" t="s">
        <v>327</v>
      </c>
      <c r="E1015" s="3" t="s">
        <v>46</v>
      </c>
      <c r="F1015" s="3" t="s">
        <v>2417</v>
      </c>
      <c r="G1015" s="3" t="s">
        <v>2418</v>
      </c>
      <c r="H1015" s="3" t="s">
        <v>3255</v>
      </c>
      <c r="I1015" s="3" t="str">
        <f>HYPERLINK("http://www.jccm.es/sede/tramite/LPU","CONVOCATORIA DEL PROGRAMA DE INCENTIVOS 6 PARA LA REALIZACION DE INSTALACIONES DE ENERGIAS RENOVABLES TERMICAS EN EL SECTOR RESIDENCIAL")</f>
        <v>CONVOCATORIA DEL PROGRAMA DE INCENTIVOS 6 PARA LA REALIZACION DE INSTALACIONES DE ENERGIAS RENOVABLES TERMICAS EN EL SECTOR RESIDENCIAL</v>
      </c>
      <c r="J1015" s="3" t="s">
        <v>41</v>
      </c>
      <c r="K1015" s="3" t="s">
        <v>41</v>
      </c>
      <c r="L1015" s="3" t="s">
        <v>42</v>
      </c>
      <c r="M1015" s="3" t="s">
        <v>41</v>
      </c>
    </row>
    <row r="1016" spans="1:13" ht="126.6">
      <c r="A1016" s="22" t="s">
        <v>11</v>
      </c>
      <c r="B1016" s="3" t="s">
        <v>3256</v>
      </c>
      <c r="C1016" s="3" t="s">
        <v>3257</v>
      </c>
      <c r="D1016" s="3" t="s">
        <v>45</v>
      </c>
      <c r="E1016" s="3" t="s">
        <v>37</v>
      </c>
      <c r="F1016" s="3" t="s">
        <v>2417</v>
      </c>
      <c r="G1016" s="3" t="s">
        <v>2418</v>
      </c>
      <c r="H1016" s="3" t="s">
        <v>3258</v>
      </c>
      <c r="I1016" s="3" t="str">
        <f>HYPERLINK("http://www.jccm.es/sede/tramite/978","ADMISION A EXAMENES DE APTITUD PARA LA OBTENCION DEL CERTIFICADO DE CUALIFICACION INDIVIDUAL")</f>
        <v>ADMISION A EXAMENES DE APTITUD PARA LA OBTENCION DEL CERTIFICADO DE CUALIFICACION INDIVIDUAL</v>
      </c>
      <c r="J1016" s="3" t="s">
        <v>42</v>
      </c>
      <c r="K1016" s="3" t="s">
        <v>41</v>
      </c>
      <c r="L1016" s="3" t="s">
        <v>42</v>
      </c>
      <c r="M1016" s="3" t="s">
        <v>42</v>
      </c>
    </row>
    <row r="1017" spans="1:13" ht="126.6">
      <c r="A1017" s="22" t="s">
        <v>11</v>
      </c>
      <c r="B1017" s="3" t="s">
        <v>3259</v>
      </c>
      <c r="C1017" s="3" t="s">
        <v>3260</v>
      </c>
      <c r="D1017" s="3" t="s">
        <v>45</v>
      </c>
      <c r="E1017" s="3" t="s">
        <v>37</v>
      </c>
      <c r="F1017" s="3" t="s">
        <v>2417</v>
      </c>
      <c r="G1017" s="3" t="s">
        <v>2418</v>
      </c>
      <c r="H1017" s="3" t="s">
        <v>3261</v>
      </c>
      <c r="I1017" s="3" t="str">
        <f>HYPERLINK("http://www.jccm.es/sede/tramite/JCH","OBTENCION Y EXPEDICION DEL CERTIFICADO DE CUALIFICACION INDIVIDUAL")</f>
        <v>OBTENCION Y EXPEDICION DEL CERTIFICADO DE CUALIFICACION INDIVIDUAL</v>
      </c>
      <c r="J1017" s="3" t="s">
        <v>42</v>
      </c>
      <c r="K1017" s="3" t="s">
        <v>41</v>
      </c>
      <c r="L1017" s="3" t="s">
        <v>42</v>
      </c>
      <c r="M1017" s="3" t="s">
        <v>42</v>
      </c>
    </row>
    <row r="1018" spans="1:13" ht="126.6">
      <c r="A1018" s="22" t="s">
        <v>11</v>
      </c>
      <c r="B1018" s="3" t="s">
        <v>3262</v>
      </c>
      <c r="C1018" s="3" t="s">
        <v>3263</v>
      </c>
      <c r="D1018" s="3" t="s">
        <v>45</v>
      </c>
      <c r="E1018" s="3" t="s">
        <v>37</v>
      </c>
      <c r="F1018" s="3" t="s">
        <v>2417</v>
      </c>
      <c r="G1018" s="3" t="s">
        <v>2418</v>
      </c>
      <c r="H1018" s="3" t="s">
        <v>3264</v>
      </c>
      <c r="I1018" s="3" t="str">
        <f>HYPERLINK("http://www.jccm.es/sede/tramite/JCZ","OBTENCION DE CARNES DE PROFESIONALES EN MATERIA DE SEGURIDAD INDUSTRIAL")</f>
        <v>OBTENCION DE CARNES DE PROFESIONALES EN MATERIA DE SEGURIDAD INDUSTRIAL</v>
      </c>
      <c r="J1018" s="3" t="s">
        <v>42</v>
      </c>
      <c r="K1018" s="3" t="s">
        <v>41</v>
      </c>
      <c r="L1018" s="3" t="s">
        <v>42</v>
      </c>
      <c r="M1018" s="3" t="s">
        <v>41</v>
      </c>
    </row>
    <row r="1019" spans="1:13" ht="126.6">
      <c r="A1019" s="22" t="s">
        <v>11</v>
      </c>
      <c r="B1019" s="3" t="s">
        <v>3265</v>
      </c>
      <c r="C1019" s="3" t="s">
        <v>3266</v>
      </c>
      <c r="D1019" s="3" t="s">
        <v>327</v>
      </c>
      <c r="E1019" s="3" t="s">
        <v>46</v>
      </c>
      <c r="F1019" s="3" t="s">
        <v>2417</v>
      </c>
      <c r="G1019" s="3" t="s">
        <v>2418</v>
      </c>
      <c r="H1019" s="3" t="s">
        <v>3267</v>
      </c>
      <c r="I1019" s="3" t="str">
        <f>HYPERLINK("http://www.jccm.es/sede/tramite/I5Y","DECLARACION EN CONCRETO DE LA UTILIDAD PUBLICA DE INSTALACIONES ELECTRICAS .")</f>
        <v>DECLARACION EN CONCRETO DE LA UTILIDAD PUBLICA DE INSTALACIONES ELECTRICAS .</v>
      </c>
      <c r="J1019" s="3" t="s">
        <v>42</v>
      </c>
      <c r="K1019" s="3" t="s">
        <v>41</v>
      </c>
      <c r="L1019" s="3" t="s">
        <v>42</v>
      </c>
      <c r="M1019" s="3" t="s">
        <v>41</v>
      </c>
    </row>
    <row r="1020" spans="1:13" ht="126.6">
      <c r="A1020" s="22" t="s">
        <v>11</v>
      </c>
      <c r="B1020" s="3" t="s">
        <v>3268</v>
      </c>
      <c r="C1020" s="3" t="s">
        <v>3269</v>
      </c>
      <c r="D1020" s="3" t="s">
        <v>62</v>
      </c>
      <c r="E1020" s="3" t="s">
        <v>46</v>
      </c>
      <c r="F1020" s="3" t="s">
        <v>2417</v>
      </c>
      <c r="G1020" s="3" t="s">
        <v>2418</v>
      </c>
      <c r="H1020" s="3" t="s">
        <v>3270</v>
      </c>
      <c r="I1020" s="3" t="str">
        <f>HYPERLINK("http://www.jccm.es/sede/tramite/J9T","AUTORIZACION DE EXPLOTACION DE INSTALACIONES ELECTRICAS")</f>
        <v>AUTORIZACION DE EXPLOTACION DE INSTALACIONES ELECTRICAS</v>
      </c>
      <c r="J1020" s="3" t="s">
        <v>42</v>
      </c>
      <c r="K1020" s="3" t="s">
        <v>41</v>
      </c>
      <c r="L1020" s="3" t="s">
        <v>42</v>
      </c>
      <c r="M1020" s="3" t="s">
        <v>41</v>
      </c>
    </row>
    <row r="1021" spans="1:13" ht="149.44999999999999">
      <c r="A1021" s="22" t="s">
        <v>11</v>
      </c>
      <c r="B1021" s="3" t="s">
        <v>3271</v>
      </c>
      <c r="C1021" s="3" t="s">
        <v>3272</v>
      </c>
      <c r="D1021" s="3" t="s">
        <v>45</v>
      </c>
      <c r="E1021" s="3" t="s">
        <v>46</v>
      </c>
      <c r="F1021" s="3" t="s">
        <v>2417</v>
      </c>
      <c r="G1021" s="3" t="s">
        <v>2418</v>
      </c>
      <c r="H1021" s="3" t="s">
        <v>3273</v>
      </c>
      <c r="I1021" s="3" t="str">
        <f>HYPERLINK("http://www.jccm.es/sede/tramite/J9Q","APROBACION DE PROYECTO DE EJECUCION DE INSTALACIONES GASISTAS DE COMPETENCIA AUTONOMICA")</f>
        <v>APROBACION DE PROYECTO DE EJECUCION DE INSTALACIONES GASISTAS DE COMPETENCIA AUTONOMICA</v>
      </c>
      <c r="J1021" s="3" t="s">
        <v>42</v>
      </c>
      <c r="K1021" s="3" t="s">
        <v>41</v>
      </c>
      <c r="L1021" s="3" t="s">
        <v>42</v>
      </c>
      <c r="M1021" s="3" t="s">
        <v>42</v>
      </c>
    </row>
    <row r="1022" spans="1:13" ht="126.6">
      <c r="A1022" s="22" t="s">
        <v>11</v>
      </c>
      <c r="B1022" s="3" t="s">
        <v>3274</v>
      </c>
      <c r="C1022" s="3" t="s">
        <v>3275</v>
      </c>
      <c r="D1022" s="3" t="s">
        <v>62</v>
      </c>
      <c r="E1022" s="3" t="s">
        <v>46</v>
      </c>
      <c r="F1022" s="3" t="s">
        <v>2417</v>
      </c>
      <c r="G1022" s="3" t="s">
        <v>2418</v>
      </c>
      <c r="H1022" s="3" t="s">
        <v>3276</v>
      </c>
      <c r="I1022" s="3" t="str">
        <f>HYPERLINK("http://www.jccm.es/sede/tramite/J9O","AUTORIZACION DE EXPLOTACION  DE INSTALACIONES GASISTAS DE COMPETENCIA AUTONOMICA")</f>
        <v>AUTORIZACION DE EXPLOTACION  DE INSTALACIONES GASISTAS DE COMPETENCIA AUTONOMICA</v>
      </c>
      <c r="J1022" s="3" t="s">
        <v>42</v>
      </c>
      <c r="K1022" s="3" t="s">
        <v>41</v>
      </c>
      <c r="L1022" s="3" t="s">
        <v>42</v>
      </c>
      <c r="M1022" s="3" t="s">
        <v>42</v>
      </c>
    </row>
    <row r="1023" spans="1:13" ht="149.44999999999999">
      <c r="A1023" s="22" t="s">
        <v>11</v>
      </c>
      <c r="B1023" s="3" t="s">
        <v>3277</v>
      </c>
      <c r="C1023" s="3" t="s">
        <v>3278</v>
      </c>
      <c r="D1023" s="3" t="s">
        <v>327</v>
      </c>
      <c r="E1023" s="3" t="s">
        <v>46</v>
      </c>
      <c r="F1023" s="3" t="s">
        <v>2417</v>
      </c>
      <c r="G1023" s="3" t="s">
        <v>2418</v>
      </c>
      <c r="H1023" s="3" t="s">
        <v>3279</v>
      </c>
      <c r="I1023" s="3" t="str">
        <f>HYPERLINK("http://www.jccm.es/sede/tramite/J9K","DECLARACION EN CONCRETO DE LA UTILIDAD PUBLICA DE INSTALACIONES GASISTAS DE COMPETENCIA AUTONOMICA")</f>
        <v>DECLARACION EN CONCRETO DE LA UTILIDAD PUBLICA DE INSTALACIONES GASISTAS DE COMPETENCIA AUTONOMICA</v>
      </c>
      <c r="J1023" s="3" t="s">
        <v>42</v>
      </c>
      <c r="K1023" s="3" t="s">
        <v>41</v>
      </c>
      <c r="L1023" s="3" t="s">
        <v>42</v>
      </c>
      <c r="M1023" s="3" t="s">
        <v>41</v>
      </c>
    </row>
    <row r="1024" spans="1:13" ht="126.6">
      <c r="A1024" s="22" t="s">
        <v>11</v>
      </c>
      <c r="B1024" s="3" t="s">
        <v>3280</v>
      </c>
      <c r="C1024" s="3" t="s">
        <v>3281</v>
      </c>
      <c r="D1024" s="3" t="s">
        <v>45</v>
      </c>
      <c r="E1024" s="3" t="s">
        <v>46</v>
      </c>
      <c r="F1024" s="3" t="s">
        <v>2417</v>
      </c>
      <c r="G1024" s="3" t="s">
        <v>2418</v>
      </c>
      <c r="H1024" s="3" t="s">
        <v>3282</v>
      </c>
      <c r="I1024" s="3" t="str">
        <f>HYPERLINK("http://www.jccm.es/sede/tramite/J92","RECLASIFICACION DE RECURSOS MINERALES")</f>
        <v>RECLASIFICACION DE RECURSOS MINERALES</v>
      </c>
      <c r="J1024" s="3" t="s">
        <v>42</v>
      </c>
      <c r="K1024" s="3" t="s">
        <v>41</v>
      </c>
      <c r="L1024" s="3" t="s">
        <v>42</v>
      </c>
      <c r="M1024" s="3" t="s">
        <v>41</v>
      </c>
    </row>
    <row r="1025" spans="1:13" ht="172.5">
      <c r="A1025" s="22" t="s">
        <v>11</v>
      </c>
      <c r="B1025" s="3" t="s">
        <v>3283</v>
      </c>
      <c r="C1025" s="3" t="s">
        <v>3284</v>
      </c>
      <c r="D1025" s="3" t="s">
        <v>3285</v>
      </c>
      <c r="E1025" s="3" t="s">
        <v>37</v>
      </c>
      <c r="F1025" s="3" t="s">
        <v>2417</v>
      </c>
      <c r="G1025" s="3" t="s">
        <v>2418</v>
      </c>
      <c r="H1025" s="3" t="s">
        <v>3286</v>
      </c>
      <c r="I1025" s="3" t="str">
        <f>HYPERLINK("http://www.jccm.es/sede/tramite/I5Z","APROBACION DE PLAN DE LABORES")</f>
        <v>APROBACION DE PLAN DE LABORES</v>
      </c>
      <c r="J1025" s="3" t="s">
        <v>42</v>
      </c>
      <c r="K1025" s="3" t="s">
        <v>41</v>
      </c>
      <c r="L1025" s="3" t="s">
        <v>42</v>
      </c>
      <c r="M1025" s="3" t="s">
        <v>41</v>
      </c>
    </row>
    <row r="1026" spans="1:13" ht="126.6">
      <c r="A1026" s="22" t="s">
        <v>11</v>
      </c>
      <c r="B1026" s="3" t="s">
        <v>3287</v>
      </c>
      <c r="C1026" s="3" t="s">
        <v>3288</v>
      </c>
      <c r="D1026" s="3" t="s">
        <v>327</v>
      </c>
      <c r="E1026" s="3" t="s">
        <v>46</v>
      </c>
      <c r="F1026" s="3" t="s">
        <v>2417</v>
      </c>
      <c r="G1026" s="3" t="s">
        <v>2418</v>
      </c>
      <c r="H1026" s="3" t="s">
        <v>3289</v>
      </c>
      <c r="I1026" s="3" t="str">
        <f>HYPERLINK("http://www.jccm.es/sede/tramite/J8R","OTORGAMIENTO CONCESION DE APROVECHAMIENTO AGUAS MINERALES O TERMALES")</f>
        <v>OTORGAMIENTO CONCESION DE APROVECHAMIENTO AGUAS MINERALES O TERMALES</v>
      </c>
      <c r="J1026" s="3" t="s">
        <v>42</v>
      </c>
      <c r="K1026" s="3" t="s">
        <v>41</v>
      </c>
      <c r="L1026" s="3" t="s">
        <v>42</v>
      </c>
      <c r="M1026" s="3" t="s">
        <v>42</v>
      </c>
    </row>
    <row r="1027" spans="1:13" ht="126.6">
      <c r="A1027" s="22" t="s">
        <v>11</v>
      </c>
      <c r="B1027" s="3" t="s">
        <v>3290</v>
      </c>
      <c r="C1027" s="3" t="s">
        <v>3291</v>
      </c>
      <c r="D1027" s="3" t="s">
        <v>442</v>
      </c>
      <c r="E1027" s="3" t="s">
        <v>37</v>
      </c>
      <c r="F1027" s="3" t="s">
        <v>2417</v>
      </c>
      <c r="G1027" s="3" t="s">
        <v>2418</v>
      </c>
      <c r="H1027" s="3" t="s">
        <v>3292</v>
      </c>
      <c r="I1027" s="3" t="str">
        <f>HYPERLINK("http://www.jccm.es/sede/tramite/I7J","APROBACION PLAN ANUAL DE APROVECHAMIENTO AGUAS  O TERMALES")</f>
        <v>APROBACION PLAN ANUAL DE APROVECHAMIENTO AGUAS  O TERMALES</v>
      </c>
      <c r="J1027" s="3" t="s">
        <v>42</v>
      </c>
      <c r="K1027" s="3" t="s">
        <v>41</v>
      </c>
      <c r="L1027" s="3" t="s">
        <v>42</v>
      </c>
      <c r="M1027" s="3" t="s">
        <v>41</v>
      </c>
    </row>
    <row r="1028" spans="1:13" ht="138">
      <c r="A1028" s="22" t="s">
        <v>11</v>
      </c>
      <c r="B1028" s="3" t="s">
        <v>3293</v>
      </c>
      <c r="C1028" s="3" t="s">
        <v>3294</v>
      </c>
      <c r="D1028" s="3" t="s">
        <v>45</v>
      </c>
      <c r="E1028" s="3" t="s">
        <v>37</v>
      </c>
      <c r="F1028" s="3" t="s">
        <v>2417</v>
      </c>
      <c r="G1028" s="3" t="s">
        <v>2510</v>
      </c>
      <c r="H1028" s="3" t="s">
        <v>3295</v>
      </c>
      <c r="I1028" s="3" t="str">
        <f>HYPERLINK("http://www.jccm.es/sede/tramite/JFH","DECLARACION DE ASOCIACIONES DE PESCADORES COMO SOCIEDADES COLABORADORAS")</f>
        <v>DECLARACION DE ASOCIACIONES DE PESCADORES COMO SOCIEDADES COLABORADORAS</v>
      </c>
      <c r="J1028" s="3" t="s">
        <v>41</v>
      </c>
      <c r="K1028" s="3" t="s">
        <v>41</v>
      </c>
      <c r="L1028" s="3" t="s">
        <v>42</v>
      </c>
      <c r="M1028" s="3" t="s">
        <v>41</v>
      </c>
    </row>
    <row r="1029" spans="1:13" ht="138">
      <c r="A1029" s="22" t="s">
        <v>11</v>
      </c>
      <c r="B1029" s="3" t="s">
        <v>3296</v>
      </c>
      <c r="C1029" s="3" t="s">
        <v>3297</v>
      </c>
      <c r="D1029" s="3" t="s">
        <v>1727</v>
      </c>
      <c r="E1029" s="3" t="s">
        <v>46</v>
      </c>
      <c r="F1029" s="3" t="s">
        <v>2417</v>
      </c>
      <c r="G1029" s="3" t="s">
        <v>2510</v>
      </c>
      <c r="H1029" s="3" t="s">
        <v>3298</v>
      </c>
      <c r="I1029" s="3" t="str">
        <f>HYPERLINK("http://www.jccm.es/sede/tramite/062","APROBACION DE DESLINDES DE MONTES INCLUIDOS EN CATALOGO DE UTILIDAD PUBLICA.")</f>
        <v>APROBACION DE DESLINDES DE MONTES INCLUIDOS EN CATALOGO DE UTILIDAD PUBLICA.</v>
      </c>
      <c r="J1029" s="3" t="s">
        <v>42</v>
      </c>
      <c r="K1029" s="3" t="s">
        <v>41</v>
      </c>
      <c r="L1029" s="3" t="s">
        <v>42</v>
      </c>
      <c r="M1029" s="3" t="s">
        <v>41</v>
      </c>
    </row>
    <row r="1030" spans="1:13" ht="138">
      <c r="A1030" s="22" t="s">
        <v>11</v>
      </c>
      <c r="B1030" s="3" t="s">
        <v>3299</v>
      </c>
      <c r="C1030" s="3" t="s">
        <v>3300</v>
      </c>
      <c r="D1030" s="3" t="s">
        <v>327</v>
      </c>
      <c r="E1030" s="3" t="s">
        <v>46</v>
      </c>
      <c r="F1030" s="3" t="s">
        <v>2417</v>
      </c>
      <c r="G1030" s="3" t="s">
        <v>2510</v>
      </c>
      <c r="H1030" s="3" t="s">
        <v>3301</v>
      </c>
      <c r="I1030" s="3" t="str">
        <f>HYPERLINK("http://www.jccm.es/sede/tramite/JFP","AMOJONAMIENTO DE MONTES DEMANIALES")</f>
        <v>AMOJONAMIENTO DE MONTES DEMANIALES</v>
      </c>
      <c r="J1030" s="3" t="s">
        <v>42</v>
      </c>
      <c r="K1030" s="3" t="s">
        <v>41</v>
      </c>
      <c r="L1030" s="3" t="s">
        <v>42</v>
      </c>
      <c r="M1030" s="3" t="s">
        <v>41</v>
      </c>
    </row>
    <row r="1031" spans="1:13" ht="138">
      <c r="A1031" s="22" t="s">
        <v>11</v>
      </c>
      <c r="B1031" s="3" t="s">
        <v>3302</v>
      </c>
      <c r="C1031" s="3" t="s">
        <v>3303</v>
      </c>
      <c r="D1031" s="3" t="s">
        <v>327</v>
      </c>
      <c r="E1031" s="3" t="s">
        <v>46</v>
      </c>
      <c r="F1031" s="3" t="s">
        <v>2417</v>
      </c>
      <c r="G1031" s="3" t="s">
        <v>2510</v>
      </c>
      <c r="H1031" s="3" t="s">
        <v>3304</v>
      </c>
      <c r="I1031" s="3" t="str">
        <f>HYPERLINK("http://www.jccm.es/sede/tramite/JMR","CATALOGACION DE MONTES PUBLICOS")</f>
        <v>CATALOGACION DE MONTES PUBLICOS</v>
      </c>
      <c r="J1031" s="3" t="s">
        <v>42</v>
      </c>
      <c r="K1031" s="3" t="s">
        <v>41</v>
      </c>
      <c r="L1031" s="3" t="s">
        <v>42</v>
      </c>
      <c r="M1031" s="3" t="s">
        <v>41</v>
      </c>
    </row>
    <row r="1032" spans="1:13" ht="138">
      <c r="A1032" s="22" t="s">
        <v>11</v>
      </c>
      <c r="B1032" s="3" t="s">
        <v>3305</v>
      </c>
      <c r="C1032" s="3" t="s">
        <v>3306</v>
      </c>
      <c r="D1032" s="3" t="s">
        <v>45</v>
      </c>
      <c r="E1032" s="3" t="s">
        <v>46</v>
      </c>
      <c r="F1032" s="3" t="s">
        <v>2417</v>
      </c>
      <c r="G1032" s="3" t="s">
        <v>2510</v>
      </c>
      <c r="H1032" s="3" t="s">
        <v>3307</v>
      </c>
      <c r="I1032" s="3" t="str">
        <f>HYPERLINK("http://www.jccm.es/sede/tramite/JMN","DESAFECTACION/DESCATALOGACION DE MONTES DEMANIALES")</f>
        <v>DESAFECTACION/DESCATALOGACION DE MONTES DEMANIALES</v>
      </c>
      <c r="J1032" s="3" t="s">
        <v>42</v>
      </c>
      <c r="K1032" s="3" t="s">
        <v>41</v>
      </c>
      <c r="L1032" s="3" t="s">
        <v>42</v>
      </c>
      <c r="M1032" s="3" t="s">
        <v>41</v>
      </c>
    </row>
    <row r="1033" spans="1:13" ht="138">
      <c r="A1033" s="22" t="s">
        <v>11</v>
      </c>
      <c r="B1033" s="3" t="s">
        <v>3308</v>
      </c>
      <c r="C1033" s="3" t="s">
        <v>3309</v>
      </c>
      <c r="D1033" s="3" t="s">
        <v>45</v>
      </c>
      <c r="E1033" s="3" t="s">
        <v>46</v>
      </c>
      <c r="F1033" s="3" t="s">
        <v>2417</v>
      </c>
      <c r="G1033" s="3" t="s">
        <v>2510</v>
      </c>
      <c r="H1033" s="3" t="s">
        <v>3310</v>
      </c>
      <c r="I1033" s="3" t="str">
        <f>HYPERLINK("http://www.jccm.es/sede/tramite/JKS","NOTIFICACION PARA EJERCICIO DE LA ACCION DE ADQUISICION PREFERENTE DE MONTES")</f>
        <v>NOTIFICACION PARA EJERCICIO DE LA ACCION DE ADQUISICION PREFERENTE DE MONTES</v>
      </c>
      <c r="J1033" s="3" t="s">
        <v>42</v>
      </c>
      <c r="K1033" s="3" t="s">
        <v>41</v>
      </c>
      <c r="L1033" s="3" t="s">
        <v>42</v>
      </c>
      <c r="M1033" s="3" t="s">
        <v>41</v>
      </c>
    </row>
    <row r="1034" spans="1:13" ht="138">
      <c r="A1034" s="22" t="s">
        <v>11</v>
      </c>
      <c r="B1034" s="3" t="s">
        <v>3311</v>
      </c>
      <c r="C1034" s="3" t="s">
        <v>3312</v>
      </c>
      <c r="D1034" s="3" t="s">
        <v>45</v>
      </c>
      <c r="E1034" s="3" t="s">
        <v>46</v>
      </c>
      <c r="F1034" s="3" t="s">
        <v>2417</v>
      </c>
      <c r="G1034" s="3" t="s">
        <v>2510</v>
      </c>
      <c r="H1034" s="3" t="s">
        <v>3313</v>
      </c>
      <c r="I1034" s="3" t="str">
        <f>HYPERLINK("http://www.jccm.es/sede/tramite/JMO","DECLARACION DE PREVALENCIA DE UTILIDAD PUBLICA")</f>
        <v>DECLARACION DE PREVALENCIA DE UTILIDAD PUBLICA</v>
      </c>
      <c r="J1034" s="3" t="s">
        <v>42</v>
      </c>
      <c r="K1034" s="3" t="s">
        <v>41</v>
      </c>
      <c r="L1034" s="3" t="s">
        <v>42</v>
      </c>
      <c r="M1034" s="3" t="s">
        <v>41</v>
      </c>
    </row>
    <row r="1035" spans="1:13" ht="138">
      <c r="A1035" s="22" t="s">
        <v>11</v>
      </c>
      <c r="B1035" s="3" t="s">
        <v>3314</v>
      </c>
      <c r="C1035" s="3" t="s">
        <v>3315</v>
      </c>
      <c r="D1035" s="3" t="s">
        <v>2016</v>
      </c>
      <c r="E1035" s="3" t="s">
        <v>46</v>
      </c>
      <c r="F1035" s="3" t="s">
        <v>2417</v>
      </c>
      <c r="G1035" s="3" t="s">
        <v>2510</v>
      </c>
      <c r="H1035" s="3" t="s">
        <v>3316</v>
      </c>
      <c r="I1035" s="3" t="str">
        <f>HYPERLINK("http://www.jccm.es/sede/tramite/JNF","DESLINDE/DELIMITACION DE VIAS PECUARIAS")</f>
        <v>DESLINDE/DELIMITACION DE VIAS PECUARIAS</v>
      </c>
      <c r="J1035" s="3" t="s">
        <v>42</v>
      </c>
      <c r="K1035" s="3" t="s">
        <v>41</v>
      </c>
      <c r="L1035" s="3" t="s">
        <v>42</v>
      </c>
      <c r="M1035" s="3" t="s">
        <v>41</v>
      </c>
    </row>
    <row r="1036" spans="1:13" ht="138">
      <c r="A1036" s="22" t="s">
        <v>11</v>
      </c>
      <c r="B1036" s="3" t="s">
        <v>3317</v>
      </c>
      <c r="C1036" s="3" t="s">
        <v>3318</v>
      </c>
      <c r="D1036" s="3" t="s">
        <v>2016</v>
      </c>
      <c r="E1036" s="3" t="s">
        <v>46</v>
      </c>
      <c r="F1036" s="3" t="s">
        <v>2417</v>
      </c>
      <c r="G1036" s="3" t="s">
        <v>2510</v>
      </c>
      <c r="H1036" s="3" t="s">
        <v>3319</v>
      </c>
      <c r="I1036" s="3" t="str">
        <f>HYPERLINK("http://www.jccm.es/sede/tramite/JNG","AMOJONAMIENTO DE VIAS PECUARIAS")</f>
        <v>AMOJONAMIENTO DE VIAS PECUARIAS</v>
      </c>
      <c r="J1036" s="3" t="s">
        <v>42</v>
      </c>
      <c r="K1036" s="3" t="s">
        <v>41</v>
      </c>
      <c r="L1036" s="3" t="s">
        <v>42</v>
      </c>
      <c r="M1036" s="3" t="s">
        <v>41</v>
      </c>
    </row>
    <row r="1037" spans="1:13" ht="138">
      <c r="A1037" s="22" t="s">
        <v>11</v>
      </c>
      <c r="B1037" s="3" t="s">
        <v>3320</v>
      </c>
      <c r="C1037" s="3" t="s">
        <v>3321</v>
      </c>
      <c r="D1037" s="3" t="s">
        <v>45</v>
      </c>
      <c r="E1037" s="3" t="s">
        <v>46</v>
      </c>
      <c r="F1037" s="3" t="s">
        <v>2417</v>
      </c>
      <c r="G1037" s="3" t="s">
        <v>2510</v>
      </c>
      <c r="H1037" s="3" t="s">
        <v>3322</v>
      </c>
      <c r="I1037" s="3" t="str">
        <f>HYPERLINK("http://www.jccm.es/sede/tramite/JNI","AUTORIZACION PARA EL ACONDICIONAMIENTO, MANTENIMIENTO Y MEJORA DE VIAS PECUARIAS")</f>
        <v>AUTORIZACION PARA EL ACONDICIONAMIENTO, MANTENIMIENTO Y MEJORA DE VIAS PECUARIAS</v>
      </c>
      <c r="J1037" s="3" t="s">
        <v>42</v>
      </c>
      <c r="K1037" s="3" t="s">
        <v>41</v>
      </c>
      <c r="L1037" s="3" t="s">
        <v>42</v>
      </c>
      <c r="M1037" s="3" t="s">
        <v>41</v>
      </c>
    </row>
    <row r="1038" spans="1:13" ht="138">
      <c r="A1038" s="22" t="s">
        <v>11</v>
      </c>
      <c r="B1038" s="3" t="s">
        <v>3323</v>
      </c>
      <c r="C1038" s="3" t="s">
        <v>3324</v>
      </c>
      <c r="D1038" s="3" t="s">
        <v>45</v>
      </c>
      <c r="E1038" s="3" t="s">
        <v>46</v>
      </c>
      <c r="F1038" s="3" t="s">
        <v>2417</v>
      </c>
      <c r="G1038" s="3" t="s">
        <v>2510</v>
      </c>
      <c r="H1038" s="3" t="s">
        <v>3325</v>
      </c>
      <c r="I1038" s="3" t="str">
        <f>HYPERLINK("http://www.jccm.es/sede/tramite/JNK","AUTORIZACION/DECLARACION RESPONSABLE DE USOS COMPATIBLES/COMPLEMENTARIOS EN VIAS PECUARIAS")</f>
        <v>AUTORIZACION/DECLARACION RESPONSABLE DE USOS COMPATIBLES/COMPLEMENTARIOS EN VIAS PECUARIAS</v>
      </c>
      <c r="J1038" s="3" t="s">
        <v>42</v>
      </c>
      <c r="K1038" s="3" t="s">
        <v>41</v>
      </c>
      <c r="L1038" s="3" t="s">
        <v>42</v>
      </c>
      <c r="M1038" s="3" t="s">
        <v>41</v>
      </c>
    </row>
    <row r="1039" spans="1:13" ht="138">
      <c r="A1039" s="22" t="s">
        <v>11</v>
      </c>
      <c r="B1039" s="3" t="s">
        <v>3326</v>
      </c>
      <c r="C1039" s="3" t="s">
        <v>3327</v>
      </c>
      <c r="D1039" s="3" t="s">
        <v>45</v>
      </c>
      <c r="E1039" s="3" t="s">
        <v>46</v>
      </c>
      <c r="F1039" s="3" t="s">
        <v>2417</v>
      </c>
      <c r="G1039" s="3" t="s">
        <v>2510</v>
      </c>
      <c r="H1039" s="3" t="s">
        <v>3328</v>
      </c>
      <c r="I1039" s="3" t="str">
        <f>HYPERLINK("http://www.jccm.es/sede/tramite/JNL","AUTORIZACION DE APROVECHAMIENTOS SOBRANTES EN VIAS PECUARIAS")</f>
        <v>AUTORIZACION DE APROVECHAMIENTOS SOBRANTES EN VIAS PECUARIAS</v>
      </c>
      <c r="J1039" s="3" t="s">
        <v>42</v>
      </c>
      <c r="K1039" s="3" t="s">
        <v>41</v>
      </c>
      <c r="L1039" s="3" t="s">
        <v>42</v>
      </c>
      <c r="M1039" s="3" t="s">
        <v>41</v>
      </c>
    </row>
    <row r="1040" spans="1:13" ht="114.95">
      <c r="A1040" s="22" t="s">
        <v>11</v>
      </c>
      <c r="B1040" s="3" t="s">
        <v>3329</v>
      </c>
      <c r="C1040" s="3" t="s">
        <v>3330</v>
      </c>
      <c r="D1040" s="3" t="s">
        <v>1727</v>
      </c>
      <c r="E1040" s="3" t="s">
        <v>95</v>
      </c>
      <c r="F1040" s="3" t="s">
        <v>2417</v>
      </c>
      <c r="G1040" s="3" t="s">
        <v>2570</v>
      </c>
      <c r="H1040" s="3" t="s">
        <v>3331</v>
      </c>
      <c r="I1040" s="3" t="str">
        <f>HYPERLINK("http://www.jccm.es/sede/tramite/JLD","MEMORIAS DE RESIDUOS")</f>
        <v>MEMORIAS DE RESIDUOS</v>
      </c>
      <c r="J1040" s="3" t="s">
        <v>41</v>
      </c>
      <c r="K1040" s="3" t="s">
        <v>41</v>
      </c>
      <c r="L1040" s="3" t="s">
        <v>42</v>
      </c>
      <c r="M1040" s="3" t="s">
        <v>41</v>
      </c>
    </row>
    <row r="1041" spans="1:13" ht="114.95">
      <c r="A1041" s="22" t="s">
        <v>11</v>
      </c>
      <c r="B1041" s="3" t="s">
        <v>3332</v>
      </c>
      <c r="C1041" s="3" t="s">
        <v>3333</v>
      </c>
      <c r="D1041" s="3" t="s">
        <v>45</v>
      </c>
      <c r="E1041" s="3" t="s">
        <v>46</v>
      </c>
      <c r="F1041" s="3" t="s">
        <v>2417</v>
      </c>
      <c r="G1041" s="3" t="s">
        <v>2581</v>
      </c>
      <c r="H1041" s="3" t="s">
        <v>3334</v>
      </c>
      <c r="I1041" s="3" t="str">
        <f>HYPERLINK("http://www.jccm.es/sede/tramite/I84","CERTIFICADO DE CONVALIDACION DE INVERSIONES DESTINADAS A LA PROTECCION DEL MEDIO AMBIENTE")</f>
        <v>CERTIFICADO DE CONVALIDACION DE INVERSIONES DESTINADAS A LA PROTECCION DEL MEDIO AMBIENTE</v>
      </c>
      <c r="J1041" s="3" t="s">
        <v>41</v>
      </c>
      <c r="K1041" s="3" t="s">
        <v>41</v>
      </c>
      <c r="L1041" s="3" t="s">
        <v>42</v>
      </c>
      <c r="M1041" s="3" t="s">
        <v>41</v>
      </c>
    </row>
    <row r="1042" spans="1:13" ht="126.6">
      <c r="A1042" s="22" t="s">
        <v>11</v>
      </c>
      <c r="B1042" s="3" t="s">
        <v>3335</v>
      </c>
      <c r="C1042" s="3" t="s">
        <v>3336</v>
      </c>
      <c r="D1042" s="3" t="s">
        <v>1401</v>
      </c>
      <c r="E1042" s="3" t="s">
        <v>46</v>
      </c>
      <c r="F1042" s="3" t="s">
        <v>2417</v>
      </c>
      <c r="G1042" s="3" t="s">
        <v>2570</v>
      </c>
      <c r="H1042" s="3" t="s">
        <v>3337</v>
      </c>
      <c r="I1042" s="3" t="str">
        <f>HYPERLINK("http://www.jccm.es/sede/tramite/JBD","AUTORIZACION ADMINISTRATIVA DE ACTIVIDADES POTENCIALMENTE CONTAMINADORAS DE LA ATMOSFERA.")</f>
        <v>AUTORIZACION ADMINISTRATIVA DE ACTIVIDADES POTENCIALMENTE CONTAMINADORAS DE LA ATMOSFERA.</v>
      </c>
      <c r="J1042" s="3" t="s">
        <v>42</v>
      </c>
      <c r="K1042" s="3" t="s">
        <v>41</v>
      </c>
      <c r="L1042" s="3" t="s">
        <v>42</v>
      </c>
      <c r="M1042" s="3" t="s">
        <v>41</v>
      </c>
    </row>
    <row r="1043" spans="1:13" ht="114.95">
      <c r="A1043" s="22" t="s">
        <v>11</v>
      </c>
      <c r="B1043" s="3" t="s">
        <v>3338</v>
      </c>
      <c r="C1043" s="3" t="s">
        <v>3339</v>
      </c>
      <c r="D1043" s="3" t="s">
        <v>3340</v>
      </c>
      <c r="E1043" s="3" t="s">
        <v>46</v>
      </c>
      <c r="F1043" s="3" t="s">
        <v>2417</v>
      </c>
      <c r="G1043" s="3" t="s">
        <v>2570</v>
      </c>
      <c r="H1043" s="3" t="s">
        <v>3341</v>
      </c>
      <c r="I1043" s="3" t="str">
        <f>HYPERLINK("http://www.jccm.es/sede/tramite/IY3","EVALUACION AMBIENTAL ESTRATEGICA DE PLANES Y PROGRAMAS")</f>
        <v>EVALUACION AMBIENTAL ESTRATEGICA DE PLANES Y PROGRAMAS</v>
      </c>
      <c r="J1043" s="3" t="s">
        <v>41</v>
      </c>
      <c r="K1043" s="3" t="s">
        <v>41</v>
      </c>
      <c r="L1043" s="3" t="s">
        <v>42</v>
      </c>
      <c r="M1043" s="3" t="s">
        <v>41</v>
      </c>
    </row>
    <row r="1044" spans="1:13" ht="114.95">
      <c r="A1044" s="22" t="s">
        <v>11</v>
      </c>
      <c r="B1044" s="3" t="s">
        <v>3342</v>
      </c>
      <c r="C1044" s="3" t="s">
        <v>3343</v>
      </c>
      <c r="D1044" s="3" t="s">
        <v>3344</v>
      </c>
      <c r="E1044" s="3" t="s">
        <v>46</v>
      </c>
      <c r="F1044" s="3" t="s">
        <v>2417</v>
      </c>
      <c r="G1044" s="3" t="s">
        <v>2570</v>
      </c>
      <c r="H1044" s="3" t="s">
        <v>3345</v>
      </c>
      <c r="I1044" s="3" t="str">
        <f>HYPERLINK("http://www.jccm.es/sede/tramite/478","EVALUACION  DE IMPACTO AMBIENTAL DE PROYECTOS")</f>
        <v>EVALUACION  DE IMPACTO AMBIENTAL DE PROYECTOS</v>
      </c>
      <c r="J1044" s="3" t="s">
        <v>42</v>
      </c>
      <c r="K1044" s="3" t="s">
        <v>41</v>
      </c>
      <c r="L1044" s="3" t="s">
        <v>42</v>
      </c>
      <c r="M1044" s="3" t="s">
        <v>42</v>
      </c>
    </row>
    <row r="1045" spans="1:13" ht="126.6">
      <c r="A1045" s="22" t="s">
        <v>11</v>
      </c>
      <c r="B1045" s="3" t="s">
        <v>3346</v>
      </c>
      <c r="C1045" s="3" t="s">
        <v>3347</v>
      </c>
      <c r="D1045" s="3" t="s">
        <v>1535</v>
      </c>
      <c r="E1045" s="3" t="s">
        <v>46</v>
      </c>
      <c r="F1045" s="3" t="s">
        <v>2417</v>
      </c>
      <c r="G1045" s="3" t="s">
        <v>2418</v>
      </c>
      <c r="H1045" s="3" t="s">
        <v>3348</v>
      </c>
      <c r="I1045" s="3" t="str">
        <f>HYPERLINK("http://www.jccm.es/sede/tramite/J8X","DECLARACION DE AGUA MINERAL, MODIFICACION O AMPLIACION DE UNA DECLARACION")</f>
        <v>DECLARACION DE AGUA MINERAL, MODIFICACION O AMPLIACION DE UNA DECLARACION</v>
      </c>
      <c r="J1045" s="3" t="s">
        <v>42</v>
      </c>
      <c r="K1045" s="3" t="s">
        <v>41</v>
      </c>
      <c r="L1045" s="3" t="s">
        <v>42</v>
      </c>
      <c r="M1045" s="3" t="s">
        <v>41</v>
      </c>
    </row>
    <row r="1046" spans="1:13" ht="126.6">
      <c r="A1046" s="22" t="s">
        <v>11</v>
      </c>
      <c r="B1046" s="3" t="s">
        <v>3349</v>
      </c>
      <c r="C1046" s="3" t="s">
        <v>3350</v>
      </c>
      <c r="D1046" s="3" t="s">
        <v>95</v>
      </c>
      <c r="E1046" s="3" t="s">
        <v>95</v>
      </c>
      <c r="F1046" s="3" t="s">
        <v>2417</v>
      </c>
      <c r="G1046" s="3" t="s">
        <v>2418</v>
      </c>
      <c r="H1046" s="3" t="s">
        <v>3351</v>
      </c>
      <c r="I1046" s="3" t="str">
        <f>HYPERLINK("http://www.jccm.es/sede/tramite/JNT","CERTIFICADO DE EMPRESA PARA LA MANIPULACION DE GASES FLUORADOS")</f>
        <v>CERTIFICADO DE EMPRESA PARA LA MANIPULACION DE GASES FLUORADOS</v>
      </c>
      <c r="J1046" s="3" t="s">
        <v>42</v>
      </c>
      <c r="K1046" s="3" t="s">
        <v>41</v>
      </c>
      <c r="L1046" s="3" t="s">
        <v>42</v>
      </c>
      <c r="M1046" s="3" t="s">
        <v>41</v>
      </c>
    </row>
    <row r="1047" spans="1:13" ht="126.6">
      <c r="A1047" s="22" t="s">
        <v>11</v>
      </c>
      <c r="B1047" s="3" t="s">
        <v>3352</v>
      </c>
      <c r="C1047" s="3" t="s">
        <v>3353</v>
      </c>
      <c r="D1047" s="3" t="s">
        <v>62</v>
      </c>
      <c r="E1047" s="3" t="s">
        <v>46</v>
      </c>
      <c r="F1047" s="3" t="s">
        <v>2417</v>
      </c>
      <c r="G1047" s="3" t="s">
        <v>2418</v>
      </c>
      <c r="H1047" s="3" t="s">
        <v>3354</v>
      </c>
      <c r="I1047" s="3" t="str">
        <f>HYPERLINK("http://www.jccm.es/sede/tramite/JNU","CERTIFICADO PERSONAL PARA LA MANIPULACION DE GASES FLUORADOS.")</f>
        <v>CERTIFICADO PERSONAL PARA LA MANIPULACION DE GASES FLUORADOS.</v>
      </c>
      <c r="J1047" s="3" t="s">
        <v>42</v>
      </c>
      <c r="K1047" s="3" t="s">
        <v>41</v>
      </c>
      <c r="L1047" s="3" t="s">
        <v>42</v>
      </c>
      <c r="M1047" s="3" t="s">
        <v>41</v>
      </c>
    </row>
    <row r="1048" spans="1:13" ht="138">
      <c r="A1048" s="22" t="s">
        <v>11</v>
      </c>
      <c r="B1048" s="3" t="s">
        <v>3355</v>
      </c>
      <c r="C1048" s="3" t="s">
        <v>3356</v>
      </c>
      <c r="D1048" s="3" t="s">
        <v>45</v>
      </c>
      <c r="E1048" s="3" t="s">
        <v>46</v>
      </c>
      <c r="F1048" s="3" t="s">
        <v>2417</v>
      </c>
      <c r="G1048" s="3" t="s">
        <v>2510</v>
      </c>
      <c r="H1048" s="3" t="s">
        <v>3357</v>
      </c>
      <c r="I1048" s="3" t="str">
        <f>HYPERLINK("http://www.jccm.es/sede/tramite/JX9","HOMOLOGACION DE TROFEOS DE CAZA")</f>
        <v>HOMOLOGACION DE TROFEOS DE CAZA</v>
      </c>
      <c r="J1048" s="3" t="s">
        <v>42</v>
      </c>
      <c r="K1048" s="3" t="s">
        <v>41</v>
      </c>
      <c r="L1048" s="3" t="s">
        <v>42</v>
      </c>
      <c r="M1048" s="3" t="s">
        <v>41</v>
      </c>
    </row>
    <row r="1049" spans="1:13" ht="230.1">
      <c r="A1049" s="22" t="s">
        <v>11</v>
      </c>
      <c r="B1049" s="3" t="s">
        <v>3358</v>
      </c>
      <c r="C1049" s="3" t="s">
        <v>3359</v>
      </c>
      <c r="D1049" s="3" t="s">
        <v>95</v>
      </c>
      <c r="E1049" s="3" t="s">
        <v>37</v>
      </c>
      <c r="F1049" s="3" t="s">
        <v>2417</v>
      </c>
      <c r="G1049" s="3" t="s">
        <v>2418</v>
      </c>
      <c r="H1049" s="3" t="s">
        <v>3360</v>
      </c>
      <c r="I1049" s="3" t="str">
        <f>HYPERLINK("http://www.jccm.es/sede/tramite/JYR","COMUNICACION DE APORTACION DE ACTAS O CERTIFICADOS DE INSPECCION, REVISION O CONTROL, DE INSTALACIONES O ESTABLECIMIENTOS SOMETIDOS A REGLAMENTACION DE SEGURIDAD INDUSTRIAL")</f>
        <v>COMUNICACION DE APORTACION DE ACTAS O CERTIFICADOS DE INSPECCION, REVISION O CONTROL, DE INSTALACIONES O ESTABLECIMIENTOS SOMETIDOS A REGLAMENTACION DE SEGURIDAD INDUSTRIAL</v>
      </c>
      <c r="J1049" s="3" t="s">
        <v>42</v>
      </c>
      <c r="K1049" s="3" t="s">
        <v>41</v>
      </c>
      <c r="L1049" s="3" t="s">
        <v>42</v>
      </c>
      <c r="M1049" s="3" t="s">
        <v>41</v>
      </c>
    </row>
    <row r="1050" spans="1:13" ht="114.95">
      <c r="A1050" s="22" t="s">
        <v>11</v>
      </c>
      <c r="B1050" s="3" t="s">
        <v>3361</v>
      </c>
      <c r="C1050" s="3" t="s">
        <v>3362</v>
      </c>
      <c r="D1050" s="3" t="s">
        <v>95</v>
      </c>
      <c r="E1050" s="3" t="s">
        <v>95</v>
      </c>
      <c r="F1050" s="3" t="s">
        <v>2417</v>
      </c>
      <c r="G1050" s="3" t="s">
        <v>2570</v>
      </c>
      <c r="H1050" s="3" t="s">
        <v>3363</v>
      </c>
      <c r="I1050" s="3" t="str">
        <f>HYPERLINK("http://www.jccm.es/sede/tramite/K2C","VALIDACION DE INFORMES ANUALES DE EMISION DE GASES DE GASES DE EFECTO INVERNADERO")</f>
        <v>VALIDACION DE INFORMES ANUALES DE EMISION DE GASES DE GASES DE EFECTO INVERNADERO</v>
      </c>
      <c r="J1050" s="3" t="s">
        <v>41</v>
      </c>
      <c r="K1050" s="3" t="s">
        <v>41</v>
      </c>
      <c r="L1050" s="3" t="s">
        <v>42</v>
      </c>
      <c r="M1050" s="3" t="s">
        <v>41</v>
      </c>
    </row>
    <row r="1051" spans="1:13" ht="138">
      <c r="A1051" s="22" t="s">
        <v>11</v>
      </c>
      <c r="B1051" s="3" t="s">
        <v>3364</v>
      </c>
      <c r="C1051" s="3" t="s">
        <v>3365</v>
      </c>
      <c r="D1051" s="3" t="s">
        <v>45</v>
      </c>
      <c r="E1051" s="3" t="s">
        <v>46</v>
      </c>
      <c r="F1051" s="3" t="s">
        <v>2417</v>
      </c>
      <c r="G1051" s="3" t="s">
        <v>2510</v>
      </c>
      <c r="H1051" s="3" t="s">
        <v>3366</v>
      </c>
      <c r="I1051" s="3" t="str">
        <f>HYPERLINK("http://www.jccm.es/sede/tramite/KBO","DESIGNACION COMO VOCAL DEL CONSEJO REGIONAL Y DE LOS CONSEJOS PROVINCIALES DE PESCA")</f>
        <v>DESIGNACION COMO VOCAL DEL CONSEJO REGIONAL Y DE LOS CONSEJOS PROVINCIALES DE PESCA</v>
      </c>
      <c r="J1051" s="3" t="s">
        <v>42</v>
      </c>
      <c r="K1051" s="3" t="s">
        <v>41</v>
      </c>
      <c r="L1051" s="3" t="s">
        <v>42</v>
      </c>
      <c r="M1051" s="3" t="s">
        <v>41</v>
      </c>
    </row>
    <row r="1052" spans="1:13" ht="161.1">
      <c r="A1052" s="22" t="s">
        <v>11</v>
      </c>
      <c r="B1052" s="3" t="s">
        <v>3367</v>
      </c>
      <c r="C1052" s="3" t="s">
        <v>3368</v>
      </c>
      <c r="D1052" s="3" t="s">
        <v>45</v>
      </c>
      <c r="E1052" s="3" t="s">
        <v>37</v>
      </c>
      <c r="F1052" s="3" t="s">
        <v>2417</v>
      </c>
      <c r="G1052" s="3" t="s">
        <v>2570</v>
      </c>
      <c r="H1052" s="3" t="s">
        <v>3369</v>
      </c>
      <c r="I1052" s="3" t="str">
        <f>HYPERLINK("http://www.jccm.es/sede/tramite/KD7","APROBACION DE INFORME DE MEJORAS DE INSTALACIONES INCLUIDAS EN EL REGIMEN DE COMERCIO DE GASES DE EFECTO INVERNADERO")</f>
        <v>APROBACION DE INFORME DE MEJORAS DE INSTALACIONES INCLUIDAS EN EL REGIMEN DE COMERCIO DE GASES DE EFECTO INVERNADERO</v>
      </c>
      <c r="J1052" s="3" t="s">
        <v>41</v>
      </c>
      <c r="K1052" s="3" t="s">
        <v>41</v>
      </c>
      <c r="L1052" s="3" t="s">
        <v>42</v>
      </c>
      <c r="M1052" s="3" t="s">
        <v>41</v>
      </c>
    </row>
    <row r="1053" spans="1:13" ht="161.1">
      <c r="A1053" s="22" t="s">
        <v>11</v>
      </c>
      <c r="B1053" s="3" t="s">
        <v>3370</v>
      </c>
      <c r="C1053" s="3" t="s">
        <v>3371</v>
      </c>
      <c r="D1053" s="3" t="s">
        <v>95</v>
      </c>
      <c r="E1053" s="3" t="s">
        <v>95</v>
      </c>
      <c r="F1053" s="3" t="s">
        <v>2417</v>
      </c>
      <c r="G1053" s="3" t="s">
        <v>2418</v>
      </c>
      <c r="H1053" s="3" t="s">
        <v>3372</v>
      </c>
      <c r="I1053" s="3" t="str">
        <f>HYPERLINK("http://www.jccm.es/sede/tramite/KE6","REMISION DE INFORMACION DE INSTALACIONES DE PRODUCCION DE ENERGIA ELECTRICA CON REGIMEN RETRIBUTIVO ESPECIFICO")</f>
        <v>REMISION DE INFORMACION DE INSTALACIONES DE PRODUCCION DE ENERGIA ELECTRICA CON REGIMEN RETRIBUTIVO ESPECIFICO</v>
      </c>
      <c r="J1053" s="3" t="s">
        <v>42</v>
      </c>
      <c r="K1053" s="3" t="s">
        <v>41</v>
      </c>
      <c r="L1053" s="3" t="s">
        <v>42</v>
      </c>
      <c r="M1053" s="3" t="s">
        <v>41</v>
      </c>
    </row>
    <row r="1054" spans="1:13" ht="138">
      <c r="A1054" s="22" t="s">
        <v>11</v>
      </c>
      <c r="B1054" s="3" t="s">
        <v>3373</v>
      </c>
      <c r="C1054" s="3" t="s">
        <v>3374</v>
      </c>
      <c r="D1054" s="3" t="s">
        <v>45</v>
      </c>
      <c r="E1054" s="3" t="s">
        <v>46</v>
      </c>
      <c r="F1054" s="3" t="s">
        <v>2417</v>
      </c>
      <c r="G1054" s="3" t="s">
        <v>2510</v>
      </c>
      <c r="H1054" s="3" t="s">
        <v>3375</v>
      </c>
      <c r="I1054" s="3" t="str">
        <f>HYPERLINK("http://www.jccm.es/sede/tramite/KFR","PRUEBAS DE APTITUD PARA OBTENER POR PRIMERA VEZ LA LICENCIA DE CAZA DE CASTILLA-LA MANCHA")</f>
        <v>PRUEBAS DE APTITUD PARA OBTENER POR PRIMERA VEZ LA LICENCIA DE CAZA DE CASTILLA-LA MANCHA</v>
      </c>
      <c r="J1054" s="3" t="s">
        <v>42</v>
      </c>
      <c r="K1054" s="3" t="s">
        <v>41</v>
      </c>
      <c r="L1054" s="3" t="s">
        <v>42</v>
      </c>
      <c r="M1054" s="3" t="s">
        <v>41</v>
      </c>
    </row>
    <row r="1055" spans="1:13" ht="149.44999999999999">
      <c r="A1055" s="22" t="s">
        <v>11</v>
      </c>
      <c r="B1055" s="3" t="s">
        <v>3376</v>
      </c>
      <c r="C1055" s="3" t="s">
        <v>3377</v>
      </c>
      <c r="D1055" s="3" t="s">
        <v>95</v>
      </c>
      <c r="E1055" s="3" t="s">
        <v>95</v>
      </c>
      <c r="F1055" s="3" t="s">
        <v>2417</v>
      </c>
      <c r="G1055" s="3" t="s">
        <v>2418</v>
      </c>
      <c r="H1055" s="3" t="s">
        <v>3378</v>
      </c>
      <c r="I1055" s="3" t="str">
        <f>HYPERLINK("http://www.jccm.es/sede/tramite/KG5","DECLARACION RESPONSABLE DEL NUMERO DE INSPECCIONES ITV REALIZADAS Y LIQUIDACION DE LA TASA CORRESPONDIENTE")</f>
        <v>DECLARACION RESPONSABLE DEL NUMERO DE INSPECCIONES ITV REALIZADAS Y LIQUIDACION DE LA TASA CORRESPONDIENTE</v>
      </c>
      <c r="J1055" s="3" t="s">
        <v>41</v>
      </c>
      <c r="K1055" s="3" t="s">
        <v>41</v>
      </c>
      <c r="L1055" s="3" t="s">
        <v>42</v>
      </c>
      <c r="M1055" s="3" t="s">
        <v>41</v>
      </c>
    </row>
    <row r="1056" spans="1:13" ht="126.6">
      <c r="A1056" s="22" t="s">
        <v>11</v>
      </c>
      <c r="B1056" s="3" t="s">
        <v>3379</v>
      </c>
      <c r="C1056" s="3" t="s">
        <v>3380</v>
      </c>
      <c r="D1056" s="3" t="s">
        <v>45</v>
      </c>
      <c r="E1056" s="3" t="s">
        <v>37</v>
      </c>
      <c r="F1056" s="3" t="s">
        <v>2417</v>
      </c>
      <c r="G1056" s="3" t="s">
        <v>2418</v>
      </c>
      <c r="H1056" s="3" t="s">
        <v>3381</v>
      </c>
      <c r="I1056" s="3" t="str">
        <f>HYPERLINK("http://www.jccm.es/sede/tramite/KGQ","DECLARACION DE ACTIVIDADES LABORALES EN LAS QUE EXISTAN FUENTES NATURALES DE RADIACION.")</f>
        <v>DECLARACION DE ACTIVIDADES LABORALES EN LAS QUE EXISTAN FUENTES NATURALES DE RADIACION.</v>
      </c>
      <c r="J1056" s="3" t="s">
        <v>42</v>
      </c>
      <c r="K1056" s="3" t="s">
        <v>41</v>
      </c>
      <c r="L1056" s="3" t="s">
        <v>42</v>
      </c>
      <c r="M1056" s="3" t="s">
        <v>41</v>
      </c>
    </row>
    <row r="1057" spans="1:13" ht="149.44999999999999">
      <c r="A1057" s="22" t="s">
        <v>11</v>
      </c>
      <c r="B1057" s="3" t="s">
        <v>3382</v>
      </c>
      <c r="C1057" s="3" t="s">
        <v>3383</v>
      </c>
      <c r="D1057" s="3" t="s">
        <v>95</v>
      </c>
      <c r="E1057" s="3" t="s">
        <v>95</v>
      </c>
      <c r="F1057" s="3" t="s">
        <v>2417</v>
      </c>
      <c r="G1057" s="3" t="s">
        <v>2510</v>
      </c>
      <c r="H1057" s="3" t="s">
        <v>3384</v>
      </c>
      <c r="I1057" s="3" t="str">
        <f>HYPERLINK("http://www.jccm.es/sede/tramite/A88","DECLARACION RESPONSABLE PARA TALLERES DE TAXIDERMIA QUE TRABAJEN CON ESPECIES CINEGETICAS")</f>
        <v>DECLARACION RESPONSABLE PARA TALLERES DE TAXIDERMIA QUE TRABAJEN CON ESPECIES CINEGETICAS</v>
      </c>
      <c r="J1057" s="3" t="s">
        <v>42</v>
      </c>
      <c r="K1057" s="3" t="s">
        <v>41</v>
      </c>
      <c r="L1057" s="3" t="s">
        <v>42</v>
      </c>
      <c r="M1057" s="3" t="s">
        <v>41</v>
      </c>
    </row>
    <row r="1058" spans="1:13" ht="183.95">
      <c r="A1058" s="22" t="s">
        <v>11</v>
      </c>
      <c r="B1058" s="3" t="s">
        <v>3385</v>
      </c>
      <c r="C1058" s="3" t="s">
        <v>3386</v>
      </c>
      <c r="D1058" s="3" t="s">
        <v>95</v>
      </c>
      <c r="E1058" s="3" t="s">
        <v>95</v>
      </c>
      <c r="F1058" s="3" t="s">
        <v>2417</v>
      </c>
      <c r="G1058" s="3" t="s">
        <v>2510</v>
      </c>
      <c r="H1058" s="3" t="s">
        <v>3387</v>
      </c>
      <c r="I1058" s="3" t="str">
        <f>HYPERLINK("http://www.jccm.es/sede/tramite/KKP","DECLARACION RESPONSABLE PARA AGENTES DE LOS SECTORES INDUSTRIAL Y COMERCIAL DE LA MADERA O LOS PRODUCTOS DE MADERA QUE ACTUAN COMO AGENTES A LOS EFECTOS EL REGLAMENTO (UE) Nº 995/2010")</f>
        <v>DECLARACION RESPONSABLE PARA AGENTES DE LOS SECTORES INDUSTRIAL Y COMERCIAL DE LA MADERA O LOS PRODUCTOS DE MADERA QUE ACTUAN COMO AGENTES A LOS EFECTOS EL REGLAMENTO (UE) Nº 995/2010</v>
      </c>
      <c r="J1058" s="3" t="s">
        <v>42</v>
      </c>
      <c r="K1058" s="3" t="s">
        <v>41</v>
      </c>
      <c r="L1058" s="3" t="s">
        <v>42</v>
      </c>
      <c r="M1058" s="3" t="s">
        <v>41</v>
      </c>
    </row>
    <row r="1059" spans="1:13" ht="207">
      <c r="A1059" s="22" t="s">
        <v>11</v>
      </c>
      <c r="B1059" s="3" t="s">
        <v>3388</v>
      </c>
      <c r="C1059" s="3" t="s">
        <v>3389</v>
      </c>
      <c r="D1059" s="3" t="s">
        <v>45</v>
      </c>
      <c r="E1059" s="3" t="s">
        <v>37</v>
      </c>
      <c r="F1059" s="3" t="s">
        <v>2417</v>
      </c>
      <c r="G1059" s="3" t="s">
        <v>2418</v>
      </c>
      <c r="H1059" s="3" t="s">
        <v>3390</v>
      </c>
      <c r="I1059" s="3" t="str">
        <f>HYPERLINK("http://www.jccm.es/sede/tramite/KWE","CERTIFICACION ACREDITATIVA DE LA CUALIFICACION COMO OPERARIO CUALIFICADO EN LA INSTALACION Y/O MANTENIMIENTO DE SISTEMAS DE PROTECCION CONTRA INCENDIOS")</f>
        <v>CERTIFICACION ACREDITATIVA DE LA CUALIFICACION COMO OPERARIO CUALIFICADO EN LA INSTALACION Y/O MANTENIMIENTO DE SISTEMAS DE PROTECCION CONTRA INCENDIOS</v>
      </c>
      <c r="J1059" s="3" t="s">
        <v>42</v>
      </c>
      <c r="K1059" s="3" t="s">
        <v>41</v>
      </c>
      <c r="L1059" s="3" t="s">
        <v>42</v>
      </c>
      <c r="M1059" s="3" t="s">
        <v>41</v>
      </c>
    </row>
    <row r="1060" spans="1:13" ht="207">
      <c r="A1060" s="22" t="s">
        <v>11</v>
      </c>
      <c r="B1060" s="3" t="s">
        <v>3391</v>
      </c>
      <c r="C1060" s="3" t="s">
        <v>3392</v>
      </c>
      <c r="D1060" s="3" t="s">
        <v>51</v>
      </c>
      <c r="E1060" s="3" t="s">
        <v>37</v>
      </c>
      <c r="F1060" s="3" t="s">
        <v>2417</v>
      </c>
      <c r="G1060" s="3" t="s">
        <v>2836</v>
      </c>
      <c r="H1060" s="3" t="s">
        <v>3393</v>
      </c>
      <c r="I1060" s="3" t="str">
        <f>HYPERLINK("http://www.jccm.es/sede/tramite/JSH","INFORME EN RELACION A LOS PRECIOS DE LOS SERVICIOS PUBLICOS MUNICIPALES  SUJETOS A INTERVENCION POR PARTE DE LA JUNTA DE COMUNIDADES DE CASTILLA-LA MANCHA")</f>
        <v>INFORME EN RELACION A LOS PRECIOS DE LOS SERVICIOS PUBLICOS MUNICIPALES  SUJETOS A INTERVENCION POR PARTE DE LA JUNTA DE COMUNIDADES DE CASTILLA-LA MANCHA</v>
      </c>
      <c r="J1060" s="3" t="s">
        <v>41</v>
      </c>
      <c r="K1060" s="3" t="s">
        <v>41</v>
      </c>
      <c r="L1060" s="3" t="s">
        <v>42</v>
      </c>
      <c r="M1060" s="3" t="s">
        <v>41</v>
      </c>
    </row>
    <row r="1061" spans="1:13" ht="183.95">
      <c r="A1061" s="22" t="s">
        <v>11</v>
      </c>
      <c r="B1061" s="3" t="s">
        <v>3394</v>
      </c>
      <c r="C1061" s="3" t="s">
        <v>3395</v>
      </c>
      <c r="D1061" s="3" t="s">
        <v>95</v>
      </c>
      <c r="E1061" s="3" t="s">
        <v>95</v>
      </c>
      <c r="F1061" s="3" t="s">
        <v>2417</v>
      </c>
      <c r="G1061" s="3" t="s">
        <v>2570</v>
      </c>
      <c r="H1061" s="3" t="s">
        <v>3396</v>
      </c>
      <c r="I1061" s="3" t="str">
        <f>HYPERLINK("http://www.jccm.es/sede/tramite/L3T","DECLARACION RESPONSABLE DE HABER CONSTITUIDO LA GARANTIA FINANCIERA OBLIGATORIA O, EN SU CASO, DE QUEDAR EXENTOS DE SU CONSTITUCION")</f>
        <v>DECLARACION RESPONSABLE DE HABER CONSTITUIDO LA GARANTIA FINANCIERA OBLIGATORIA O, EN SU CASO, DE QUEDAR EXENTOS DE SU CONSTITUCION</v>
      </c>
      <c r="J1061" s="3" t="s">
        <v>42</v>
      </c>
      <c r="K1061" s="3" t="s">
        <v>41</v>
      </c>
      <c r="L1061" s="3" t="s">
        <v>42</v>
      </c>
      <c r="M1061" s="3" t="s">
        <v>41</v>
      </c>
    </row>
    <row r="1062" spans="1:13" ht="172.5">
      <c r="A1062" s="22" t="s">
        <v>11</v>
      </c>
      <c r="B1062" s="3" t="s">
        <v>3397</v>
      </c>
      <c r="C1062" s="3" t="s">
        <v>3398</v>
      </c>
      <c r="D1062" s="3" t="s">
        <v>3399</v>
      </c>
      <c r="E1062" s="3" t="s">
        <v>95</v>
      </c>
      <c r="F1062" s="3" t="s">
        <v>2417</v>
      </c>
      <c r="G1062" s="3" t="s">
        <v>2510</v>
      </c>
      <c r="H1062" s="3" t="s">
        <v>3400</v>
      </c>
      <c r="I1062" s="3" t="str">
        <f>HYPERLINK("http://www.jccm.es/sede/tramite/L54","INFORMACION SOBRE EL CARACTER AGRICOLA O FORESTAL DE UN TERRENO.")</f>
        <v>INFORMACION SOBRE EL CARACTER AGRICOLA O FORESTAL DE UN TERRENO.</v>
      </c>
      <c r="J1062" s="3" t="s">
        <v>42</v>
      </c>
      <c r="K1062" s="3" t="s">
        <v>41</v>
      </c>
      <c r="L1062" s="3" t="s">
        <v>42</v>
      </c>
      <c r="M1062" s="3" t="s">
        <v>41</v>
      </c>
    </row>
    <row r="1063" spans="1:13" ht="138">
      <c r="A1063" s="22" t="s">
        <v>11</v>
      </c>
      <c r="B1063" s="3" t="s">
        <v>3401</v>
      </c>
      <c r="C1063" s="3" t="s">
        <v>3402</v>
      </c>
      <c r="D1063" s="3" t="s">
        <v>327</v>
      </c>
      <c r="E1063" s="3" t="s">
        <v>46</v>
      </c>
      <c r="F1063" s="3" t="s">
        <v>2417</v>
      </c>
      <c r="G1063" s="3" t="s">
        <v>2510</v>
      </c>
      <c r="H1063" s="3" t="s">
        <v>3403</v>
      </c>
      <c r="I1063" s="3" t="str">
        <f>HYPERLINK("http://www.jccm.es/sede/tramite/L5L","AUTORIZACION DE INSTRUMENTOS DE GESTION FORESTAL  SOSTENIBLE")</f>
        <v>AUTORIZACION DE INSTRUMENTOS DE GESTION FORESTAL  SOSTENIBLE</v>
      </c>
      <c r="J1063" s="3" t="s">
        <v>42</v>
      </c>
      <c r="K1063" s="3" t="s">
        <v>41</v>
      </c>
      <c r="L1063" s="3" t="s">
        <v>42</v>
      </c>
      <c r="M1063" s="3" t="s">
        <v>41</v>
      </c>
    </row>
    <row r="1064" spans="1:13" ht="161.1">
      <c r="A1064" s="22" t="s">
        <v>11</v>
      </c>
      <c r="B1064" s="3" t="s">
        <v>3404</v>
      </c>
      <c r="C1064" s="3" t="s">
        <v>3405</v>
      </c>
      <c r="D1064" s="3" t="s">
        <v>95</v>
      </c>
      <c r="E1064" s="3" t="s">
        <v>95</v>
      </c>
      <c r="F1064" s="3" t="s">
        <v>2417</v>
      </c>
      <c r="G1064" s="3" t="s">
        <v>2418</v>
      </c>
      <c r="H1064" s="3" t="s">
        <v>3406</v>
      </c>
      <c r="I1064" s="3" t="str">
        <f>HYPERLINK("http://www.jccm.es/sede/tramite/LCU","ACTUALIZACION DEL INVENTARIO DE LINEAS ELECTRICAS DE ALTA TENSION EN ZONAS DE PROTECCION QUE NO SE AJUSTAN AL REAL DECRETO 1432/2008")</f>
        <v>ACTUALIZACION DEL INVENTARIO DE LINEAS ELECTRICAS DE ALTA TENSION EN ZONAS DE PROTECCION QUE NO SE AJUSTAN AL REAL DECRETO 1432/2008</v>
      </c>
      <c r="J1064" s="3" t="s">
        <v>42</v>
      </c>
      <c r="K1064" s="3" t="s">
        <v>41</v>
      </c>
      <c r="L1064" s="3" t="s">
        <v>42</v>
      </c>
      <c r="M1064" s="3" t="s">
        <v>41</v>
      </c>
    </row>
    <row r="1065" spans="1:13" ht="276">
      <c r="A1065" s="22" t="s">
        <v>11</v>
      </c>
      <c r="B1065" s="3" t="s">
        <v>3407</v>
      </c>
      <c r="C1065" s="3" t="s">
        <v>3408</v>
      </c>
      <c r="D1065" s="3" t="s">
        <v>3409</v>
      </c>
      <c r="E1065" s="3" t="s">
        <v>95</v>
      </c>
      <c r="F1065" s="3" t="s">
        <v>2417</v>
      </c>
      <c r="G1065" s="3" t="s">
        <v>2418</v>
      </c>
      <c r="H1065" s="3" t="s">
        <v>3410</v>
      </c>
      <c r="I1065" s="3" t="str">
        <f>HYPERLINK("http://www.jccm.es/sede/tramite/LD4","SOLICITUD DE INFORME FAVORABLE DE PLANES DE INVERSION DE EMPRESAS DISTRIBUIDORAS DE ENERGIA ELECTRICA")</f>
        <v>SOLICITUD DE INFORME FAVORABLE DE PLANES DE INVERSION DE EMPRESAS DISTRIBUIDORAS DE ENERGIA ELECTRICA</v>
      </c>
      <c r="J1065" s="3" t="s">
        <v>41</v>
      </c>
      <c r="K1065" s="3" t="s">
        <v>41</v>
      </c>
      <c r="L1065" s="3" t="s">
        <v>42</v>
      </c>
      <c r="M1065" s="3" t="s">
        <v>41</v>
      </c>
    </row>
    <row r="1066" spans="1:13" ht="138">
      <c r="A1066" s="22" t="s">
        <v>11</v>
      </c>
      <c r="B1066" s="3" t="s">
        <v>3411</v>
      </c>
      <c r="C1066" s="3" t="s">
        <v>3412</v>
      </c>
      <c r="D1066" s="3" t="s">
        <v>70</v>
      </c>
      <c r="E1066" s="3" t="s">
        <v>46</v>
      </c>
      <c r="F1066" s="3" t="s">
        <v>2417</v>
      </c>
      <c r="G1066" s="3" t="s">
        <v>2510</v>
      </c>
      <c r="H1066" s="3" t="s">
        <v>3413</v>
      </c>
      <c r="I1066" s="3" t="str">
        <f>HYPERLINK("http://www.jccm.es/sede/tramite/LNS","DESIGNACION COMO VOCAL DEL CONSEJO PROVINCIAL DE CAZA DE GUADALAJARA")</f>
        <v>DESIGNACION COMO VOCAL DEL CONSEJO PROVINCIAL DE CAZA DE GUADALAJARA</v>
      </c>
      <c r="J1066" s="3" t="s">
        <v>42</v>
      </c>
      <c r="K1066" s="3" t="s">
        <v>41</v>
      </c>
      <c r="L1066" s="3" t="s">
        <v>42</v>
      </c>
      <c r="M1066" s="3" t="s">
        <v>41</v>
      </c>
    </row>
    <row r="1067" spans="1:13" ht="207">
      <c r="A1067" s="22" t="s">
        <v>11</v>
      </c>
      <c r="B1067" s="3" t="s">
        <v>3414</v>
      </c>
      <c r="C1067" s="3" t="s">
        <v>3415</v>
      </c>
      <c r="D1067" s="3" t="s">
        <v>95</v>
      </c>
      <c r="E1067" s="3" t="s">
        <v>95</v>
      </c>
      <c r="F1067" s="3" t="s">
        <v>2417</v>
      </c>
      <c r="G1067" s="3" t="s">
        <v>2836</v>
      </c>
      <c r="H1067" s="3" t="s">
        <v>3416</v>
      </c>
      <c r="I1067" s="3" t="str">
        <f>HYPERLINK("http://www.jccm.es/sede/tramite/LOJ","BONO SOCIAL TERMICO. APORTACION DE DATOS PARA EL ABONO DEL BONO SOCIAL TERMICO O RENUNCIA A LA CONDICION DE PERSONA BENEFICIARIA DEL BONO SOCIAL TERMICO")</f>
        <v>BONO SOCIAL TERMICO. APORTACION DE DATOS PARA EL ABONO DEL BONO SOCIAL TERMICO O RENUNCIA A LA CONDICION DE PERSONA BENEFICIARIA DEL BONO SOCIAL TERMICO</v>
      </c>
      <c r="J1067" s="3" t="s">
        <v>42</v>
      </c>
      <c r="K1067" s="3" t="s">
        <v>41</v>
      </c>
      <c r="L1067" s="3" t="s">
        <v>42</v>
      </c>
      <c r="M1067" s="3" t="s">
        <v>41</v>
      </c>
    </row>
    <row r="1068" spans="1:13" ht="149.44999999999999">
      <c r="A1068" s="22" t="s">
        <v>11</v>
      </c>
      <c r="B1068" s="3" t="s">
        <v>3417</v>
      </c>
      <c r="C1068" s="3" t="s">
        <v>3418</v>
      </c>
      <c r="D1068" s="3" t="s">
        <v>45</v>
      </c>
      <c r="E1068" s="3" t="s">
        <v>37</v>
      </c>
      <c r="F1068" s="3" t="s">
        <v>2417</v>
      </c>
      <c r="G1068" s="3" t="s">
        <v>2418</v>
      </c>
      <c r="H1068" s="3" t="s">
        <v>3419</v>
      </c>
      <c r="I1068" s="3" t="str">
        <f>HYPERLINK("http://www.jccm.es/sede/tramite/LQD","OBTENCION O RENOVACION DEL CERTIFICADO DE APTITUD DE PERSONA OPERADORA DE MAQUINARIA MOVIL MINERA")</f>
        <v>OBTENCION O RENOVACION DEL CERTIFICADO DE APTITUD DE PERSONA OPERADORA DE MAQUINARIA MOVIL MINERA</v>
      </c>
      <c r="J1068" s="3" t="s">
        <v>42</v>
      </c>
      <c r="K1068" s="3" t="s">
        <v>41</v>
      </c>
      <c r="L1068" s="3" t="s">
        <v>42</v>
      </c>
      <c r="M1068" s="3" t="s">
        <v>41</v>
      </c>
    </row>
    <row r="1069" spans="1:13" ht="114.95">
      <c r="A1069" s="22" t="s">
        <v>11</v>
      </c>
      <c r="B1069" s="3" t="s">
        <v>3420</v>
      </c>
      <c r="C1069" s="3" t="s">
        <v>3421</v>
      </c>
      <c r="D1069" s="3" t="s">
        <v>45</v>
      </c>
      <c r="E1069" s="3" t="s">
        <v>46</v>
      </c>
      <c r="F1069" s="3" t="s">
        <v>2417</v>
      </c>
      <c r="G1069" s="3" t="s">
        <v>2417</v>
      </c>
      <c r="H1069" s="3" t="s">
        <v>3422</v>
      </c>
      <c r="I1069" s="3" t="str">
        <f>HYPERLINK("http://www.jccm.es/sede/tramite/LRL","PRUEBAS DE CONOCIMIENTOS ESPECIFICOS PARA OBTENER LA ACREDITACION DE VIGILANTE DE PESCA")</f>
        <v>PRUEBAS DE CONOCIMIENTOS ESPECIFICOS PARA OBTENER LA ACREDITACION DE VIGILANTE DE PESCA</v>
      </c>
      <c r="J1069" s="3" t="s">
        <v>42</v>
      </c>
      <c r="K1069" s="3" t="s">
        <v>41</v>
      </c>
      <c r="L1069" s="3" t="s">
        <v>42</v>
      </c>
      <c r="M1069" s="3" t="s">
        <v>41</v>
      </c>
    </row>
    <row r="1070" spans="1:13" ht="138">
      <c r="A1070" s="22" t="s">
        <v>11</v>
      </c>
      <c r="B1070" s="3" t="s">
        <v>3423</v>
      </c>
      <c r="C1070" s="3" t="s">
        <v>3424</v>
      </c>
      <c r="D1070" s="3" t="s">
        <v>3425</v>
      </c>
      <c r="E1070" s="3" t="s">
        <v>37</v>
      </c>
      <c r="F1070" s="3" t="s">
        <v>2417</v>
      </c>
      <c r="G1070" s="3" t="s">
        <v>2604</v>
      </c>
      <c r="H1070" s="3" t="s">
        <v>3426</v>
      </c>
      <c r="I1070" s="3" t="str">
        <f>HYPERLINK("http://www.jccm.es/sede/tramite/JQU","APROBACION DE PLANES TERRITORIALES PARA EL DESPLIEGUE DE REDES E INSTALACIONES DE RADIOCOMUNICACION DE OPERADORES.")</f>
        <v>APROBACION DE PLANES TERRITORIALES PARA EL DESPLIEGUE DE REDES E INSTALACIONES DE RADIOCOMUNICACION DE OPERADORES.</v>
      </c>
      <c r="J1070" s="3" t="s">
        <v>41</v>
      </c>
      <c r="K1070" s="3" t="s">
        <v>41</v>
      </c>
      <c r="L1070" s="3" t="s">
        <v>42</v>
      </c>
      <c r="M1070" s="3" t="s">
        <v>41</v>
      </c>
    </row>
    <row r="1071" spans="1:13" ht="161.1">
      <c r="A1071" s="22" t="s">
        <v>11</v>
      </c>
      <c r="B1071" s="3" t="s">
        <v>3427</v>
      </c>
      <c r="C1071" s="3" t="s">
        <v>3428</v>
      </c>
      <c r="D1071" s="3" t="s">
        <v>3425</v>
      </c>
      <c r="E1071" s="3" t="s">
        <v>37</v>
      </c>
      <c r="F1071" s="3" t="s">
        <v>2417</v>
      </c>
      <c r="G1071" s="3" t="s">
        <v>2604</v>
      </c>
      <c r="H1071" s="3" t="s">
        <v>3429</v>
      </c>
      <c r="I1071" s="3" t="str">
        <f>HYPERLINK("http://www.jccm.es/sede/tramite/JQV","COMUNICACION DE MODIFICACION DE PLANES TERRITORIALES PARA EL DESPLIEGUE DE REDES E INSTALACIONES DE RADIOCOMUNICACION DE OPERADORES.")</f>
        <v>COMUNICACION DE MODIFICACION DE PLANES TERRITORIALES PARA EL DESPLIEGUE DE REDES E INSTALACIONES DE RADIOCOMUNICACION DE OPERADORES.</v>
      </c>
      <c r="J1071" s="3" t="s">
        <v>41</v>
      </c>
      <c r="K1071" s="3" t="s">
        <v>41</v>
      </c>
      <c r="L1071" s="3" t="s">
        <v>42</v>
      </c>
      <c r="M1071" s="3" t="s">
        <v>41</v>
      </c>
    </row>
    <row r="1072" spans="1:13" ht="138">
      <c r="A1072" s="22" t="s">
        <v>11</v>
      </c>
      <c r="B1072" s="3" t="s">
        <v>3430</v>
      </c>
      <c r="C1072" s="3" t="s">
        <v>3431</v>
      </c>
      <c r="D1072" s="3" t="s">
        <v>70</v>
      </c>
      <c r="E1072" s="3" t="s">
        <v>46</v>
      </c>
      <c r="F1072" s="3" t="s">
        <v>2417</v>
      </c>
      <c r="G1072" s="3" t="s">
        <v>2510</v>
      </c>
      <c r="H1072" s="3" t="s">
        <v>3432</v>
      </c>
      <c r="I1072" s="3" t="str">
        <f>HYPERLINK("http://www.jccm.es/sede/tramite/A82","SOLICITUD DE CONSTITUCION DE COTO DE CAZA O ZONA COLECTIVA DE CAZA.")</f>
        <v>SOLICITUD DE CONSTITUCION DE COTO DE CAZA O ZONA COLECTIVA DE CAZA.</v>
      </c>
      <c r="J1072" s="3" t="s">
        <v>41</v>
      </c>
      <c r="K1072" s="3" t="s">
        <v>41</v>
      </c>
      <c r="L1072" s="3" t="s">
        <v>42</v>
      </c>
      <c r="M1072" s="3" t="s">
        <v>42</v>
      </c>
    </row>
    <row r="1073" spans="1:13" ht="138">
      <c r="A1073" s="22" t="s">
        <v>11</v>
      </c>
      <c r="B1073" s="3" t="s">
        <v>3433</v>
      </c>
      <c r="C1073" s="3" t="s">
        <v>3434</v>
      </c>
      <c r="D1073" s="3" t="s">
        <v>70</v>
      </c>
      <c r="E1073" s="3" t="s">
        <v>46</v>
      </c>
      <c r="F1073" s="3" t="s">
        <v>2417</v>
      </c>
      <c r="G1073" s="3" t="s">
        <v>2510</v>
      </c>
      <c r="H1073" s="3" t="s">
        <v>3435</v>
      </c>
      <c r="I1073" s="3" t="str">
        <f>HYPERLINK("http://www.jccm.es/sede/tramite/KT8","SOLICITUD DE MODIFICACION DE COTO DE CAZA O ZONA COLECTIVA DE CAZA.")</f>
        <v>SOLICITUD DE MODIFICACION DE COTO DE CAZA O ZONA COLECTIVA DE CAZA.</v>
      </c>
      <c r="J1073" s="3" t="s">
        <v>41</v>
      </c>
      <c r="K1073" s="3" t="s">
        <v>41</v>
      </c>
      <c r="L1073" s="3" t="s">
        <v>42</v>
      </c>
      <c r="M1073" s="3" t="s">
        <v>41</v>
      </c>
    </row>
    <row r="1074" spans="1:13" ht="138">
      <c r="A1074" s="22" t="s">
        <v>11</v>
      </c>
      <c r="B1074" s="3" t="s">
        <v>3436</v>
      </c>
      <c r="C1074" s="3" t="s">
        <v>3437</v>
      </c>
      <c r="D1074" s="3" t="s">
        <v>70</v>
      </c>
      <c r="E1074" s="3" t="s">
        <v>46</v>
      </c>
      <c r="F1074" s="3" t="s">
        <v>2417</v>
      </c>
      <c r="G1074" s="3" t="s">
        <v>2510</v>
      </c>
      <c r="H1074" s="3" t="s">
        <v>3438</v>
      </c>
      <c r="I1074" s="3" t="str">
        <f>HYPERLINK("http://www.jccm.es/sede/tramite/KT7","SOLICITUD DE CAMBIO DE TITULAR DE COTO DE CAZA O ZONA COLECTIVA DE CAZA")</f>
        <v>SOLICITUD DE CAMBIO DE TITULAR DE COTO DE CAZA O ZONA COLECTIVA DE CAZA</v>
      </c>
      <c r="J1074" s="3" t="s">
        <v>41</v>
      </c>
      <c r="K1074" s="3" t="s">
        <v>41</v>
      </c>
      <c r="L1074" s="3" t="s">
        <v>42</v>
      </c>
      <c r="M1074" s="3" t="s">
        <v>41</v>
      </c>
    </row>
    <row r="1075" spans="1:13" ht="207">
      <c r="A1075" s="22" t="s">
        <v>11</v>
      </c>
      <c r="B1075" s="3" t="s">
        <v>3439</v>
      </c>
      <c r="C1075" s="3" t="s">
        <v>3440</v>
      </c>
      <c r="D1075" s="3" t="s">
        <v>45</v>
      </c>
      <c r="E1075" s="3" t="s">
        <v>46</v>
      </c>
      <c r="F1075" s="3" t="s">
        <v>2417</v>
      </c>
      <c r="G1075" s="3" t="s">
        <v>2510</v>
      </c>
      <c r="H1075" s="3" t="s">
        <v>3441</v>
      </c>
      <c r="I1075" s="3" t="str">
        <f>HYPERLINK("http://www.jccm.es/sede/tramite/K8Q","DECLARACION PARA OBTENER LA CUALIFICACION DE ESPECIALISTA ACREDITADO/A PARA LA UTILIZACION DE METODOS DE CAPTURA DE DEPREDADORES EN CASTILLA-LA MANCHA")</f>
        <v>DECLARACION PARA OBTENER LA CUALIFICACION DE ESPECIALISTA ACREDITADO/A PARA LA UTILIZACION DE METODOS DE CAPTURA DE DEPREDADORES EN CASTILLA-LA MANCHA</v>
      </c>
      <c r="J1075" s="3" t="s">
        <v>42</v>
      </c>
      <c r="K1075" s="3" t="s">
        <v>41</v>
      </c>
      <c r="L1075" s="3" t="s">
        <v>42</v>
      </c>
      <c r="M1075" s="3" t="s">
        <v>41</v>
      </c>
    </row>
    <row r="1076" spans="1:13" ht="230.1">
      <c r="A1076" s="22" t="s">
        <v>11</v>
      </c>
      <c r="B1076" s="3" t="s">
        <v>3442</v>
      </c>
      <c r="C1076" s="3" t="s">
        <v>3443</v>
      </c>
      <c r="D1076" s="3" t="s">
        <v>45</v>
      </c>
      <c r="E1076" s="3" t="s">
        <v>46</v>
      </c>
      <c r="F1076" s="3" t="s">
        <v>2417</v>
      </c>
      <c r="G1076" s="3" t="s">
        <v>2510</v>
      </c>
      <c r="H1076" s="3" t="s">
        <v>3444</v>
      </c>
      <c r="I1076" s="3" t="str">
        <f>HYPERLINK("http://www.jccm.es/sede/tramite/K8P","PRUEBAS DE CONOCIMIENTOS ESPECIFICOS PARA ACCEDER A LA CUALIFICACION DE ESPECIALISTA ACREDITADO/A PARA EL USO DE METODOS HOMOLOGADOS DE CAPTURA DE DEPREDADORES")</f>
        <v>PRUEBAS DE CONOCIMIENTOS ESPECIFICOS PARA ACCEDER A LA CUALIFICACION DE ESPECIALISTA ACREDITADO/A PARA EL USO DE METODOS HOMOLOGADOS DE CAPTURA DE DEPREDADORES</v>
      </c>
      <c r="J1076" s="3" t="s">
        <v>42</v>
      </c>
      <c r="K1076" s="3" t="s">
        <v>41</v>
      </c>
      <c r="L1076" s="3" t="s">
        <v>42</v>
      </c>
      <c r="M1076" s="3" t="s">
        <v>41</v>
      </c>
    </row>
    <row r="1077" spans="1:13" ht="230.1">
      <c r="A1077" s="22" t="s">
        <v>11</v>
      </c>
      <c r="B1077" s="3" t="s">
        <v>3445</v>
      </c>
      <c r="C1077" s="3" t="s">
        <v>3446</v>
      </c>
      <c r="D1077" s="3" t="s">
        <v>45</v>
      </c>
      <c r="E1077" s="3" t="s">
        <v>46</v>
      </c>
      <c r="F1077" s="3" t="s">
        <v>2417</v>
      </c>
      <c r="G1077" s="3" t="s">
        <v>2418</v>
      </c>
      <c r="H1077" s="3" t="s">
        <v>3447</v>
      </c>
      <c r="I1077" s="3" t="str">
        <f>HYPERLINK("http://www.jccm.es/sede/tramite/LR5","EXPROPIACION FORZOSA PARA EL ESTABLECIMIENTO DE INSTALACIONES Y LA IMPOSICION DE SERVIDUMBRES DE PASO POR INSTALACIONES ENERGETICAS DECLARADAS DE UTILIDAD PUBLICA")</f>
        <v>EXPROPIACION FORZOSA PARA EL ESTABLECIMIENTO DE INSTALACIONES Y LA IMPOSICION DE SERVIDUMBRES DE PASO POR INSTALACIONES ENERGETICAS DECLARADAS DE UTILIDAD PUBLICA</v>
      </c>
      <c r="J1077" s="3" t="s">
        <v>42</v>
      </c>
      <c r="K1077" s="3" t="s">
        <v>41</v>
      </c>
      <c r="L1077" s="3" t="s">
        <v>42</v>
      </c>
      <c r="M1077" s="3" t="s">
        <v>41</v>
      </c>
    </row>
    <row r="1078" spans="1:13" ht="103.5">
      <c r="A1078" s="22" t="s">
        <v>11</v>
      </c>
      <c r="B1078" s="3" t="s">
        <v>3448</v>
      </c>
      <c r="C1078" s="3" t="s">
        <v>3449</v>
      </c>
      <c r="D1078" s="3" t="s">
        <v>3450</v>
      </c>
      <c r="E1078" s="3" t="s">
        <v>1368</v>
      </c>
      <c r="F1078" s="3" t="s">
        <v>2417</v>
      </c>
      <c r="G1078" s="3" t="s">
        <v>2417</v>
      </c>
      <c r="H1078" s="3" t="s">
        <v>3451</v>
      </c>
      <c r="I1078" s="3" t="str">
        <f>HYPERLINK("http://www.jccm.es/sede/tramite/LE6","PRESENTACION DE ALEGACIONES AL PROCEDIMIENTO SANCIONADOR DE LA CONSEJERIA DE DESARROLLO SOSTENIBLE")</f>
        <v>PRESENTACION DE ALEGACIONES AL PROCEDIMIENTO SANCIONADOR DE LA CONSEJERIA DE DESARROLLO SOSTENIBLE</v>
      </c>
      <c r="J1078" s="3" t="s">
        <v>42</v>
      </c>
      <c r="K1078" s="3" t="s">
        <v>41</v>
      </c>
      <c r="L1078" s="3" t="s">
        <v>42</v>
      </c>
      <c r="M1078" s="3" t="s">
        <v>41</v>
      </c>
    </row>
    <row r="1079" spans="1:13" ht="126.6">
      <c r="A1079" s="22" t="s">
        <v>11</v>
      </c>
      <c r="B1079" s="3" t="s">
        <v>3452</v>
      </c>
      <c r="C1079" s="3" t="s">
        <v>3453</v>
      </c>
      <c r="D1079" s="3" t="s">
        <v>3450</v>
      </c>
      <c r="E1079" s="3" t="s">
        <v>1368</v>
      </c>
      <c r="F1079" s="3" t="s">
        <v>2417</v>
      </c>
      <c r="G1079" s="3" t="s">
        <v>2836</v>
      </c>
      <c r="H1079" s="3" t="s">
        <v>3454</v>
      </c>
      <c r="I1079" s="3" t="str">
        <f>HYPERLINK("http://www.jccm.es/sede/tramite/LHP","ACTUACIONES DE INSPECCION Y CONTROL EN MATERIA DE CONSUMO")</f>
        <v>ACTUACIONES DE INSPECCION Y CONTROL EN MATERIA DE CONSUMO</v>
      </c>
      <c r="J1079" s="3" t="s">
        <v>42</v>
      </c>
      <c r="K1079" s="3" t="s">
        <v>41</v>
      </c>
      <c r="L1079" s="3" t="s">
        <v>42</v>
      </c>
      <c r="M1079" s="3" t="s">
        <v>41</v>
      </c>
    </row>
    <row r="1080" spans="1:13" ht="126.6">
      <c r="A1080" s="22" t="s">
        <v>11</v>
      </c>
      <c r="B1080" s="3" t="s">
        <v>3455</v>
      </c>
      <c r="C1080" s="3" t="s">
        <v>3456</v>
      </c>
      <c r="D1080" s="3" t="s">
        <v>327</v>
      </c>
      <c r="E1080" s="3" t="s">
        <v>46</v>
      </c>
      <c r="F1080" s="3" t="s">
        <v>2417</v>
      </c>
      <c r="G1080" s="3" t="s">
        <v>2836</v>
      </c>
      <c r="H1080" s="3" t="s">
        <v>3457</v>
      </c>
      <c r="I1080" s="3" t="str">
        <f>HYPERLINK("http://www.jccm.es/sede/tramite/610","ADHESION AL SISTEMA ARBITRAL DE CONSUMO")</f>
        <v>ADHESION AL SISTEMA ARBITRAL DE CONSUMO</v>
      </c>
      <c r="J1080" s="3" t="s">
        <v>42</v>
      </c>
      <c r="K1080" s="3" t="s">
        <v>41</v>
      </c>
      <c r="L1080" s="3" t="s">
        <v>42</v>
      </c>
      <c r="M1080" s="3" t="s">
        <v>41</v>
      </c>
    </row>
    <row r="1081" spans="1:13" ht="126.6">
      <c r="A1081" s="22" t="s">
        <v>11</v>
      </c>
      <c r="B1081" s="3" t="s">
        <v>3458</v>
      </c>
      <c r="C1081" s="3" t="s">
        <v>3459</v>
      </c>
      <c r="D1081" s="3" t="s">
        <v>1401</v>
      </c>
      <c r="E1081" s="3" t="s">
        <v>46</v>
      </c>
      <c r="F1081" s="3" t="s">
        <v>2417</v>
      </c>
      <c r="G1081" s="3" t="s">
        <v>2836</v>
      </c>
      <c r="H1081" s="3" t="s">
        <v>3460</v>
      </c>
      <c r="I1081" s="3" t="str">
        <f>HYPERLINK("http://www.jccm.es/sede/tramite/735","RESOLUCION ARBITRAL DE CONFLICTOS EN MATERIA DE CONSUMO")</f>
        <v>RESOLUCION ARBITRAL DE CONFLICTOS EN MATERIA DE CONSUMO</v>
      </c>
      <c r="J1081" s="3" t="s">
        <v>42</v>
      </c>
      <c r="K1081" s="3" t="s">
        <v>41</v>
      </c>
      <c r="L1081" s="3" t="s">
        <v>42</v>
      </c>
      <c r="M1081" s="3" t="s">
        <v>41</v>
      </c>
    </row>
    <row r="1082" spans="1:13" ht="126.6">
      <c r="A1082" s="22" t="s">
        <v>11</v>
      </c>
      <c r="B1082" s="3" t="s">
        <v>3461</v>
      </c>
      <c r="C1082" s="3" t="s">
        <v>3462</v>
      </c>
      <c r="D1082" s="3" t="s">
        <v>327</v>
      </c>
      <c r="E1082" s="3" t="s">
        <v>46</v>
      </c>
      <c r="F1082" s="3" t="s">
        <v>2417</v>
      </c>
      <c r="G1082" s="3" t="s">
        <v>2836</v>
      </c>
      <c r="H1082" s="3" t="s">
        <v>3463</v>
      </c>
      <c r="I1082" s="3" t="str">
        <f>HYPERLINK("http://www.jccm.es/sede/tramite/LRI","RESOLUCION EXTRAJUDICIAL DE CONFLICTOS EN MATERIA DE TRANSPORTES TERRESTRES")</f>
        <v>RESOLUCION EXTRAJUDICIAL DE CONFLICTOS EN MATERIA DE TRANSPORTES TERRESTRES</v>
      </c>
      <c r="J1082" s="3" t="s">
        <v>42</v>
      </c>
      <c r="K1082" s="3" t="s">
        <v>41</v>
      </c>
      <c r="L1082" s="3" t="s">
        <v>42</v>
      </c>
      <c r="M1082" s="3" t="s">
        <v>41</v>
      </c>
    </row>
    <row r="1083" spans="1:13" ht="126.6">
      <c r="A1083" s="22" t="s">
        <v>11</v>
      </c>
      <c r="B1083" s="3" t="s">
        <v>3464</v>
      </c>
      <c r="C1083" s="3" t="s">
        <v>3465</v>
      </c>
      <c r="D1083" s="3" t="s">
        <v>45</v>
      </c>
      <c r="E1083" s="3" t="s">
        <v>46</v>
      </c>
      <c r="F1083" s="3" t="s">
        <v>2417</v>
      </c>
      <c r="G1083" s="3" t="s">
        <v>2836</v>
      </c>
      <c r="H1083" s="3" t="s">
        <v>3466</v>
      </c>
      <c r="I1083" s="3" t="str">
        <f>HYPERLINK("http://www.jccm.es/sede/tramite/653","HOJAS DE RECLAMACIONES DE ESTABLECIMIENTOS O CENTROS")</f>
        <v>HOJAS DE RECLAMACIONES DE ESTABLECIMIENTOS O CENTROS</v>
      </c>
      <c r="J1083" s="3" t="s">
        <v>42</v>
      </c>
      <c r="K1083" s="3" t="s">
        <v>41</v>
      </c>
      <c r="L1083" s="3" t="s">
        <v>42</v>
      </c>
      <c r="M1083" s="3" t="s">
        <v>42</v>
      </c>
    </row>
    <row r="1084" spans="1:13" ht="114.95">
      <c r="A1084" s="22" t="s">
        <v>11</v>
      </c>
      <c r="B1084" s="3" t="s">
        <v>3467</v>
      </c>
      <c r="C1084" s="3" t="s">
        <v>3468</v>
      </c>
      <c r="D1084" s="3" t="s">
        <v>95</v>
      </c>
      <c r="E1084" s="3" t="s">
        <v>95</v>
      </c>
      <c r="F1084" s="3" t="s">
        <v>2417</v>
      </c>
      <c r="G1084" s="3" t="s">
        <v>2570</v>
      </c>
      <c r="H1084" s="3" t="s">
        <v>3469</v>
      </c>
      <c r="I1084" s="3" t="str">
        <f>HYPERLINK("http://www.jccm.es/sede/tramite/LEE","INFORMACION SOBRE EL SOMETIMIENTO AL PROCEDIMIENTO DE EVALUACION AMBIENTAL")</f>
        <v>INFORMACION SOBRE EL SOMETIMIENTO AL PROCEDIMIENTO DE EVALUACION AMBIENTAL</v>
      </c>
      <c r="J1084" s="3" t="s">
        <v>42</v>
      </c>
      <c r="K1084" s="3" t="s">
        <v>41</v>
      </c>
      <c r="L1084" s="3" t="s">
        <v>42</v>
      </c>
      <c r="M1084" s="3" t="s">
        <v>41</v>
      </c>
    </row>
    <row r="1085" spans="1:13" ht="126.6">
      <c r="A1085" s="22" t="s">
        <v>11</v>
      </c>
      <c r="B1085" s="3" t="s">
        <v>3470</v>
      </c>
      <c r="C1085" s="3" t="s">
        <v>3471</v>
      </c>
      <c r="D1085" s="3" t="s">
        <v>45</v>
      </c>
      <c r="E1085" s="3" t="s">
        <v>46</v>
      </c>
      <c r="F1085" s="3" t="s">
        <v>2417</v>
      </c>
      <c r="G1085" s="3" t="s">
        <v>2836</v>
      </c>
      <c r="H1085" s="3" t="s">
        <v>3472</v>
      </c>
      <c r="I1085" s="3" t="str">
        <f>HYPERLINK("http://www.jccm.es/sede/tramite/LHU","CONSULTAS EN MATERIA DE CONSUMO")</f>
        <v>CONSULTAS EN MATERIA DE CONSUMO</v>
      </c>
      <c r="J1085" s="3" t="s">
        <v>42</v>
      </c>
      <c r="K1085" s="3" t="s">
        <v>41</v>
      </c>
      <c r="L1085" s="3" t="s">
        <v>42</v>
      </c>
      <c r="M1085" s="3" t="s">
        <v>41</v>
      </c>
    </row>
    <row r="1086" spans="1:13" ht="126.6">
      <c r="A1086" s="22" t="s">
        <v>11</v>
      </c>
      <c r="B1086" s="3" t="s">
        <v>3473</v>
      </c>
      <c r="C1086" s="3" t="s">
        <v>3474</v>
      </c>
      <c r="D1086" s="3" t="s">
        <v>45</v>
      </c>
      <c r="E1086" s="3" t="s">
        <v>46</v>
      </c>
      <c r="F1086" s="3" t="s">
        <v>2417</v>
      </c>
      <c r="G1086" s="3" t="s">
        <v>2836</v>
      </c>
      <c r="H1086" s="3" t="s">
        <v>3475</v>
      </c>
      <c r="I1086" s="3" t="str">
        <f>HYPERLINK("http://www.jccm.es/sede/tramite/LHV","QUEJAS, RECLAMACIONES Y DENUNCIAS EN MATERIA DE CONSUMO")</f>
        <v>QUEJAS, RECLAMACIONES Y DENUNCIAS EN MATERIA DE CONSUMO</v>
      </c>
      <c r="J1086" s="3" t="s">
        <v>42</v>
      </c>
      <c r="K1086" s="3" t="s">
        <v>41</v>
      </c>
      <c r="L1086" s="3" t="s">
        <v>42</v>
      </c>
      <c r="M1086" s="3" t="s">
        <v>41</v>
      </c>
    </row>
    <row r="1087" spans="1:13" ht="172.5">
      <c r="A1087" s="22" t="s">
        <v>11</v>
      </c>
      <c r="B1087" s="3" t="s">
        <v>3476</v>
      </c>
      <c r="C1087" s="3" t="s">
        <v>3477</v>
      </c>
      <c r="D1087" s="3" t="s">
        <v>1571</v>
      </c>
      <c r="E1087" s="3" t="s">
        <v>46</v>
      </c>
      <c r="F1087" s="3" t="s">
        <v>2417</v>
      </c>
      <c r="G1087" s="3" t="s">
        <v>3478</v>
      </c>
      <c r="H1087" s="3" t="s">
        <v>3479</v>
      </c>
      <c r="I1087" s="3" t="str">
        <f>HYPERLINK("http://www.jccm.es/sede/tramite/L5Z","CONVOCATORIA  PROCESO  SELECTIVO PARA EL INGRESO POR EL SISTEMA GENERAL DE ACCESO LIBRE , EN EL CUERPO DE AGENTES  MEDIOAMBIENTALES.")</f>
        <v>CONVOCATORIA  PROCESO  SELECTIVO PARA EL INGRESO POR EL SISTEMA GENERAL DE ACCESO LIBRE , EN EL CUERPO DE AGENTES  MEDIOAMBIENTALES.</v>
      </c>
      <c r="J1087" s="3" t="s">
        <v>42</v>
      </c>
      <c r="K1087" s="3" t="s">
        <v>41</v>
      </c>
      <c r="L1087" s="3" t="s">
        <v>42</v>
      </c>
      <c r="M1087" s="3" t="s">
        <v>41</v>
      </c>
    </row>
    <row r="1088" spans="1:13" ht="149.44999999999999">
      <c r="A1088" s="22" t="s">
        <v>11</v>
      </c>
      <c r="B1088" s="3" t="s">
        <v>3480</v>
      </c>
      <c r="C1088" s="3" t="s">
        <v>3481</v>
      </c>
      <c r="D1088" s="3" t="s">
        <v>1571</v>
      </c>
      <c r="E1088" s="3" t="s">
        <v>46</v>
      </c>
      <c r="F1088" s="3" t="s">
        <v>2417</v>
      </c>
      <c r="G1088" s="3" t="s">
        <v>3478</v>
      </c>
      <c r="H1088" s="3" t="s">
        <v>3482</v>
      </c>
      <c r="I1088" s="3" t="str">
        <f>HYPERLINK("http://www.jccm.es/sede/tramite/LHE","SOLICITUD DE DESTINO PARA EL INGRESO POR EL SISTEMA GENERAL DE ACCESO LIBRE EN EL CUERPO DE AGENTES MEDIOAMBIENTALES")</f>
        <v>SOLICITUD DE DESTINO PARA EL INGRESO POR EL SISTEMA GENERAL DE ACCESO LIBRE EN EL CUERPO DE AGENTES MEDIOAMBIENTALES</v>
      </c>
      <c r="J1088" s="3" t="s">
        <v>41</v>
      </c>
      <c r="K1088" s="3" t="s">
        <v>41</v>
      </c>
      <c r="L1088" s="3" t="s">
        <v>42</v>
      </c>
      <c r="M1088" s="3" t="s">
        <v>41</v>
      </c>
    </row>
    <row r="1089" spans="1:13" ht="138">
      <c r="A1089" s="22" t="s">
        <v>11</v>
      </c>
      <c r="B1089" s="3" t="s">
        <v>3483</v>
      </c>
      <c r="C1089" s="3" t="s">
        <v>3484</v>
      </c>
      <c r="D1089" s="3" t="s">
        <v>3485</v>
      </c>
      <c r="E1089" s="3" t="s">
        <v>46</v>
      </c>
      <c r="F1089" s="3" t="s">
        <v>2417</v>
      </c>
      <c r="G1089" s="3" t="s">
        <v>3478</v>
      </c>
      <c r="H1089" s="3" t="s">
        <v>3486</v>
      </c>
      <c r="I1089" s="3" t="str">
        <f>HYPERLINK("http://www.jccm.es/sede/tramite/LF4","RECLAMACION DE RESPONSABILIDAD PATRIMONIAL DE LA CONSEJERIA DE DESARROLLO SOSTENIBLE")</f>
        <v>RECLAMACION DE RESPONSABILIDAD PATRIMONIAL DE LA CONSEJERIA DE DESARROLLO SOSTENIBLE</v>
      </c>
      <c r="J1089" s="3" t="s">
        <v>42</v>
      </c>
      <c r="K1089" s="3" t="s">
        <v>41</v>
      </c>
      <c r="L1089" s="3" t="s">
        <v>42</v>
      </c>
      <c r="M1089" s="3" t="s">
        <v>41</v>
      </c>
    </row>
    <row r="1090" spans="1:13" ht="126.6">
      <c r="A1090" s="22" t="s">
        <v>11</v>
      </c>
      <c r="B1090" s="3" t="s">
        <v>3487</v>
      </c>
      <c r="C1090" s="3" t="s">
        <v>3488</v>
      </c>
      <c r="D1090" s="3" t="s">
        <v>3489</v>
      </c>
      <c r="E1090" s="3" t="s">
        <v>95</v>
      </c>
      <c r="F1090" s="3" t="s">
        <v>2417</v>
      </c>
      <c r="G1090" s="3" t="s">
        <v>2418</v>
      </c>
      <c r="H1090" s="3" t="s">
        <v>3490</v>
      </c>
      <c r="I1090" s="3" t="str">
        <f>HYPERLINK("http://www.jccm.es/sede/tramite/J9W","RECLAMACION DE CONTROVERSIAS ELECTRICAS")</f>
        <v>RECLAMACION DE CONTROVERSIAS ELECTRICAS</v>
      </c>
      <c r="J1090" s="3" t="s">
        <v>42</v>
      </c>
      <c r="K1090" s="3" t="s">
        <v>41</v>
      </c>
      <c r="L1090" s="3" t="s">
        <v>42</v>
      </c>
      <c r="M1090" s="3" t="s">
        <v>41</v>
      </c>
    </row>
    <row r="1091" spans="1:13" ht="161.1">
      <c r="A1091" s="22" t="s">
        <v>11</v>
      </c>
      <c r="B1091" s="3" t="s">
        <v>3491</v>
      </c>
      <c r="C1091" s="3" t="s">
        <v>3492</v>
      </c>
      <c r="D1091" s="3" t="s">
        <v>3493</v>
      </c>
      <c r="E1091" s="3" t="s">
        <v>95</v>
      </c>
      <c r="F1091" s="3" t="s">
        <v>2417</v>
      </c>
      <c r="G1091" s="3" t="s">
        <v>2418</v>
      </c>
      <c r="H1091" s="3" t="s">
        <v>3494</v>
      </c>
      <c r="I1091" s="3" t="str">
        <f>HYPERLINK("http://www.jccm.es/sede/tramite/J9C","RECLAMACION DE CONTROVERSIAS GASISTICAS")</f>
        <v>RECLAMACION DE CONTROVERSIAS GASISTICAS</v>
      </c>
      <c r="J1091" s="3" t="s">
        <v>42</v>
      </c>
      <c r="K1091" s="3" t="s">
        <v>41</v>
      </c>
      <c r="L1091" s="3" t="s">
        <v>42</v>
      </c>
      <c r="M1091" s="3" t="s">
        <v>41</v>
      </c>
    </row>
    <row r="1092" spans="1:13" ht="138">
      <c r="A1092" s="22" t="s">
        <v>11</v>
      </c>
      <c r="B1092" s="3" t="s">
        <v>3495</v>
      </c>
      <c r="C1092" s="3" t="s">
        <v>3496</v>
      </c>
      <c r="D1092" s="3" t="s">
        <v>327</v>
      </c>
      <c r="E1092" s="3" t="s">
        <v>46</v>
      </c>
      <c r="F1092" s="3" t="s">
        <v>2417</v>
      </c>
      <c r="G1092" s="3" t="s">
        <v>2510</v>
      </c>
      <c r="H1092" s="3" t="s">
        <v>3497</v>
      </c>
      <c r="I1092" s="3" t="str">
        <f>HYPERLINK("http://www.jccm.es/sede/tramite/JJS","REGIMEN A APLICAR A LOS CONSORCIOS Y CONVENIOS DE REPOBLACION FORESTAL")</f>
        <v>REGIMEN A APLICAR A LOS CONSORCIOS Y CONVENIOS DE REPOBLACION FORESTAL</v>
      </c>
      <c r="J1092" s="3" t="s">
        <v>42</v>
      </c>
      <c r="K1092" s="3" t="s">
        <v>41</v>
      </c>
      <c r="L1092" s="3" t="s">
        <v>42</v>
      </c>
      <c r="M1092" s="3" t="s">
        <v>41</v>
      </c>
    </row>
    <row r="1093" spans="1:13" ht="138">
      <c r="A1093" s="22" t="s">
        <v>11</v>
      </c>
      <c r="B1093" s="3" t="s">
        <v>3498</v>
      </c>
      <c r="C1093" s="3" t="s">
        <v>3499</v>
      </c>
      <c r="D1093" s="3" t="s">
        <v>459</v>
      </c>
      <c r="E1093" s="3" t="s">
        <v>46</v>
      </c>
      <c r="F1093" s="3" t="s">
        <v>2417</v>
      </c>
      <c r="G1093" s="3" t="s">
        <v>2510</v>
      </c>
      <c r="H1093" s="3" t="s">
        <v>3500</v>
      </c>
      <c r="I1093" s="3" t="str">
        <f>HYPERLINK("http://www.jccm.es/sede/tramite/JYM","CONVENIO ENTIDADES COLABORADORAS PARA TRAMITAR LICENCIAS DE CAZA Y PESCA")</f>
        <v>CONVENIO ENTIDADES COLABORADORAS PARA TRAMITAR LICENCIAS DE CAZA Y PESCA</v>
      </c>
      <c r="J1093" s="3" t="s">
        <v>41</v>
      </c>
      <c r="K1093" s="3" t="s">
        <v>41</v>
      </c>
      <c r="L1093" s="3" t="s">
        <v>42</v>
      </c>
      <c r="M1093" s="3" t="s">
        <v>41</v>
      </c>
    </row>
    <row r="1094" spans="1:13" ht="138">
      <c r="A1094" s="22" t="s">
        <v>11</v>
      </c>
      <c r="B1094" s="3" t="s">
        <v>3501</v>
      </c>
      <c r="C1094" s="3" t="s">
        <v>3502</v>
      </c>
      <c r="D1094" s="3" t="s">
        <v>327</v>
      </c>
      <c r="E1094" s="3" t="s">
        <v>46</v>
      </c>
      <c r="F1094" s="3" t="s">
        <v>2417</v>
      </c>
      <c r="G1094" s="3" t="s">
        <v>2510</v>
      </c>
      <c r="H1094" s="3" t="s">
        <v>3503</v>
      </c>
      <c r="I1094" s="3" t="str">
        <f>HYPERLINK("http://www.jccm.es/sede/tramite/JKU","MODIFICACION DE CARACTERISTICAS DE LOS CONSORCIOS Y CONVENIOS DE REPOBLACION FORESTAL")</f>
        <v>MODIFICACION DE CARACTERISTICAS DE LOS CONSORCIOS Y CONVENIOS DE REPOBLACION FORESTAL</v>
      </c>
      <c r="J1094" s="3" t="s">
        <v>42</v>
      </c>
      <c r="K1094" s="3" t="s">
        <v>41</v>
      </c>
      <c r="L1094" s="3" t="s">
        <v>42</v>
      </c>
      <c r="M1094" s="3" t="s">
        <v>41</v>
      </c>
    </row>
    <row r="1095" spans="1:13" ht="126.6">
      <c r="A1095" s="22" t="s">
        <v>11</v>
      </c>
      <c r="B1095" s="3" t="s">
        <v>3504</v>
      </c>
      <c r="C1095" s="3" t="s">
        <v>3505</v>
      </c>
      <c r="D1095" s="3" t="s">
        <v>45</v>
      </c>
      <c r="E1095" s="3" t="s">
        <v>46</v>
      </c>
      <c r="F1095" s="3" t="s">
        <v>2417</v>
      </c>
      <c r="G1095" s="3" t="s">
        <v>2418</v>
      </c>
      <c r="H1095" s="3" t="s">
        <v>3506</v>
      </c>
      <c r="I1095" s="3" t="str">
        <f>HYPERLINK("http://www.jccm.es/sede/tramite/J9A","DEVOLUCION DE FIANZAS RELATIVAS A PARQUES EOLICOS")</f>
        <v>DEVOLUCION DE FIANZAS RELATIVAS A PARQUES EOLICOS</v>
      </c>
      <c r="J1095" s="3" t="s">
        <v>42</v>
      </c>
      <c r="K1095" s="3" t="s">
        <v>41</v>
      </c>
      <c r="L1095" s="3" t="s">
        <v>42</v>
      </c>
      <c r="M1095" s="3" t="s">
        <v>41</v>
      </c>
    </row>
    <row r="1096" spans="1:13" ht="126.6">
      <c r="A1096" s="22" t="s">
        <v>11</v>
      </c>
      <c r="B1096" s="3" t="s">
        <v>3507</v>
      </c>
      <c r="C1096" s="3" t="s">
        <v>3508</v>
      </c>
      <c r="D1096" s="3" t="s">
        <v>3509</v>
      </c>
      <c r="E1096" s="3" t="s">
        <v>46</v>
      </c>
      <c r="F1096" s="3" t="s">
        <v>2417</v>
      </c>
      <c r="G1096" s="3" t="s">
        <v>2418</v>
      </c>
      <c r="H1096" s="3" t="s">
        <v>3510</v>
      </c>
      <c r="I1096" s="3" t="str">
        <f>HYPERLINK("http://www.jccm.es/sede/tramite/J9N","DEVOLUCION DE FIANZA O GARANTIA DEPOSITADA PARA LA EJECUCION DE INSTALACIONES GASISTAS")</f>
        <v>DEVOLUCION DE FIANZA O GARANTIA DEPOSITADA PARA LA EJECUCION DE INSTALACIONES GASISTAS</v>
      </c>
      <c r="J1096" s="3" t="s">
        <v>41</v>
      </c>
      <c r="K1096" s="3" t="s">
        <v>41</v>
      </c>
      <c r="L1096" s="3" t="s">
        <v>42</v>
      </c>
      <c r="M1096" s="3" t="s">
        <v>41</v>
      </c>
    </row>
    <row r="1097" spans="1:13" ht="218.45">
      <c r="A1097" s="22" t="s">
        <v>11</v>
      </c>
      <c r="B1097" s="3" t="s">
        <v>3511</v>
      </c>
      <c r="C1097" s="3" t="s">
        <v>3512</v>
      </c>
      <c r="D1097" s="3" t="s">
        <v>45</v>
      </c>
      <c r="E1097" s="3" t="s">
        <v>46</v>
      </c>
      <c r="F1097" s="3" t="s">
        <v>2417</v>
      </c>
      <c r="G1097" s="3" t="s">
        <v>2418</v>
      </c>
      <c r="H1097" s="3" t="s">
        <v>3513</v>
      </c>
      <c r="I1097" s="3" t="str">
        <f>HYPERLINK("http://www.jccm.es/sede/tramite/J9V","DEVOLUCION DE GARANTIA DEPOSITADA PARA TRAMITAR LA SOLICITUD DE ACCESO A LA RED TRANSPORTE O DISTRIBUCION DE INSTALACIONES DE PRODUCCION DE ENERGIA ELECTRICA")</f>
        <v>DEVOLUCION DE GARANTIA DEPOSITADA PARA TRAMITAR LA SOLICITUD DE ACCESO A LA RED TRANSPORTE O DISTRIBUCION DE INSTALACIONES DE PRODUCCION DE ENERGIA ELECTRICA</v>
      </c>
      <c r="J1097" s="3" t="s">
        <v>42</v>
      </c>
      <c r="K1097" s="3" t="s">
        <v>41</v>
      </c>
      <c r="L1097" s="3" t="s">
        <v>42</v>
      </c>
      <c r="M1097" s="3" t="s">
        <v>41</v>
      </c>
    </row>
    <row r="1098" spans="1:13" ht="264.60000000000002">
      <c r="A1098" s="22" t="s">
        <v>11</v>
      </c>
      <c r="B1098" s="3" t="s">
        <v>3514</v>
      </c>
      <c r="C1098" s="3" t="s">
        <v>3515</v>
      </c>
      <c r="D1098" s="3" t="s">
        <v>45</v>
      </c>
      <c r="E1098" s="3" t="s">
        <v>46</v>
      </c>
      <c r="F1098" s="3" t="s">
        <v>2417</v>
      </c>
      <c r="G1098" s="3" t="s">
        <v>2418</v>
      </c>
      <c r="H1098" s="3" t="s">
        <v>3516</v>
      </c>
      <c r="I1098" s="3" t="str">
        <f>HYPERLINK("http://www.jccm.es/sede/tramite/LG0","PRESENTACION DEL RESGUARDO DE DEPOSITO DE GARANTIA PARA TRAMITAR LA SOLICITUD DE ACCESO A LAS REDES DE TRANSPORTE O DISTRIBUCION DE INSTALACIONES DE PRODUCCION DE ENERGIA ELECTRICA.")</f>
        <v>PRESENTACION DEL RESGUARDO DE DEPOSITO DE GARANTIA PARA TRAMITAR LA SOLICITUD DE ACCESO A LAS REDES DE TRANSPORTE O DISTRIBUCION DE INSTALACIONES DE PRODUCCION DE ENERGIA ELECTRICA.</v>
      </c>
      <c r="J1098" s="3" t="s">
        <v>42</v>
      </c>
      <c r="K1098" s="3" t="s">
        <v>41</v>
      </c>
      <c r="L1098" s="3" t="s">
        <v>42</v>
      </c>
      <c r="M1098" s="3" t="s">
        <v>41</v>
      </c>
    </row>
    <row r="1099" spans="1:13" ht="126.6">
      <c r="A1099" s="22" t="s">
        <v>11</v>
      </c>
      <c r="B1099" s="3" t="s">
        <v>3517</v>
      </c>
      <c r="C1099" s="3" t="s">
        <v>3518</v>
      </c>
      <c r="D1099" s="3" t="s">
        <v>95</v>
      </c>
      <c r="E1099" s="3" t="s">
        <v>95</v>
      </c>
      <c r="F1099" s="3" t="s">
        <v>2417</v>
      </c>
      <c r="G1099" s="3" t="s">
        <v>2418</v>
      </c>
      <c r="H1099" s="3" t="s">
        <v>3519</v>
      </c>
      <c r="I1099" s="3" t="str">
        <f>HYPERLINK("http://www.jccm.es/sede/tramite/JNB","DECLARACION ALTA, MODIFICACION, BAJA CANON EOLICO")</f>
        <v>DECLARACION ALTA, MODIFICACION, BAJA CANON EOLICO</v>
      </c>
      <c r="J1099" s="3" t="s">
        <v>41</v>
      </c>
      <c r="K1099" s="3" t="s">
        <v>41</v>
      </c>
      <c r="L1099" s="3" t="s">
        <v>42</v>
      </c>
      <c r="M1099" s="3" t="s">
        <v>41</v>
      </c>
    </row>
    <row r="1100" spans="1:13" ht="126.6">
      <c r="A1100" s="22" t="s">
        <v>11</v>
      </c>
      <c r="B1100" s="3" t="s">
        <v>3520</v>
      </c>
      <c r="C1100" s="3" t="s">
        <v>3521</v>
      </c>
      <c r="D1100" s="3" t="s">
        <v>95</v>
      </c>
      <c r="E1100" s="3" t="s">
        <v>95</v>
      </c>
      <c r="F1100" s="3" t="s">
        <v>2417</v>
      </c>
      <c r="G1100" s="3" t="s">
        <v>2418</v>
      </c>
      <c r="H1100" s="3" t="s">
        <v>3522</v>
      </c>
      <c r="I1100" s="3" t="str">
        <f>HYPERLINK("http://www.jccm.es/sede/tramite/JPJ","AUTOLIQUIDACION CANON EOLICO")</f>
        <v>AUTOLIQUIDACION CANON EOLICO</v>
      </c>
      <c r="J1100" s="3" t="s">
        <v>41</v>
      </c>
      <c r="K1100" s="3" t="s">
        <v>41</v>
      </c>
      <c r="L1100" s="3" t="s">
        <v>42</v>
      </c>
      <c r="M1100" s="3" t="s">
        <v>41</v>
      </c>
    </row>
    <row r="1101" spans="1:13" ht="252.95">
      <c r="A1101" s="22" t="s">
        <v>11</v>
      </c>
      <c r="B1101" s="3" t="s">
        <v>3523</v>
      </c>
      <c r="C1101" s="3" t="s">
        <v>3524</v>
      </c>
      <c r="D1101" s="3" t="s">
        <v>36</v>
      </c>
      <c r="E1101" s="3" t="s">
        <v>46</v>
      </c>
      <c r="F1101" s="3" t="s">
        <v>2417</v>
      </c>
      <c r="G1101" s="3" t="s">
        <v>3478</v>
      </c>
      <c r="H1101" s="3" t="s">
        <v>3525</v>
      </c>
      <c r="I1101" s="3" t="str">
        <f>HYPERLINK("http://www.jccm.es/sede/tramite/JWZ","CONCURSO SINGULARIZADO DE MERITOS PARA LA PROVISION DE PUESTOS DE TRABAJO, ADSCRITOS AL CUERPO DE AGENTES MEDIOAMBIENTALES, EN LA ADMINISTRACION DE LA JUNTA DE COMUNIDADES DE CASTILLA-LA MANCHA")</f>
        <v>CONCURSO SINGULARIZADO DE MERITOS PARA LA PROVISION DE PUESTOS DE TRABAJO, ADSCRITOS AL CUERPO DE AGENTES MEDIOAMBIENTALES, EN LA ADMINISTRACION DE LA JUNTA DE COMUNIDADES DE CASTILLA-LA MANCHA</v>
      </c>
      <c r="J1101" s="3" t="s">
        <v>41</v>
      </c>
      <c r="K1101" s="3" t="s">
        <v>41</v>
      </c>
      <c r="L1101" s="3" t="s">
        <v>42</v>
      </c>
      <c r="M1101" s="3" t="s">
        <v>41</v>
      </c>
    </row>
    <row r="1102" spans="1:13" ht="252.95">
      <c r="A1102" s="22" t="s">
        <v>11</v>
      </c>
      <c r="B1102" s="3" t="s">
        <v>3526</v>
      </c>
      <c r="C1102" s="3" t="s">
        <v>3527</v>
      </c>
      <c r="D1102" s="3" t="s">
        <v>192</v>
      </c>
      <c r="E1102" s="3" t="s">
        <v>46</v>
      </c>
      <c r="F1102" s="3" t="s">
        <v>2417</v>
      </c>
      <c r="G1102" s="3" t="s">
        <v>3478</v>
      </c>
      <c r="H1102" s="3" t="s">
        <v>3528</v>
      </c>
      <c r="I1102" s="3" t="str">
        <f>HYPERLINK("http://www.jccm.es/sede/tramite/LCJ","SOLICITUD DE PARTICIPACION EN LA CONVOCATORIA DE LIBRE DESIGNACION (LD DS F2/2022)")</f>
        <v>SOLICITUD DE PARTICIPACION EN LA CONVOCATORIA DE LIBRE DESIGNACION (LD DS F2/2022)</v>
      </c>
      <c r="J1102" s="3" t="s">
        <v>41</v>
      </c>
      <c r="K1102" s="3" t="s">
        <v>41</v>
      </c>
      <c r="L1102" s="3" t="s">
        <v>42</v>
      </c>
      <c r="M1102" s="3" t="s">
        <v>41</v>
      </c>
    </row>
    <row r="1103" spans="1:13" ht="252.95">
      <c r="A1103" s="22" t="s">
        <v>11</v>
      </c>
      <c r="B1103" s="3" t="s">
        <v>3529</v>
      </c>
      <c r="C1103" s="3" t="s">
        <v>3530</v>
      </c>
      <c r="D1103" s="3" t="s">
        <v>3531</v>
      </c>
      <c r="E1103" s="3" t="s">
        <v>46</v>
      </c>
      <c r="F1103" s="3" t="s">
        <v>2417</v>
      </c>
      <c r="G1103" s="3" t="s">
        <v>3478</v>
      </c>
      <c r="H1103" s="3" t="s">
        <v>3532</v>
      </c>
      <c r="I1103" s="3" t="str">
        <f>HYPERLINK("http://www.jccm.es/sede/tramite/LPX","CONCURSO GENERAL MERITOS AGENTES MEDIOAMBIENTALES")</f>
        <v>CONCURSO GENERAL MERITOS AGENTES MEDIOAMBIENTALES</v>
      </c>
      <c r="J1103" s="3" t="s">
        <v>41</v>
      </c>
      <c r="K1103" s="3" t="s">
        <v>41</v>
      </c>
      <c r="L1103" s="3" t="s">
        <v>42</v>
      </c>
      <c r="M1103" s="3" t="s">
        <v>41</v>
      </c>
    </row>
    <row r="1104" spans="1:13" ht="218.45">
      <c r="A1104" s="22" t="s">
        <v>11</v>
      </c>
      <c r="B1104" s="3" t="s">
        <v>3533</v>
      </c>
      <c r="C1104" s="3" t="s">
        <v>3534</v>
      </c>
      <c r="D1104" s="3" t="s">
        <v>3535</v>
      </c>
      <c r="E1104" s="3" t="s">
        <v>46</v>
      </c>
      <c r="F1104" s="3" t="s">
        <v>2417</v>
      </c>
      <c r="G1104" s="3" t="s">
        <v>3478</v>
      </c>
      <c r="H1104" s="3" t="s">
        <v>3536</v>
      </c>
      <c r="I1104" s="3" t="str">
        <f>HYPERLINK("http://www.jccm.es/sede/tramite/LW0","CONCURSO SINGULARIZADO DE MERITOS (CSM DS 1/2022), PARA LA PROVISION DE PUESTOS DE TRABAJO VACANTES EN LA ADMINISTRACION DE LA JUNTA DE COMUNIDADES DE CASTILLA-LA MANCHA.")</f>
        <v>CONCURSO SINGULARIZADO DE MERITOS (CSM DS 1/2022), PARA LA PROVISION DE PUESTOS DE TRABAJO VACANTES EN LA ADMINISTRACION DE LA JUNTA DE COMUNIDADES DE CASTILLA-LA MANCHA.</v>
      </c>
      <c r="J1104" s="3" t="s">
        <v>41</v>
      </c>
      <c r="K1104" s="3" t="s">
        <v>41</v>
      </c>
      <c r="L1104" s="3" t="s">
        <v>42</v>
      </c>
      <c r="M1104" s="3" t="s">
        <v>41</v>
      </c>
    </row>
    <row r="1105" spans="1:13" ht="138">
      <c r="A1105" s="22" t="s">
        <v>11</v>
      </c>
      <c r="B1105" s="3" t="s">
        <v>3537</v>
      </c>
      <c r="C1105" s="3" t="s">
        <v>3538</v>
      </c>
      <c r="D1105" s="3" t="s">
        <v>2016</v>
      </c>
      <c r="E1105" s="3" t="s">
        <v>46</v>
      </c>
      <c r="F1105" s="3" t="s">
        <v>2417</v>
      </c>
      <c r="G1105" s="3" t="s">
        <v>2510</v>
      </c>
      <c r="H1105" s="3" t="s">
        <v>3539</v>
      </c>
      <c r="I1105" s="3" t="str">
        <f>HYPERLINK("http://www.jccm.es/sede/tramite/JMP","PERMUTA DE MONTES DEMANIALES")</f>
        <v>PERMUTA DE MONTES DEMANIALES</v>
      </c>
      <c r="J1105" s="3" t="s">
        <v>42</v>
      </c>
      <c r="K1105" s="3" t="s">
        <v>41</v>
      </c>
      <c r="L1105" s="3" t="s">
        <v>42</v>
      </c>
      <c r="M1105" s="3" t="s">
        <v>41</v>
      </c>
    </row>
    <row r="1106" spans="1:13" ht="252.95">
      <c r="A1106" s="22" t="s">
        <v>11</v>
      </c>
      <c r="B1106" s="3" t="s">
        <v>3526</v>
      </c>
      <c r="C1106" s="3" t="s">
        <v>3527</v>
      </c>
      <c r="D1106" s="3" t="s">
        <v>192</v>
      </c>
      <c r="E1106" s="3" t="s">
        <v>46</v>
      </c>
      <c r="F1106" s="3" t="s">
        <v>2417</v>
      </c>
      <c r="G1106" s="3" t="s">
        <v>3478</v>
      </c>
      <c r="H1106" s="3" t="s">
        <v>3528</v>
      </c>
      <c r="I1106" s="3" t="str">
        <f>HYPERLINK("http://www.jccm.es/sede/tramite/LCJ","SOLICITUD DE PARTICIPACION EN LA CONVOCATORIA DE LIBRE DESIGNACION (LD DS F2/2022)")</f>
        <v>SOLICITUD DE PARTICIPACION EN LA CONVOCATORIA DE LIBRE DESIGNACION (LD DS F2/2022)</v>
      </c>
      <c r="J1106" s="3" t="s">
        <v>41</v>
      </c>
      <c r="K1106" s="3" t="s">
        <v>41</v>
      </c>
      <c r="L1106" s="3" t="s">
        <v>42</v>
      </c>
      <c r="M1106" s="3" t="s">
        <v>41</v>
      </c>
    </row>
    <row r="1107" spans="1:13" ht="252.95">
      <c r="A1107" s="22" t="s">
        <v>11</v>
      </c>
      <c r="B1107" s="3" t="s">
        <v>3529</v>
      </c>
      <c r="C1107" s="3" t="s">
        <v>3530</v>
      </c>
      <c r="D1107" s="3" t="s">
        <v>3531</v>
      </c>
      <c r="E1107" s="3" t="s">
        <v>46</v>
      </c>
      <c r="F1107" s="3" t="s">
        <v>2417</v>
      </c>
      <c r="G1107" s="3" t="s">
        <v>3478</v>
      </c>
      <c r="H1107" s="3" t="s">
        <v>3532</v>
      </c>
      <c r="I1107" s="3" t="str">
        <f>HYPERLINK("http://www.jccm.es/sede/tramite/LPX","CONCURSO GENERAL MERITOS AGENTES MEDIOAMBIENTALES")</f>
        <v>CONCURSO GENERAL MERITOS AGENTES MEDIOAMBIENTALES</v>
      </c>
      <c r="J1107" s="3" t="s">
        <v>41</v>
      </c>
      <c r="K1107" s="3" t="s">
        <v>41</v>
      </c>
      <c r="L1107" s="3" t="s">
        <v>42</v>
      </c>
      <c r="M1107" s="3" t="s">
        <v>41</v>
      </c>
    </row>
    <row r="1108" spans="1:13" ht="218.45">
      <c r="A1108" s="22" t="s">
        <v>11</v>
      </c>
      <c r="B1108" s="3" t="s">
        <v>3533</v>
      </c>
      <c r="C1108" s="3" t="s">
        <v>3534</v>
      </c>
      <c r="D1108" s="3" t="s">
        <v>36</v>
      </c>
      <c r="E1108" s="3" t="s">
        <v>46</v>
      </c>
      <c r="F1108" s="3" t="s">
        <v>2417</v>
      </c>
      <c r="G1108" s="3" t="s">
        <v>3478</v>
      </c>
      <c r="H1108" s="3" t="s">
        <v>3536</v>
      </c>
      <c r="I1108" s="3" t="str">
        <f>HYPERLINK("http://www.jccm.es/sede/tramite/LW0","CONCURSO SINGULARIZADO DE MERITOS (CSM DS 1/2022), PARA LA PROVISION DE PUESTOS DE TRABAJO VACANTES EN LA ADMINISTRACION DE LA JUNTA DE COMUNIDADES DE CASTILLA-LA MANCHA.")</f>
        <v>CONCURSO SINGULARIZADO DE MERITOS (CSM DS 1/2022), PARA LA PROVISION DE PUESTOS DE TRABAJO VACANTES EN LA ADMINISTRACION DE LA JUNTA DE COMUNIDADES DE CASTILLA-LA MANCHA.</v>
      </c>
      <c r="J1108" s="3" t="s">
        <v>41</v>
      </c>
      <c r="K1108" s="3" t="s">
        <v>41</v>
      </c>
      <c r="L1108" s="3" t="s">
        <v>42</v>
      </c>
      <c r="M1108" s="3" t="s">
        <v>41</v>
      </c>
    </row>
    <row r="1109" spans="1:13" ht="138">
      <c r="A1109" s="22" t="s">
        <v>11</v>
      </c>
      <c r="B1109" s="3" t="s">
        <v>3537</v>
      </c>
      <c r="C1109" s="3" t="s">
        <v>3538</v>
      </c>
      <c r="D1109" s="3" t="s">
        <v>2016</v>
      </c>
      <c r="E1109" s="3" t="s">
        <v>46</v>
      </c>
      <c r="F1109" s="3" t="s">
        <v>2417</v>
      </c>
      <c r="G1109" s="3" t="s">
        <v>2510</v>
      </c>
      <c r="H1109" s="3" t="s">
        <v>3539</v>
      </c>
      <c r="I1109" s="3" t="str">
        <f>HYPERLINK("http://www.jccm.es/sede/tramite/JMP","PERMUTA DE MONTES DEMANIALES")</f>
        <v>PERMUTA DE MONTES DEMANIALES</v>
      </c>
      <c r="J1109" s="3" t="s">
        <v>42</v>
      </c>
      <c r="K1109" s="3" t="s">
        <v>41</v>
      </c>
      <c r="L1109" s="3" t="s">
        <v>42</v>
      </c>
      <c r="M1109" s="3" t="s">
        <v>41</v>
      </c>
    </row>
    <row r="1110" spans="1:13" ht="252.95">
      <c r="A1110" s="22" t="s">
        <v>8</v>
      </c>
      <c r="B1110" s="3" t="s">
        <v>3540</v>
      </c>
      <c r="C1110" s="3" t="s">
        <v>3541</v>
      </c>
      <c r="D1110" s="3" t="s">
        <v>95</v>
      </c>
      <c r="E1110" s="3" t="s">
        <v>95</v>
      </c>
      <c r="F1110" s="3" t="s">
        <v>3542</v>
      </c>
      <c r="G1110" s="3" t="s">
        <v>3542</v>
      </c>
      <c r="H1110" s="3" t="s">
        <v>3543</v>
      </c>
      <c r="I1110" s="3" t="str">
        <f>HYPERLINK("http://www.jccm.es/sede/tramite/LSP","SOLICITUD DE PAGO Y JUSTIFICACION DE LA AYUDA DE PROYECTOS RELATIVOS A LA MEJORA DEL ABASTECIMIENTO Y REDUCCION DE PERDIDAS EN REDES DE AGUA POTABLE MUNICIPIOS MENORES DE 20.000 HABITANTES PRTR")</f>
        <v>SOLICITUD DE PAGO Y JUSTIFICACION DE LA AYUDA DE PROYECTOS RELATIVOS A LA MEJORA DEL ABASTECIMIENTO Y REDUCCION DE PERDIDAS EN REDES DE AGUA POTABLE MUNICIPIOS MENORES DE 20.000 HABITANTES PRTR</v>
      </c>
      <c r="J1110" s="3" t="s">
        <v>42</v>
      </c>
      <c r="K1110" s="3" t="s">
        <v>41</v>
      </c>
      <c r="L1110" s="3" t="s">
        <v>42</v>
      </c>
      <c r="M1110" s="3" t="s">
        <v>41</v>
      </c>
    </row>
    <row r="1111" spans="1:13" ht="276">
      <c r="A1111" s="22" t="s">
        <v>8</v>
      </c>
      <c r="B1111" s="3" t="s">
        <v>3544</v>
      </c>
      <c r="C1111" s="3" t="s">
        <v>3545</v>
      </c>
      <c r="D1111" s="3" t="s">
        <v>95</v>
      </c>
      <c r="E1111" s="3" t="s">
        <v>95</v>
      </c>
      <c r="F1111" s="3" t="s">
        <v>3542</v>
      </c>
      <c r="G1111" s="3" t="s">
        <v>3542</v>
      </c>
      <c r="H1111" s="3" t="s">
        <v>3546</v>
      </c>
      <c r="I1111" s="3" t="str">
        <f>HYPERLINK("http://www.jccm.es/sede/tramite/LSO","SOLICITUD AYUDA PARA LA SELECCION Y EJECUCION DE PROYECTOS RELATIVOS A LA MEJORA DEL ABASTECIMIENTO Y REDUCCION DE PERDIDAS EN REDES DE AGUA POTABLE MUNICIPIOS MENORES DE 20.000 HABITANTES PRTR")</f>
        <v>SOLICITUD AYUDA PARA LA SELECCION Y EJECUCION DE PROYECTOS RELATIVOS A LA MEJORA DEL ABASTECIMIENTO Y REDUCCION DE PERDIDAS EN REDES DE AGUA POTABLE MUNICIPIOS MENORES DE 20.000 HABITANTES PRTR</v>
      </c>
      <c r="J1111" s="3" t="s">
        <v>42</v>
      </c>
      <c r="K1111" s="3" t="s">
        <v>41</v>
      </c>
      <c r="L1111" s="3" t="s">
        <v>42</v>
      </c>
      <c r="M1111" s="3" t="s">
        <v>41</v>
      </c>
    </row>
    <row r="1112" spans="1:13" ht="172.5">
      <c r="A1112" s="22" t="s">
        <v>8</v>
      </c>
      <c r="B1112" s="3" t="s">
        <v>3547</v>
      </c>
      <c r="C1112" s="3" t="s">
        <v>3548</v>
      </c>
      <c r="D1112" s="3" t="s">
        <v>51</v>
      </c>
      <c r="E1112" s="3" t="s">
        <v>46</v>
      </c>
      <c r="F1112" s="3" t="s">
        <v>3542</v>
      </c>
      <c r="G1112" s="3" t="s">
        <v>3542</v>
      </c>
      <c r="H1112" s="3" t="s">
        <v>3549</v>
      </c>
      <c r="I1112" s="3" t="str">
        <f>HYPERLINK("http://www.jccm.es/sede/tramite/LJ9","PROVISION, POR EL PROCEDIMIENTO DE LIBRE DESIGNACION DE PUESTOS DE TRABAJO VACANTES EN LA AGENCIA DEL AGUA DE CASTILLA-LA MANCHA")</f>
        <v>PROVISION, POR EL PROCEDIMIENTO DE LIBRE DESIGNACION DE PUESTOS DE TRABAJO VACANTES EN LA AGENCIA DEL AGUA DE CASTILLA-LA MANCHA</v>
      </c>
      <c r="J1112" s="3" t="s">
        <v>41</v>
      </c>
      <c r="K1112" s="3" t="s">
        <v>41</v>
      </c>
      <c r="L1112" s="3" t="s">
        <v>42</v>
      </c>
      <c r="M1112" s="3" t="s">
        <v>41</v>
      </c>
    </row>
    <row r="1113" spans="1:13" ht="207">
      <c r="A1113" s="22" t="s">
        <v>8</v>
      </c>
      <c r="B1113" s="3" t="s">
        <v>3550</v>
      </c>
      <c r="C1113" s="3" t="s">
        <v>3551</v>
      </c>
      <c r="D1113" s="3" t="s">
        <v>442</v>
      </c>
      <c r="E1113" s="3" t="s">
        <v>46</v>
      </c>
      <c r="F1113" s="3" t="s">
        <v>3542</v>
      </c>
      <c r="G1113" s="3" t="s">
        <v>3542</v>
      </c>
      <c r="H1113" s="3" t="s">
        <v>3552</v>
      </c>
      <c r="I1113" s="3" t="str">
        <f>HYPERLINK("http://www.jccm.es/sede/tramite/LU2","PROVISION, POR EL PROCEDIMIENTO DE LIBRE DESIGNACION,  DE PUESTO DE TRABAJO VACANTE EN LA ADMINISTRACION DE LA JUNTA DE COMUNIDADES DE CASTILLA-LA MANCHA.")</f>
        <v>PROVISION, POR EL PROCEDIMIENTO DE LIBRE DESIGNACION,  DE PUESTO DE TRABAJO VACANTE EN LA ADMINISTRACION DE LA JUNTA DE COMUNIDADES DE CASTILLA-LA MANCHA.</v>
      </c>
      <c r="J1113" s="3" t="s">
        <v>41</v>
      </c>
      <c r="K1113" s="3" t="s">
        <v>41</v>
      </c>
      <c r="L1113" s="3" t="s">
        <v>42</v>
      </c>
      <c r="M1113" s="3" t="s">
        <v>41</v>
      </c>
    </row>
    <row r="1114" spans="1:13" ht="264.60000000000002">
      <c r="A1114" s="22" t="s">
        <v>8</v>
      </c>
      <c r="B1114" s="3" t="s">
        <v>2673</v>
      </c>
      <c r="C1114" s="3" t="s">
        <v>2674</v>
      </c>
      <c r="D1114" s="3" t="s">
        <v>95</v>
      </c>
      <c r="E1114" s="3" t="s">
        <v>95</v>
      </c>
      <c r="F1114" s="3" t="s">
        <v>2417</v>
      </c>
      <c r="G1114" s="3" t="s">
        <v>2510</v>
      </c>
      <c r="H1114" s="3" t="s">
        <v>2675</v>
      </c>
      <c r="I1114" s="3" t="str">
        <f>HYPERLINK("http://www.jccm.es/sede/tramite/JF3","COMUNICACION DE REALIZACION DE ACCIONES EXCEPCIONALES PARA EL CONTROL DE DAÑOS PRODUCIDOS POR ESPECIES CINEGETICAS AUTORIZADAS EN LA RESOLUCION APROBATORIA DEL PLAN DE ORDENACION CINEGETICA")</f>
        <v>COMUNICACION DE REALIZACION DE ACCIONES EXCEPCIONALES PARA EL CONTROL DE DAÑOS PRODUCIDOS POR ESPECIES CINEGETICAS AUTORIZADAS EN LA RESOLUCION APROBATORIA DEL PLAN DE ORDENACION CINEGETICA</v>
      </c>
      <c r="J1114" s="3" t="s">
        <v>41</v>
      </c>
      <c r="K1114" s="3" t="s">
        <v>41</v>
      </c>
      <c r="L1114" s="3" t="s">
        <v>42</v>
      </c>
      <c r="M1114" s="3" t="s">
        <v>41</v>
      </c>
    </row>
    <row r="1115" spans="1:13" ht="114.95">
      <c r="A1115" s="22" t="s">
        <v>9</v>
      </c>
      <c r="B1115" s="3" t="s">
        <v>3553</v>
      </c>
      <c r="C1115" s="3" t="s">
        <v>3554</v>
      </c>
      <c r="D1115" s="3" t="s">
        <v>45</v>
      </c>
      <c r="E1115" s="3" t="s">
        <v>46</v>
      </c>
      <c r="F1115" s="3" t="s">
        <v>3555</v>
      </c>
      <c r="G1115" s="3" t="s">
        <v>3556</v>
      </c>
      <c r="H1115" s="3" t="s">
        <v>3557</v>
      </c>
      <c r="I1115" s="3" t="str">
        <f>HYPERLINK("http://www.jccm.es/sede/tramite/258","AUTORIZACION PARA SEGREGACION DE FINCAS RUSTICAS")</f>
        <v>AUTORIZACION PARA SEGREGACION DE FINCAS RUSTICAS</v>
      </c>
      <c r="J1115" s="3" t="s">
        <v>42</v>
      </c>
      <c r="K1115" s="3" t="s">
        <v>41</v>
      </c>
      <c r="L1115" s="3" t="s">
        <v>42</v>
      </c>
      <c r="M1115" s="3" t="s">
        <v>41</v>
      </c>
    </row>
    <row r="1116" spans="1:13" ht="183.95">
      <c r="A1116" s="22" t="s">
        <v>9</v>
      </c>
      <c r="B1116" s="3" t="s">
        <v>3558</v>
      </c>
      <c r="C1116" s="3" t="s">
        <v>3559</v>
      </c>
      <c r="D1116" s="3" t="s">
        <v>45</v>
      </c>
      <c r="E1116" s="3" t="s">
        <v>37</v>
      </c>
      <c r="F1116" s="3" t="s">
        <v>3555</v>
      </c>
      <c r="G1116" s="3" t="s">
        <v>3556</v>
      </c>
      <c r="H1116" s="3" t="s">
        <v>3560</v>
      </c>
      <c r="I1116" s="3" t="str">
        <f>HYPERLINK("http://www.jccm.es/sede/tramite/JF8","AUTORIZACION DE TRANSMISIONES DE FINCAS RUSTICAS EN ZONAS CUYA TRANSFORMACION EN REGADIO HAYA SIDO DECLARADA DE INTERES REGIONAL O NACIONAL")</f>
        <v>AUTORIZACION DE TRANSMISIONES DE FINCAS RUSTICAS EN ZONAS CUYA TRANSFORMACION EN REGADIO HAYA SIDO DECLARADA DE INTERES REGIONAL O NACIONAL</v>
      </c>
      <c r="J1116" s="3" t="s">
        <v>42</v>
      </c>
      <c r="K1116" s="3" t="s">
        <v>41</v>
      </c>
      <c r="L1116" s="3" t="s">
        <v>42</v>
      </c>
      <c r="M1116" s="3" t="s">
        <v>41</v>
      </c>
    </row>
    <row r="1117" spans="1:13" ht="138">
      <c r="A1117" s="22" t="s">
        <v>9</v>
      </c>
      <c r="B1117" s="3" t="s">
        <v>3561</v>
      </c>
      <c r="C1117" s="3" t="s">
        <v>3562</v>
      </c>
      <c r="D1117" s="3" t="s">
        <v>45</v>
      </c>
      <c r="E1117" s="3" t="s">
        <v>37</v>
      </c>
      <c r="F1117" s="3" t="s">
        <v>3555</v>
      </c>
      <c r="G1117" s="3" t="s">
        <v>3556</v>
      </c>
      <c r="H1117" s="3" t="s">
        <v>3563</v>
      </c>
      <c r="I1117" s="3" t="str">
        <f>HYPERLINK("http://www.jccm.es/sede/tramite/247","AUTORIZACION DE PERMUTA DE FINCAS DE REEMPLAZO ENTRE PROPIETARIOS EN CONCENTRACIONES PARCELARIAS PUBLICAS")</f>
        <v>AUTORIZACION DE PERMUTA DE FINCAS DE REEMPLAZO ENTRE PROPIETARIOS EN CONCENTRACIONES PARCELARIAS PUBLICAS</v>
      </c>
      <c r="J1117" s="3" t="s">
        <v>42</v>
      </c>
      <c r="K1117" s="3" t="s">
        <v>41</v>
      </c>
      <c r="L1117" s="3" t="s">
        <v>42</v>
      </c>
      <c r="M1117" s="3" t="s">
        <v>41</v>
      </c>
    </row>
    <row r="1118" spans="1:13" ht="138">
      <c r="A1118" s="22" t="s">
        <v>9</v>
      </c>
      <c r="B1118" s="3" t="s">
        <v>3564</v>
      </c>
      <c r="C1118" s="3" t="s">
        <v>3565</v>
      </c>
      <c r="D1118" s="3" t="s">
        <v>51</v>
      </c>
      <c r="E1118" s="3" t="s">
        <v>37</v>
      </c>
      <c r="F1118" s="3" t="s">
        <v>3555</v>
      </c>
      <c r="G1118" s="3" t="s">
        <v>3566</v>
      </c>
      <c r="H1118" s="3" t="s">
        <v>3567</v>
      </c>
      <c r="I1118" s="3" t="str">
        <f>HYPERLINK("http://www.jccm.es/sede/tramite/E19","AUTORIZACION DE VETERINARIOS PARA LA EXPEDICION DE CERTIFICADOS O DOCUMENTOS DE ACOMPAÑAMIENTO")</f>
        <v>AUTORIZACION DE VETERINARIOS PARA LA EXPEDICION DE CERTIFICADOS O DOCUMENTOS DE ACOMPAÑAMIENTO</v>
      </c>
      <c r="J1118" s="3" t="s">
        <v>42</v>
      </c>
      <c r="K1118" s="3" t="s">
        <v>41</v>
      </c>
      <c r="L1118" s="3" t="s">
        <v>42</v>
      </c>
      <c r="M1118" s="3" t="s">
        <v>41</v>
      </c>
    </row>
    <row r="1119" spans="1:13" ht="126.6">
      <c r="A1119" s="22" t="s">
        <v>9</v>
      </c>
      <c r="B1119" s="3" t="s">
        <v>3568</v>
      </c>
      <c r="C1119" s="3" t="s">
        <v>3569</v>
      </c>
      <c r="D1119" s="3" t="s">
        <v>327</v>
      </c>
      <c r="E1119" s="3" t="s">
        <v>37</v>
      </c>
      <c r="F1119" s="3" t="s">
        <v>3555</v>
      </c>
      <c r="G1119" s="3" t="s">
        <v>3566</v>
      </c>
      <c r="H1119" s="3" t="s">
        <v>3570</v>
      </c>
      <c r="I1119" s="3" t="str">
        <f>HYPERLINK("http://www.jccm.es/sede/tramite/J6T","PASAPORTES FITOSANITARIOS - DECLARACIONES DE PRODUCCION")</f>
        <v>PASAPORTES FITOSANITARIOS - DECLARACIONES DE PRODUCCION</v>
      </c>
      <c r="J1119" s="3" t="s">
        <v>41</v>
      </c>
      <c r="K1119" s="3" t="s">
        <v>41</v>
      </c>
      <c r="L1119" s="3" t="s">
        <v>42</v>
      </c>
      <c r="M1119" s="3" t="s">
        <v>41</v>
      </c>
    </row>
    <row r="1120" spans="1:13" ht="149.44999999999999">
      <c r="A1120" s="22" t="s">
        <v>9</v>
      </c>
      <c r="B1120" s="3" t="s">
        <v>3571</v>
      </c>
      <c r="C1120" s="3" t="s">
        <v>3572</v>
      </c>
      <c r="D1120" s="3" t="s">
        <v>45</v>
      </c>
      <c r="E1120" s="3" t="s">
        <v>37</v>
      </c>
      <c r="F1120" s="3" t="s">
        <v>3555</v>
      </c>
      <c r="G1120" s="3" t="s">
        <v>3566</v>
      </c>
      <c r="H1120" s="3" t="s">
        <v>3573</v>
      </c>
      <c r="I1120" s="3" t="str">
        <f>HYPERLINK("http://www.jccm.es/sede/tramite/JGL","AUTORIZACION DE PRODUCTOR DE SEMILLAS E INCLUSION REGISTRO DE PRODUCTORES DE SEMILLAS DE CASTILLA-LA MANCHA.")</f>
        <v>AUTORIZACION DE PRODUCTOR DE SEMILLAS E INCLUSION REGISTRO DE PRODUCTORES DE SEMILLAS DE CASTILLA-LA MANCHA.</v>
      </c>
      <c r="J1120" s="3" t="s">
        <v>42</v>
      </c>
      <c r="K1120" s="3" t="s">
        <v>41</v>
      </c>
      <c r="L1120" s="3" t="s">
        <v>42</v>
      </c>
      <c r="M1120" s="3" t="s">
        <v>41</v>
      </c>
    </row>
    <row r="1121" spans="1:13" ht="126.6">
      <c r="A1121" s="22" t="s">
        <v>9</v>
      </c>
      <c r="B1121" s="3" t="s">
        <v>3574</v>
      </c>
      <c r="C1121" s="3" t="s">
        <v>3575</v>
      </c>
      <c r="D1121" s="3" t="s">
        <v>45</v>
      </c>
      <c r="E1121" s="3" t="s">
        <v>37</v>
      </c>
      <c r="F1121" s="3" t="s">
        <v>3555</v>
      </c>
      <c r="G1121" s="3" t="s">
        <v>3566</v>
      </c>
      <c r="H1121" s="3" t="s">
        <v>3576</v>
      </c>
      <c r="I1121" s="3" t="str">
        <f>HYPERLINK("http://www.jccm.es/sede/tramite/JGN","AUTORIZACION DE ACTIVIDADES DE ACONDICIONAMIENTO DE GRANO DESTINADO A LA SIEMBRA  Y REGISTRO DE TRANSFORMADORES DE CASTILLA - LA MANCHA.")</f>
        <v>AUTORIZACION DE ACTIVIDADES DE ACONDICIONAMIENTO DE GRANO DESTINADO A LA SIEMBRA  Y REGISTRO DE TRANSFORMADORES DE CASTILLA - LA MANCHA.</v>
      </c>
      <c r="J1121" s="3" t="s">
        <v>42</v>
      </c>
      <c r="K1121" s="3" t="s">
        <v>41</v>
      </c>
      <c r="L1121" s="3" t="s">
        <v>42</v>
      </c>
      <c r="M1121" s="3" t="s">
        <v>41</v>
      </c>
    </row>
    <row r="1122" spans="1:13" ht="126.6">
      <c r="A1122" s="22" t="s">
        <v>9</v>
      </c>
      <c r="B1122" s="3" t="s">
        <v>3577</v>
      </c>
      <c r="C1122" s="3" t="s">
        <v>3578</v>
      </c>
      <c r="D1122" s="3" t="s">
        <v>45</v>
      </c>
      <c r="E1122" s="3" t="s">
        <v>37</v>
      </c>
      <c r="F1122" s="3" t="s">
        <v>3555</v>
      </c>
      <c r="G1122" s="3" t="s">
        <v>3566</v>
      </c>
      <c r="H1122" s="3" t="s">
        <v>3579</v>
      </c>
      <c r="I1122" s="3" t="str">
        <f>HYPERLINK("http://www.jccm.es/sede/tramite/JIA","AUTORIZACION PARA LA REALIZACION DE CERTAMENES GANADEROS")</f>
        <v>AUTORIZACION PARA LA REALIZACION DE CERTAMENES GANADEROS</v>
      </c>
      <c r="J1122" s="3" t="s">
        <v>42</v>
      </c>
      <c r="K1122" s="3" t="s">
        <v>41</v>
      </c>
      <c r="L1122" s="3" t="s">
        <v>42</v>
      </c>
      <c r="M1122" s="3" t="s">
        <v>42</v>
      </c>
    </row>
    <row r="1123" spans="1:13" ht="126.6">
      <c r="A1123" s="22" t="s">
        <v>9</v>
      </c>
      <c r="B1123" s="3" t="s">
        <v>3580</v>
      </c>
      <c r="C1123" s="3" t="s">
        <v>3581</v>
      </c>
      <c r="D1123" s="3" t="s">
        <v>95</v>
      </c>
      <c r="E1123" s="3" t="s">
        <v>95</v>
      </c>
      <c r="F1123" s="3" t="s">
        <v>3555</v>
      </c>
      <c r="G1123" s="3" t="s">
        <v>3566</v>
      </c>
      <c r="H1123" s="3" t="s">
        <v>3582</v>
      </c>
      <c r="I1123" s="3" t="str">
        <f>HYPERLINK("http://www.jccm.es/sede/tramite/JMK","BAJA DE ANIMAL DE LA ESPECIE BOVINA POR MUERTE EN EXPLOTACION")</f>
        <v>BAJA DE ANIMAL DE LA ESPECIE BOVINA POR MUERTE EN EXPLOTACION</v>
      </c>
      <c r="J1123" s="3" t="s">
        <v>41</v>
      </c>
      <c r="K1123" s="3" t="s">
        <v>41</v>
      </c>
      <c r="L1123" s="3" t="s">
        <v>42</v>
      </c>
      <c r="M1123" s="3" t="s">
        <v>41</v>
      </c>
    </row>
    <row r="1124" spans="1:13" ht="126.6">
      <c r="A1124" s="22" t="s">
        <v>9</v>
      </c>
      <c r="B1124" s="3" t="s">
        <v>3583</v>
      </c>
      <c r="C1124" s="3" t="s">
        <v>3584</v>
      </c>
      <c r="D1124" s="3" t="s">
        <v>95</v>
      </c>
      <c r="E1124" s="3" t="s">
        <v>95</v>
      </c>
      <c r="F1124" s="3" t="s">
        <v>3555</v>
      </c>
      <c r="G1124" s="3" t="s">
        <v>3566</v>
      </c>
      <c r="H1124" s="3" t="s">
        <v>3585</v>
      </c>
      <c r="I1124" s="3" t="str">
        <f>HYPERLINK("http://www.jccm.es/sede/tramite/JOG","ALTA DE ANIMAL DE LA ESPECIE BOVINA")</f>
        <v>ALTA DE ANIMAL DE LA ESPECIE BOVINA</v>
      </c>
      <c r="J1124" s="3" t="s">
        <v>41</v>
      </c>
      <c r="K1124" s="3" t="s">
        <v>41</v>
      </c>
      <c r="L1124" s="3" t="s">
        <v>42</v>
      </c>
      <c r="M1124" s="3" t="s">
        <v>41</v>
      </c>
    </row>
    <row r="1125" spans="1:13" ht="126.6">
      <c r="A1125" s="22" t="s">
        <v>9</v>
      </c>
      <c r="B1125" s="3" t="s">
        <v>3586</v>
      </c>
      <c r="C1125" s="3" t="s">
        <v>3587</v>
      </c>
      <c r="D1125" s="3" t="s">
        <v>1655</v>
      </c>
      <c r="E1125" s="3" t="s">
        <v>95</v>
      </c>
      <c r="F1125" s="3" t="s">
        <v>3555</v>
      </c>
      <c r="G1125" s="3" t="s">
        <v>3566</v>
      </c>
      <c r="H1125" s="3" t="s">
        <v>3588</v>
      </c>
      <c r="I1125" s="3" t="str">
        <f>HYPERLINK("http://www.jccm.es/sede/tramite/JOH","ACCESO A UNIDAD GANADERA VIRTUAL Y REGISTROS DE GANADERIA")</f>
        <v>ACCESO A UNIDAD GANADERA VIRTUAL Y REGISTROS DE GANADERIA</v>
      </c>
      <c r="J1125" s="3" t="s">
        <v>41</v>
      </c>
      <c r="K1125" s="3" t="s">
        <v>41</v>
      </c>
      <c r="L1125" s="3" t="s">
        <v>42</v>
      </c>
      <c r="M1125" s="3" t="s">
        <v>41</v>
      </c>
    </row>
    <row r="1126" spans="1:13" ht="126.6">
      <c r="A1126" s="22" t="s">
        <v>9</v>
      </c>
      <c r="B1126" s="3" t="s">
        <v>3589</v>
      </c>
      <c r="C1126" s="3" t="s">
        <v>3590</v>
      </c>
      <c r="D1126" s="3" t="s">
        <v>3591</v>
      </c>
      <c r="E1126" s="3" t="s">
        <v>37</v>
      </c>
      <c r="F1126" s="3" t="s">
        <v>3555</v>
      </c>
      <c r="G1126" s="3" t="s">
        <v>3566</v>
      </c>
      <c r="H1126" s="3" t="s">
        <v>3592</v>
      </c>
      <c r="I1126" s="3" t="str">
        <f>HYPERLINK("http://www.jccm.es/sede/tramite/JTY","AUTORIZACION DE COSECHA EN VERDE DE PLANTACIONES ILEGALES")</f>
        <v>AUTORIZACION DE COSECHA EN VERDE DE PLANTACIONES ILEGALES</v>
      </c>
      <c r="J1126" s="3" t="s">
        <v>42</v>
      </c>
      <c r="K1126" s="3" t="s">
        <v>41</v>
      </c>
      <c r="L1126" s="3" t="s">
        <v>42</v>
      </c>
      <c r="M1126" s="3" t="s">
        <v>41</v>
      </c>
    </row>
    <row r="1127" spans="1:13" ht="126.6">
      <c r="A1127" s="22" t="s">
        <v>9</v>
      </c>
      <c r="B1127" s="3" t="s">
        <v>3593</v>
      </c>
      <c r="C1127" s="3" t="s">
        <v>3594</v>
      </c>
      <c r="D1127" s="3" t="s">
        <v>95</v>
      </c>
      <c r="E1127" s="3" t="s">
        <v>95</v>
      </c>
      <c r="F1127" s="3" t="s">
        <v>3555</v>
      </c>
      <c r="G1127" s="3" t="s">
        <v>3566</v>
      </c>
      <c r="H1127" s="3" t="s">
        <v>3595</v>
      </c>
      <c r="I1127" s="3" t="str">
        <f>HYPERLINK("http://www.jccm.es/sede/tramite/JV4","DECLARACION RESPONSABLE PREVIA AL INICIO DE LA EJECUCION DEL PROGRAMA ZOOSANITARIO BASICO POR EL QUE SE ESTABLECE LA VACUNACION DE RABIA DE CANIDOS, FELIDOS Y HURONES")</f>
        <v>DECLARACION RESPONSABLE PREVIA AL INICIO DE LA EJECUCION DEL PROGRAMA ZOOSANITARIO BASICO POR EL QUE SE ESTABLECE LA VACUNACION DE RABIA DE CANIDOS, FELIDOS Y HURONES</v>
      </c>
      <c r="J1127" s="3" t="s">
        <v>42</v>
      </c>
      <c r="K1127" s="3" t="s">
        <v>41</v>
      </c>
      <c r="L1127" s="3" t="s">
        <v>42</v>
      </c>
      <c r="M1127" s="3" t="s">
        <v>41</v>
      </c>
    </row>
    <row r="1128" spans="1:13" ht="126.6">
      <c r="A1128" s="22" t="s">
        <v>9</v>
      </c>
      <c r="B1128" s="3" t="s">
        <v>3596</v>
      </c>
      <c r="C1128" s="3" t="s">
        <v>3597</v>
      </c>
      <c r="D1128" s="3" t="s">
        <v>45</v>
      </c>
      <c r="E1128" s="3" t="s">
        <v>37</v>
      </c>
      <c r="F1128" s="3" t="s">
        <v>3555</v>
      </c>
      <c r="G1128" s="3" t="s">
        <v>3566</v>
      </c>
      <c r="H1128" s="3" t="s">
        <v>3598</v>
      </c>
      <c r="I1128" s="3" t="str">
        <f>HYPERLINK("http://www.jccm.es/sede/tramite/JVU","SOLICITUD DE AUTORIZACION PARA CENTROS Y ACTIVIDADES DE REPRODUCCION ANIMAL")</f>
        <v>SOLICITUD DE AUTORIZACION PARA CENTROS Y ACTIVIDADES DE REPRODUCCION ANIMAL</v>
      </c>
      <c r="J1128" s="3" t="s">
        <v>42</v>
      </c>
      <c r="K1128" s="3" t="s">
        <v>41</v>
      </c>
      <c r="L1128" s="3" t="s">
        <v>42</v>
      </c>
      <c r="M1128" s="3" t="s">
        <v>41</v>
      </c>
    </row>
    <row r="1129" spans="1:13" ht="126.6">
      <c r="A1129" s="22" t="s">
        <v>9</v>
      </c>
      <c r="B1129" s="3" t="s">
        <v>3599</v>
      </c>
      <c r="C1129" s="3" t="s">
        <v>3600</v>
      </c>
      <c r="D1129" s="3" t="s">
        <v>95</v>
      </c>
      <c r="E1129" s="3" t="s">
        <v>95</v>
      </c>
      <c r="F1129" s="3" t="s">
        <v>3555</v>
      </c>
      <c r="G1129" s="3" t="s">
        <v>3566</v>
      </c>
      <c r="H1129" s="3" t="s">
        <v>3601</v>
      </c>
      <c r="I1129" s="3" t="str">
        <f>HYPERLINK("http://www.jccm.es/sede/tramite/JW7","NOTIFICACION DE ENSAYOS CON PRODUCTOS FITOSANITARIOS")</f>
        <v>NOTIFICACION DE ENSAYOS CON PRODUCTOS FITOSANITARIOS</v>
      </c>
      <c r="J1129" s="3" t="s">
        <v>42</v>
      </c>
      <c r="K1129" s="3" t="s">
        <v>41</v>
      </c>
      <c r="L1129" s="3" t="s">
        <v>42</v>
      </c>
      <c r="M1129" s="3" t="s">
        <v>41</v>
      </c>
    </row>
    <row r="1130" spans="1:13" ht="114.95">
      <c r="A1130" s="22" t="s">
        <v>9</v>
      </c>
      <c r="B1130" s="3" t="s">
        <v>3602</v>
      </c>
      <c r="C1130" s="3" t="s">
        <v>3603</v>
      </c>
      <c r="D1130" s="3" t="s">
        <v>45</v>
      </c>
      <c r="E1130" s="3" t="s">
        <v>37</v>
      </c>
      <c r="F1130" s="3" t="s">
        <v>3555</v>
      </c>
      <c r="G1130" s="3" t="s">
        <v>3556</v>
      </c>
      <c r="H1130" s="3" t="s">
        <v>3604</v>
      </c>
      <c r="I1130" s="3" t="str">
        <f>HYPERLINK("http://www.jccm.es/sede/tramite/871","ENAJENACION O PERMUTA DE FINCAS DE MASA COMUN EN ZONAS DE CONCENTRACION PARCELARIA")</f>
        <v>ENAJENACION O PERMUTA DE FINCAS DE MASA COMUN EN ZONAS DE CONCENTRACION PARCELARIA</v>
      </c>
      <c r="J1130" s="3" t="s">
        <v>42</v>
      </c>
      <c r="K1130" s="3" t="s">
        <v>41</v>
      </c>
      <c r="L1130" s="3" t="s">
        <v>42</v>
      </c>
      <c r="M1130" s="3" t="s">
        <v>41</v>
      </c>
    </row>
    <row r="1131" spans="1:13" ht="126.6">
      <c r="A1131" s="22" t="s">
        <v>9</v>
      </c>
      <c r="B1131" s="3" t="s">
        <v>3605</v>
      </c>
      <c r="C1131" s="3" t="s">
        <v>3606</v>
      </c>
      <c r="D1131" s="3" t="s">
        <v>62</v>
      </c>
      <c r="E1131" s="3" t="s">
        <v>46</v>
      </c>
      <c r="F1131" s="3" t="s">
        <v>3555</v>
      </c>
      <c r="G1131" s="3" t="s">
        <v>3566</v>
      </c>
      <c r="H1131" s="3" t="s">
        <v>3607</v>
      </c>
      <c r="I1131" s="3" t="str">
        <f>HYPERLINK("http://www.jccm.es/sede/tramite/JWM","AUTORIZACION DE VACIO SANITARIO POR MOTIVOS EPIDEMIOLOGICOS.")</f>
        <v>AUTORIZACION DE VACIO SANITARIO POR MOTIVOS EPIDEMIOLOGICOS.</v>
      </c>
      <c r="J1131" s="3" t="s">
        <v>42</v>
      </c>
      <c r="K1131" s="3" t="s">
        <v>41</v>
      </c>
      <c r="L1131" s="3" t="s">
        <v>42</v>
      </c>
      <c r="M1131" s="3" t="s">
        <v>41</v>
      </c>
    </row>
    <row r="1132" spans="1:13" ht="172.5">
      <c r="A1132" s="22" t="s">
        <v>9</v>
      </c>
      <c r="B1132" s="3" t="s">
        <v>3608</v>
      </c>
      <c r="C1132" s="3" t="s">
        <v>3609</v>
      </c>
      <c r="D1132" s="3" t="s">
        <v>62</v>
      </c>
      <c r="E1132" s="3" t="s">
        <v>37</v>
      </c>
      <c r="F1132" s="3" t="s">
        <v>3555</v>
      </c>
      <c r="G1132" s="3" t="s">
        <v>3566</v>
      </c>
      <c r="H1132" s="3" t="s">
        <v>3610</v>
      </c>
      <c r="I1132" s="3" t="str">
        <f>HYPERLINK("http://www.jccm.es/sede/tramite/JXB","AUTORIZACION DE MATADEROS PARA EL SACRIFICIO DE ANIMALES REACCIONANTES POSITIVOS A CAMPAÑAS DE SANEAMIENTO GANADERO")</f>
        <v>AUTORIZACION DE MATADEROS PARA EL SACRIFICIO DE ANIMALES REACCIONANTES POSITIVOS A CAMPAÑAS DE SANEAMIENTO GANADERO</v>
      </c>
      <c r="J1132" s="3" t="s">
        <v>42</v>
      </c>
      <c r="K1132" s="3" t="s">
        <v>41</v>
      </c>
      <c r="L1132" s="3" t="s">
        <v>42</v>
      </c>
      <c r="M1132" s="3" t="s">
        <v>41</v>
      </c>
    </row>
    <row r="1133" spans="1:13" ht="195.6">
      <c r="A1133" s="22" t="s">
        <v>9</v>
      </c>
      <c r="B1133" s="3" t="s">
        <v>3611</v>
      </c>
      <c r="C1133" s="3" t="s">
        <v>3612</v>
      </c>
      <c r="D1133" s="3" t="s">
        <v>45</v>
      </c>
      <c r="E1133" s="3" t="s">
        <v>46</v>
      </c>
      <c r="F1133" s="3" t="s">
        <v>3555</v>
      </c>
      <c r="G1133" s="3" t="s">
        <v>3566</v>
      </c>
      <c r="H1133" s="3" t="s">
        <v>3613</v>
      </c>
      <c r="I1133" s="3" t="str">
        <f>HYPERLINK("http://www.jccm.es/sede/tramite/JXC","AUTORIZACION DE ESTABLECIMIENTOS, TRANSPORTISTAS Y USUARIOS ESPECIIFICOS DE SUBPRODUCTOS ANIMALES NO DESTINADOS A CONSUMO HUMANO (SANDACH)")</f>
        <v>AUTORIZACION DE ESTABLECIMIENTOS, TRANSPORTISTAS Y USUARIOS ESPECIIFICOS DE SUBPRODUCTOS ANIMALES NO DESTINADOS A CONSUMO HUMANO (SANDACH)</v>
      </c>
      <c r="J1133" s="3" t="s">
        <v>42</v>
      </c>
      <c r="K1133" s="3" t="s">
        <v>41</v>
      </c>
      <c r="L1133" s="3" t="s">
        <v>42</v>
      </c>
      <c r="M1133" s="3" t="s">
        <v>41</v>
      </c>
    </row>
    <row r="1134" spans="1:13" ht="183.95">
      <c r="A1134" s="22" t="s">
        <v>9</v>
      </c>
      <c r="B1134" s="3" t="s">
        <v>3614</v>
      </c>
      <c r="C1134" s="3" t="s">
        <v>3615</v>
      </c>
      <c r="D1134" s="3" t="s">
        <v>45</v>
      </c>
      <c r="E1134" s="3" t="s">
        <v>46</v>
      </c>
      <c r="F1134" s="3" t="s">
        <v>3555</v>
      </c>
      <c r="G1134" s="3" t="s">
        <v>3616</v>
      </c>
      <c r="H1134" s="3" t="s">
        <v>3617</v>
      </c>
      <c r="I1134" s="3" t="str">
        <f>HYPERLINK("http://www.jccm.es/sede/tramite/JXE","APROBACION DE PLIEGOS DE CONDICIONES DE ETIQUETADO FACULTATIVO CONDICIONADO A LA AUTORIZACION DEL ORGANISMO INDEPENDIENTE DE CONTROL")</f>
        <v>APROBACION DE PLIEGOS DE CONDICIONES DE ETIQUETADO FACULTATIVO CONDICIONADO A LA AUTORIZACION DEL ORGANISMO INDEPENDIENTE DE CONTROL</v>
      </c>
      <c r="J1134" s="3" t="s">
        <v>42</v>
      </c>
      <c r="K1134" s="3" t="s">
        <v>41</v>
      </c>
      <c r="L1134" s="3" t="s">
        <v>42</v>
      </c>
      <c r="M1134" s="3" t="s">
        <v>41</v>
      </c>
    </row>
    <row r="1135" spans="1:13" ht="207">
      <c r="A1135" s="22" t="s">
        <v>9</v>
      </c>
      <c r="B1135" s="3" t="s">
        <v>3618</v>
      </c>
      <c r="C1135" s="3" t="s">
        <v>3619</v>
      </c>
      <c r="D1135" s="3" t="s">
        <v>45</v>
      </c>
      <c r="E1135" s="3" t="s">
        <v>37</v>
      </c>
      <c r="F1135" s="3" t="s">
        <v>3555</v>
      </c>
      <c r="G1135" s="3" t="s">
        <v>3566</v>
      </c>
      <c r="H1135" s="3" t="s">
        <v>3620</v>
      </c>
      <c r="I1135" s="3" t="str">
        <f>HYPERLINK("http://www.jccm.es/sede/tramite/JXF","DESIGNACION DE  ORGANISMOS, INSTITUCIONES Y ENTIDADES ORGANIZADORAS DE CURSOS DE MANIPULADOR DE PRODUCTOS FITOSANITARIOS Y SUS MODIFICACIONES.")</f>
        <v>DESIGNACION DE  ORGANISMOS, INSTITUCIONES Y ENTIDADES ORGANIZADORAS DE CURSOS DE MANIPULADOR DE PRODUCTOS FITOSANITARIOS Y SUS MODIFICACIONES.</v>
      </c>
      <c r="J1135" s="3" t="s">
        <v>41</v>
      </c>
      <c r="K1135" s="3" t="s">
        <v>41</v>
      </c>
      <c r="L1135" s="3" t="s">
        <v>42</v>
      </c>
      <c r="M1135" s="3" t="s">
        <v>41</v>
      </c>
    </row>
    <row r="1136" spans="1:13" ht="126.6">
      <c r="A1136" s="22" t="s">
        <v>9</v>
      </c>
      <c r="B1136" s="3" t="s">
        <v>3621</v>
      </c>
      <c r="C1136" s="3" t="s">
        <v>3622</v>
      </c>
      <c r="D1136" s="3" t="s">
        <v>45</v>
      </c>
      <c r="E1136" s="3" t="s">
        <v>37</v>
      </c>
      <c r="F1136" s="3" t="s">
        <v>3555</v>
      </c>
      <c r="G1136" s="3" t="s">
        <v>3566</v>
      </c>
      <c r="H1136" s="3" t="s">
        <v>3623</v>
      </c>
      <c r="I1136" s="3" t="str">
        <f>HYPERLINK("http://www.jccm.es/sede/tramite/JZG","ACREDITACION DE ASESOR EN GESTION INTEGRADA DE PLAGAS")</f>
        <v>ACREDITACION DE ASESOR EN GESTION INTEGRADA DE PLAGAS</v>
      </c>
      <c r="J1136" s="3" t="s">
        <v>42</v>
      </c>
      <c r="K1136" s="3" t="s">
        <v>41</v>
      </c>
      <c r="L1136" s="3" t="s">
        <v>42</v>
      </c>
      <c r="M1136" s="3" t="s">
        <v>41</v>
      </c>
    </row>
    <row r="1137" spans="1:13" ht="126.6">
      <c r="A1137" s="22" t="s">
        <v>9</v>
      </c>
      <c r="B1137" s="3" t="s">
        <v>3624</v>
      </c>
      <c r="C1137" s="3" t="s">
        <v>3625</v>
      </c>
      <c r="D1137" s="3" t="s">
        <v>2026</v>
      </c>
      <c r="E1137" s="3" t="s">
        <v>46</v>
      </c>
      <c r="F1137" s="3" t="s">
        <v>3555</v>
      </c>
      <c r="G1137" s="3" t="s">
        <v>3566</v>
      </c>
      <c r="H1137" s="3" t="s">
        <v>3626</v>
      </c>
      <c r="I1137" s="3" t="str">
        <f>HYPERLINK("http://www.jccm.es/sede/tramite/JZZ","OBTENCION GUIA DE ORIGEN Y SANIDAD PECUARIA")</f>
        <v>OBTENCION GUIA DE ORIGEN Y SANIDAD PECUARIA</v>
      </c>
      <c r="J1137" s="3" t="s">
        <v>41</v>
      </c>
      <c r="K1137" s="3" t="s">
        <v>41</v>
      </c>
      <c r="L1137" s="3" t="s">
        <v>42</v>
      </c>
      <c r="M1137" s="3" t="s">
        <v>41</v>
      </c>
    </row>
    <row r="1138" spans="1:13" ht="126.6">
      <c r="A1138" s="22" t="s">
        <v>9</v>
      </c>
      <c r="B1138" s="3" t="s">
        <v>3627</v>
      </c>
      <c r="C1138" s="3" t="s">
        <v>3628</v>
      </c>
      <c r="D1138" s="3" t="s">
        <v>327</v>
      </c>
      <c r="E1138" s="3" t="s">
        <v>37</v>
      </c>
      <c r="F1138" s="3" t="s">
        <v>3555</v>
      </c>
      <c r="G1138" s="3" t="s">
        <v>3566</v>
      </c>
      <c r="H1138" s="3" t="s">
        <v>3629</v>
      </c>
      <c r="I1138" s="3" t="str">
        <f>HYPERLINK("http://www.jccm.es/sede/tramite/K18","AUTORIZACION DE TRATAMIENTOS AEREOS CON PRODUCTOS FITOSANITARIOS.")</f>
        <v>AUTORIZACION DE TRATAMIENTOS AEREOS CON PRODUCTOS FITOSANITARIOS.</v>
      </c>
      <c r="J1138" s="3" t="s">
        <v>42</v>
      </c>
      <c r="K1138" s="3" t="s">
        <v>41</v>
      </c>
      <c r="L1138" s="3" t="s">
        <v>42</v>
      </c>
      <c r="M1138" s="3" t="s">
        <v>41</v>
      </c>
    </row>
    <row r="1139" spans="1:13" ht="138">
      <c r="A1139" s="22" t="s">
        <v>9</v>
      </c>
      <c r="B1139" s="3" t="s">
        <v>3630</v>
      </c>
      <c r="C1139" s="3" t="s">
        <v>3631</v>
      </c>
      <c r="D1139" s="3" t="s">
        <v>3632</v>
      </c>
      <c r="E1139" s="3" t="s">
        <v>46</v>
      </c>
      <c r="F1139" s="3" t="s">
        <v>3555</v>
      </c>
      <c r="G1139" s="3" t="s">
        <v>3566</v>
      </c>
      <c r="H1139" s="3" t="s">
        <v>3633</v>
      </c>
      <c r="I1139" s="3" t="str">
        <f>HYPERLINK("http://www.jccm.es/sede/tramite/K1D","AUTORIZACION TERCEROS UNIDAD GANADERA VIRTUAL.")</f>
        <v>AUTORIZACION TERCEROS UNIDAD GANADERA VIRTUAL.</v>
      </c>
      <c r="J1139" s="3" t="s">
        <v>41</v>
      </c>
      <c r="K1139" s="3" t="s">
        <v>41</v>
      </c>
      <c r="L1139" s="3" t="s">
        <v>42</v>
      </c>
      <c r="M1139" s="3" t="s">
        <v>41</v>
      </c>
    </row>
    <row r="1140" spans="1:13" ht="183.95">
      <c r="A1140" s="22" t="s">
        <v>9</v>
      </c>
      <c r="B1140" s="3" t="s">
        <v>3634</v>
      </c>
      <c r="C1140" s="3" t="s">
        <v>3635</v>
      </c>
      <c r="D1140" s="3" t="s">
        <v>70</v>
      </c>
      <c r="E1140" s="3" t="s">
        <v>37</v>
      </c>
      <c r="F1140" s="3" t="s">
        <v>3555</v>
      </c>
      <c r="G1140" s="3" t="s">
        <v>3566</v>
      </c>
      <c r="H1140" s="3" t="s">
        <v>3636</v>
      </c>
      <c r="I1140" s="3" t="str">
        <f>HYPERLINK("http://www.jccm.es/sede/tramite/K3C","AUTORIZACION DE LOS ORGANOS HABILITADOS PARA LA EVALUACION DE PROYECTOS DE INVESTIGACION QUE UTILICEN ANIMALES CON FINES EXPERIMENTALES")</f>
        <v>AUTORIZACION DE LOS ORGANOS HABILITADOS PARA LA EVALUACION DE PROYECTOS DE INVESTIGACION QUE UTILICEN ANIMALES CON FINES EXPERIMENTALES</v>
      </c>
      <c r="J1140" s="3" t="s">
        <v>42</v>
      </c>
      <c r="K1140" s="3" t="s">
        <v>41</v>
      </c>
      <c r="L1140" s="3" t="s">
        <v>42</v>
      </c>
      <c r="M1140" s="3" t="s">
        <v>41</v>
      </c>
    </row>
    <row r="1141" spans="1:13" ht="299.10000000000002">
      <c r="A1141" s="22" t="s">
        <v>9</v>
      </c>
      <c r="B1141" s="3" t="s">
        <v>3637</v>
      </c>
      <c r="C1141" s="3" t="s">
        <v>3638</v>
      </c>
      <c r="D1141" s="3" t="s">
        <v>3639</v>
      </c>
      <c r="E1141" s="3" t="s">
        <v>37</v>
      </c>
      <c r="F1141" s="3" t="s">
        <v>3555</v>
      </c>
      <c r="G1141" s="3" t="s">
        <v>3566</v>
      </c>
      <c r="H1141" s="3" t="s">
        <v>3640</v>
      </c>
      <c r="I1141" s="3" t="str">
        <f>HYPERLINK("http://www.jccm.es/sede/tramite/K3D","AUTORIZACION DE LOS PROYECTOS DE INVESTIGACION QUE UTILICEN ANIMALES CON FINES EXPERIMENTALES")</f>
        <v>AUTORIZACION DE LOS PROYECTOS DE INVESTIGACION QUE UTILICEN ANIMALES CON FINES EXPERIMENTALES</v>
      </c>
      <c r="J1141" s="3" t="s">
        <v>42</v>
      </c>
      <c r="K1141" s="3" t="s">
        <v>41</v>
      </c>
      <c r="L1141" s="3" t="s">
        <v>42</v>
      </c>
      <c r="M1141" s="3" t="s">
        <v>41</v>
      </c>
    </row>
    <row r="1142" spans="1:13" ht="149.44999999999999">
      <c r="A1142" s="22" t="s">
        <v>9</v>
      </c>
      <c r="B1142" s="3" t="s">
        <v>3641</v>
      </c>
      <c r="C1142" s="3" t="s">
        <v>3642</v>
      </c>
      <c r="D1142" s="3" t="s">
        <v>95</v>
      </c>
      <c r="E1142" s="3" t="s">
        <v>95</v>
      </c>
      <c r="F1142" s="3" t="s">
        <v>3555</v>
      </c>
      <c r="G1142" s="3" t="s">
        <v>3643</v>
      </c>
      <c r="H1142" s="3" t="s">
        <v>3644</v>
      </c>
      <c r="I1142" s="3" t="str">
        <f>HYPERLINK("http://www.jccm.es/sede/tramite/K3F","COMUNICACION DE LA CESION DE LOS DERECHOS DE COBRO DE SUBVENCIONES CUYO PAGO COMPETE AL ORGANISMO PAGADOR DE CASTILLA-LA MANCHA.")</f>
        <v>COMUNICACION DE LA CESION DE LOS DERECHOS DE COBRO DE SUBVENCIONES CUYO PAGO COMPETE AL ORGANISMO PAGADOR DE CASTILLA-LA MANCHA.</v>
      </c>
      <c r="J1142" s="3" t="s">
        <v>42</v>
      </c>
      <c r="K1142" s="3" t="s">
        <v>41</v>
      </c>
      <c r="L1142" s="3" t="s">
        <v>42</v>
      </c>
      <c r="M1142" s="3" t="s">
        <v>41</v>
      </c>
    </row>
    <row r="1143" spans="1:13" ht="126.6">
      <c r="A1143" s="22" t="s">
        <v>9</v>
      </c>
      <c r="B1143" s="3" t="s">
        <v>3645</v>
      </c>
      <c r="C1143" s="3" t="s">
        <v>3646</v>
      </c>
      <c r="D1143" s="3" t="s">
        <v>327</v>
      </c>
      <c r="E1143" s="3" t="s">
        <v>46</v>
      </c>
      <c r="F1143" s="3" t="s">
        <v>3555</v>
      </c>
      <c r="G1143" s="3" t="s">
        <v>3566</v>
      </c>
      <c r="H1143" s="3" t="s">
        <v>3647</v>
      </c>
      <c r="I1143" s="3" t="str">
        <f>HYPERLINK("http://www.jccm.es/sede/tramite/K5N","COMUNICACION DE CAMBIO DE DIRECTOR/TECNICO DE APOYO DE UNA SOLICITUD DE REESTRUCTURACION")</f>
        <v>COMUNICACION DE CAMBIO DE DIRECTOR/TECNICO DE APOYO DE UNA SOLICITUD DE REESTRUCTURACION</v>
      </c>
      <c r="J1143" s="3" t="s">
        <v>41</v>
      </c>
      <c r="K1143" s="3" t="s">
        <v>41</v>
      </c>
      <c r="L1143" s="3" t="s">
        <v>42</v>
      </c>
      <c r="M1143" s="3" t="s">
        <v>41</v>
      </c>
    </row>
    <row r="1144" spans="1:13" ht="138">
      <c r="A1144" s="22" t="s">
        <v>9</v>
      </c>
      <c r="B1144" s="3" t="s">
        <v>3648</v>
      </c>
      <c r="C1144" s="3" t="s">
        <v>3649</v>
      </c>
      <c r="D1144" s="3" t="s">
        <v>95</v>
      </c>
      <c r="E1144" s="3" t="s">
        <v>95</v>
      </c>
      <c r="F1144" s="3" t="s">
        <v>3555</v>
      </c>
      <c r="G1144" s="3" t="s">
        <v>3566</v>
      </c>
      <c r="H1144" s="3" t="s">
        <v>3650</v>
      </c>
      <c r="I1144" s="3" t="str">
        <f>HYPERLINK("http://www.jccm.es/sede/tramite/K5Z","COMUNICACION DE LAS EDICIONES DE CURSOS DE MANIPULADOR DE PRODUCTOS FITOSANITARIOS Y SUS MODIFICACIONES.")</f>
        <v>COMUNICACION DE LAS EDICIONES DE CURSOS DE MANIPULADOR DE PRODUCTOS FITOSANITARIOS Y SUS MODIFICACIONES.</v>
      </c>
      <c r="J1144" s="3" t="s">
        <v>41</v>
      </c>
      <c r="K1144" s="3" t="s">
        <v>41</v>
      </c>
      <c r="L1144" s="3" t="s">
        <v>42</v>
      </c>
      <c r="M1144" s="3" t="s">
        <v>41</v>
      </c>
    </row>
    <row r="1145" spans="1:13" ht="138">
      <c r="A1145" s="22" t="s">
        <v>9</v>
      </c>
      <c r="B1145" s="3" t="s">
        <v>3651</v>
      </c>
      <c r="C1145" s="3" t="s">
        <v>3652</v>
      </c>
      <c r="D1145" s="3" t="s">
        <v>1727</v>
      </c>
      <c r="E1145" s="3" t="s">
        <v>46</v>
      </c>
      <c r="F1145" s="3" t="s">
        <v>3555</v>
      </c>
      <c r="G1145" s="3" t="s">
        <v>3616</v>
      </c>
      <c r="H1145" s="3" t="s">
        <v>3653</v>
      </c>
      <c r="I1145" s="3" t="str">
        <f>HYPERLINK("http://www.jccm.es/sede/tramite/K7G","AUTORIZACION DE ENTIDADES DE CONTROL DE PRODUCTOS AGROALIMENTARIOS DE CASTILLA-LA MANCHA")</f>
        <v>AUTORIZACION DE ENTIDADES DE CONTROL DE PRODUCTOS AGROALIMENTARIOS DE CASTILLA-LA MANCHA</v>
      </c>
      <c r="J1145" s="3" t="s">
        <v>41</v>
      </c>
      <c r="K1145" s="3" t="s">
        <v>41</v>
      </c>
      <c r="L1145" s="3" t="s">
        <v>42</v>
      </c>
      <c r="M1145" s="3" t="s">
        <v>41</v>
      </c>
    </row>
    <row r="1146" spans="1:13" ht="161.1">
      <c r="A1146" s="22" t="s">
        <v>9</v>
      </c>
      <c r="B1146" s="3" t="s">
        <v>3654</v>
      </c>
      <c r="C1146" s="3" t="s">
        <v>3655</v>
      </c>
      <c r="D1146" s="3" t="s">
        <v>327</v>
      </c>
      <c r="E1146" s="3" t="s">
        <v>37</v>
      </c>
      <c r="F1146" s="3" t="s">
        <v>3555</v>
      </c>
      <c r="G1146" s="3" t="s">
        <v>3566</v>
      </c>
      <c r="H1146" s="3" t="s">
        <v>3656</v>
      </c>
      <c r="I1146" s="3" t="str">
        <f>HYPERLINK("http://www.jccm.es/sede/tramite/K9V","AUTORIZACION PARA LA INSTALACION Y USO DEL SISTEMA DE HIDROLISIS")</f>
        <v>AUTORIZACION PARA LA INSTALACION Y USO DEL SISTEMA DE HIDROLISIS</v>
      </c>
      <c r="J1146" s="3" t="s">
        <v>42</v>
      </c>
      <c r="K1146" s="3" t="s">
        <v>41</v>
      </c>
      <c r="L1146" s="3" t="s">
        <v>42</v>
      </c>
      <c r="M1146" s="3" t="s">
        <v>41</v>
      </c>
    </row>
    <row r="1147" spans="1:13" ht="183.95">
      <c r="A1147" s="22" t="s">
        <v>9</v>
      </c>
      <c r="B1147" s="3" t="s">
        <v>3657</v>
      </c>
      <c r="C1147" s="3" t="s">
        <v>3658</v>
      </c>
      <c r="D1147" s="3" t="s">
        <v>95</v>
      </c>
      <c r="E1147" s="3" t="s">
        <v>95</v>
      </c>
      <c r="F1147" s="3" t="s">
        <v>3555</v>
      </c>
      <c r="G1147" s="3" t="s">
        <v>3566</v>
      </c>
      <c r="H1147" s="3" t="s">
        <v>3659</v>
      </c>
      <c r="I1147" s="3" t="str">
        <f>HYPERLINK("http://www.jccm.es/sede/tramite/K9W","COMUNICACION PREVIA DE RECOGIDA DE MATERIAL HIDROLIZADO")</f>
        <v>COMUNICACION PREVIA DE RECOGIDA DE MATERIAL HIDROLIZADO</v>
      </c>
      <c r="J1147" s="3" t="s">
        <v>42</v>
      </c>
      <c r="K1147" s="3" t="s">
        <v>41</v>
      </c>
      <c r="L1147" s="3" t="s">
        <v>42</v>
      </c>
      <c r="M1147" s="3" t="s">
        <v>41</v>
      </c>
    </row>
    <row r="1148" spans="1:13" ht="126.6">
      <c r="A1148" s="22" t="s">
        <v>9</v>
      </c>
      <c r="B1148" s="3" t="s">
        <v>3660</v>
      </c>
      <c r="C1148" s="3" t="s">
        <v>3661</v>
      </c>
      <c r="D1148" s="3" t="s">
        <v>62</v>
      </c>
      <c r="E1148" s="3" t="s">
        <v>46</v>
      </c>
      <c r="F1148" s="3" t="s">
        <v>3555</v>
      </c>
      <c r="G1148" s="3" t="s">
        <v>3566</v>
      </c>
      <c r="H1148" s="3" t="s">
        <v>3662</v>
      </c>
      <c r="I1148" s="3" t="str">
        <f>HYPERLINK("http://www.jccm.es/sede/tramite/KAK","AUTORIZACION DE ACCESO A SIEMBRA WEB")</f>
        <v>AUTORIZACION DE ACCESO A SIEMBRA WEB</v>
      </c>
      <c r="J1148" s="3" t="s">
        <v>41</v>
      </c>
      <c r="K1148" s="3" t="s">
        <v>41</v>
      </c>
      <c r="L1148" s="3" t="s">
        <v>42</v>
      </c>
      <c r="M1148" s="3" t="s">
        <v>41</v>
      </c>
    </row>
    <row r="1149" spans="1:13" ht="126.6">
      <c r="A1149" s="22" t="s">
        <v>9</v>
      </c>
      <c r="B1149" s="3" t="s">
        <v>3663</v>
      </c>
      <c r="C1149" s="3" t="s">
        <v>3664</v>
      </c>
      <c r="D1149" s="3" t="s">
        <v>1323</v>
      </c>
      <c r="E1149" s="3" t="s">
        <v>37</v>
      </c>
      <c r="F1149" s="3" t="s">
        <v>3555</v>
      </c>
      <c r="G1149" s="3" t="s">
        <v>3566</v>
      </c>
      <c r="H1149" s="3" t="s">
        <v>3665</v>
      </c>
      <c r="I1149" s="3" t="str">
        <f>HYPERLINK("http://www.jccm.es/sede/tramite/KB0","SOLICITUD DE LABORATORIO PARA REALIZAR PRUEBAS DE DIAGNOSTICO DE LEISHMANIOSIS.")</f>
        <v>SOLICITUD DE LABORATORIO PARA REALIZAR PRUEBAS DE DIAGNOSTICO DE LEISHMANIOSIS.</v>
      </c>
      <c r="J1149" s="3" t="s">
        <v>42</v>
      </c>
      <c r="K1149" s="3" t="s">
        <v>41</v>
      </c>
      <c r="L1149" s="3" t="s">
        <v>42</v>
      </c>
      <c r="M1149" s="3" t="s">
        <v>41</v>
      </c>
    </row>
    <row r="1150" spans="1:13" ht="218.45">
      <c r="A1150" s="22" t="s">
        <v>9</v>
      </c>
      <c r="B1150" s="3" t="s">
        <v>3666</v>
      </c>
      <c r="C1150" s="3" t="s">
        <v>3667</v>
      </c>
      <c r="D1150" s="3" t="s">
        <v>327</v>
      </c>
      <c r="E1150" s="3" t="s">
        <v>37</v>
      </c>
      <c r="F1150" s="3" t="s">
        <v>3555</v>
      </c>
      <c r="G1150" s="3" t="s">
        <v>3566</v>
      </c>
      <c r="H1150" s="3" t="s">
        <v>3668</v>
      </c>
      <c r="I1150" s="3" t="str">
        <f>HYPERLINK("http://www.jccm.es/sede/tramite/KEY","SOLICITUD DE AUTORIZACION DE LA ACTIVIDAD DE INSPECCION Y ALTA EN EL REGISTRO OFICIAL DE ESTACIONES DE INSPECCION TECNICA DE EQUIPOS DE APLICACION DE PRODUCTOS FITOSANITARIOS, ITEAF")</f>
        <v>SOLICITUD DE AUTORIZACION DE LA ACTIVIDAD DE INSPECCION Y ALTA EN EL REGISTRO OFICIAL DE ESTACIONES DE INSPECCION TECNICA DE EQUIPOS DE APLICACION DE PRODUCTOS FITOSANITARIOS, ITEAF</v>
      </c>
      <c r="J1150" s="3" t="s">
        <v>41</v>
      </c>
      <c r="K1150" s="3" t="s">
        <v>41</v>
      </c>
      <c r="L1150" s="3" t="s">
        <v>42</v>
      </c>
      <c r="M1150" s="3" t="s">
        <v>41</v>
      </c>
    </row>
    <row r="1151" spans="1:13" ht="138">
      <c r="A1151" s="22" t="s">
        <v>9</v>
      </c>
      <c r="B1151" s="3" t="s">
        <v>3669</v>
      </c>
      <c r="C1151" s="3" t="s">
        <v>3670</v>
      </c>
      <c r="D1151" s="3" t="s">
        <v>95</v>
      </c>
      <c r="E1151" s="3" t="s">
        <v>95</v>
      </c>
      <c r="F1151" s="3" t="s">
        <v>3555</v>
      </c>
      <c r="G1151" s="3" t="s">
        <v>3566</v>
      </c>
      <c r="H1151" s="3" t="s">
        <v>3671</v>
      </c>
      <c r="I1151" s="3" t="str">
        <f>HYPERLINK("http://www.jccm.es/sede/tramite/KGY","COMUNICACION DE DATOS PARA LA INSCRIPCION EN EL REGISTRO GENERAL DE LA PRODUCCION AGRICOLA (REGEPA)")</f>
        <v>COMUNICACION DE DATOS PARA LA INSCRIPCION EN EL REGISTRO GENERAL DE LA PRODUCCION AGRICOLA (REGEPA)</v>
      </c>
      <c r="J1151" s="3" t="s">
        <v>41</v>
      </c>
      <c r="K1151" s="3" t="s">
        <v>41</v>
      </c>
      <c r="L1151" s="3" t="s">
        <v>42</v>
      </c>
      <c r="M1151" s="3" t="s">
        <v>41</v>
      </c>
    </row>
    <row r="1152" spans="1:13" ht="114.95">
      <c r="A1152" s="22" t="s">
        <v>9</v>
      </c>
      <c r="B1152" s="3" t="s">
        <v>3672</v>
      </c>
      <c r="C1152" s="3" t="s">
        <v>3673</v>
      </c>
      <c r="D1152" s="3" t="s">
        <v>95</v>
      </c>
      <c r="E1152" s="3" t="s">
        <v>95</v>
      </c>
      <c r="F1152" s="3" t="s">
        <v>3555</v>
      </c>
      <c r="G1152" s="3" t="s">
        <v>3616</v>
      </c>
      <c r="H1152" s="3" t="s">
        <v>3674</v>
      </c>
      <c r="I1152" s="3" t="str">
        <f>HYPERLINK("http://www.jccm.es/sede/tramite/KHA","COMUNICACION ANUAL DE DATOS AL REGISTRO DE ENTIDADES ASOCIATIVAS PRIORITARIAS DE INTERES REGIONAL DE CASTILLA-LA MANCHA EAPIR")</f>
        <v>COMUNICACION ANUAL DE DATOS AL REGISTRO DE ENTIDADES ASOCIATIVAS PRIORITARIAS DE INTERES REGIONAL DE CASTILLA-LA MANCHA EAPIR</v>
      </c>
      <c r="J1152" s="3" t="s">
        <v>41</v>
      </c>
      <c r="K1152" s="3" t="s">
        <v>41</v>
      </c>
      <c r="L1152" s="3" t="s">
        <v>42</v>
      </c>
      <c r="M1152" s="3" t="s">
        <v>41</v>
      </c>
    </row>
    <row r="1153" spans="1:13" ht="126.6">
      <c r="A1153" s="22" t="s">
        <v>9</v>
      </c>
      <c r="B1153" s="3" t="s">
        <v>3675</v>
      </c>
      <c r="C1153" s="3" t="s">
        <v>3676</v>
      </c>
      <c r="D1153" s="3" t="s">
        <v>3100</v>
      </c>
      <c r="E1153" s="3" t="s">
        <v>46</v>
      </c>
      <c r="F1153" s="3" t="s">
        <v>3555</v>
      </c>
      <c r="G1153" s="3" t="s">
        <v>3566</v>
      </c>
      <c r="H1153" s="3" t="s">
        <v>3677</v>
      </c>
      <c r="I1153" s="3" t="str">
        <f>HYPERLINK("http://www.jccm.es/sede/tramite/KJX","AUTORIZACION PARA NUEVAS PLANTACIONES DE VIÑEDO")</f>
        <v>AUTORIZACION PARA NUEVAS PLANTACIONES DE VIÑEDO</v>
      </c>
      <c r="J1153" s="3" t="s">
        <v>42</v>
      </c>
      <c r="K1153" s="3" t="s">
        <v>41</v>
      </c>
      <c r="L1153" s="3" t="s">
        <v>42</v>
      </c>
      <c r="M1153" s="3" t="s">
        <v>41</v>
      </c>
    </row>
    <row r="1154" spans="1:13" ht="126.6">
      <c r="A1154" s="22" t="s">
        <v>9</v>
      </c>
      <c r="B1154" s="3" t="s">
        <v>3678</v>
      </c>
      <c r="C1154" s="3" t="s">
        <v>3679</v>
      </c>
      <c r="D1154" s="3" t="s">
        <v>45</v>
      </c>
      <c r="E1154" s="3" t="s">
        <v>37</v>
      </c>
      <c r="F1154" s="3" t="s">
        <v>3555</v>
      </c>
      <c r="G1154" s="3" t="s">
        <v>3566</v>
      </c>
      <c r="H1154" s="3" t="s">
        <v>3680</v>
      </c>
      <c r="I1154" s="3" t="str">
        <f>HYPERLINK("http://www.jccm.es/sede/tramite/KK9","RENUNCIA A LA CONCESION DE AUTORIZACION PARA NUEVAS PLANTACIONES DE VIÑEDO")</f>
        <v>RENUNCIA A LA CONCESION DE AUTORIZACION PARA NUEVAS PLANTACIONES DE VIÑEDO</v>
      </c>
      <c r="J1154" s="3" t="s">
        <v>42</v>
      </c>
      <c r="K1154" s="3" t="s">
        <v>41</v>
      </c>
      <c r="L1154" s="3" t="s">
        <v>42</v>
      </c>
      <c r="M1154" s="3" t="s">
        <v>41</v>
      </c>
    </row>
    <row r="1155" spans="1:13" ht="126.6">
      <c r="A1155" s="22" t="s">
        <v>9</v>
      </c>
      <c r="B1155" s="3" t="s">
        <v>3681</v>
      </c>
      <c r="C1155" s="3" t="s">
        <v>3646</v>
      </c>
      <c r="D1155" s="3" t="s">
        <v>51</v>
      </c>
      <c r="E1155" s="3" t="s">
        <v>46</v>
      </c>
      <c r="F1155" s="3" t="s">
        <v>3555</v>
      </c>
      <c r="G1155" s="3" t="s">
        <v>3566</v>
      </c>
      <c r="H1155" s="3" t="s">
        <v>3682</v>
      </c>
      <c r="I1155" s="3" t="str">
        <f>HYPERLINK("http://www.jccm.es/sede/tramite/KL4","COMUNICACION CAMBIO TITULARIDAD  DEL VITICULTOR")</f>
        <v>COMUNICACION CAMBIO TITULARIDAD  DEL VITICULTOR</v>
      </c>
      <c r="J1155" s="3" t="s">
        <v>42</v>
      </c>
      <c r="K1155" s="3" t="s">
        <v>41</v>
      </c>
      <c r="L1155" s="3" t="s">
        <v>42</v>
      </c>
      <c r="M1155" s="3" t="s">
        <v>41</v>
      </c>
    </row>
    <row r="1156" spans="1:13" ht="126.6">
      <c r="A1156" s="22" t="s">
        <v>9</v>
      </c>
      <c r="B1156" s="3" t="s">
        <v>3683</v>
      </c>
      <c r="C1156" s="3" t="s">
        <v>3684</v>
      </c>
      <c r="D1156" s="3" t="s">
        <v>95</v>
      </c>
      <c r="E1156" s="3" t="s">
        <v>95</v>
      </c>
      <c r="F1156" s="3" t="s">
        <v>3555</v>
      </c>
      <c r="G1156" s="3" t="s">
        <v>3566</v>
      </c>
      <c r="H1156" s="3" t="s">
        <v>3685</v>
      </c>
      <c r="I1156" s="3" t="str">
        <f>HYPERLINK("http://www.jccm.es/sede/tramite/KLC","COMUNICACION DE PROGRAMAS DE TRASLADO DE COLMENAS")</f>
        <v>COMUNICACION DE PROGRAMAS DE TRASLADO DE COLMENAS</v>
      </c>
      <c r="J1156" s="3" t="s">
        <v>42</v>
      </c>
      <c r="K1156" s="3" t="s">
        <v>41</v>
      </c>
      <c r="L1156" s="3" t="s">
        <v>41</v>
      </c>
      <c r="M1156" s="3" t="s">
        <v>41</v>
      </c>
    </row>
    <row r="1157" spans="1:13" ht="114.95">
      <c r="A1157" s="22" t="s">
        <v>9</v>
      </c>
      <c r="B1157" s="3" t="s">
        <v>3686</v>
      </c>
      <c r="C1157" s="3" t="s">
        <v>3687</v>
      </c>
      <c r="D1157" s="3" t="s">
        <v>327</v>
      </c>
      <c r="E1157" s="3" t="s">
        <v>37</v>
      </c>
      <c r="F1157" s="3" t="s">
        <v>3555</v>
      </c>
      <c r="G1157" s="3" t="s">
        <v>3616</v>
      </c>
      <c r="H1157" s="3" t="s">
        <v>3688</v>
      </c>
      <c r="I1157" s="3" t="str">
        <f>HYPERLINK("http://www.jccm.es/sede/tramite/KW1","SOLICITUD DE AUTORIZACION PROGRAMA DE RETIRADA BAJO CONTROL DE LOS SUBPRODUCTOS")</f>
        <v>SOLICITUD DE AUTORIZACION PROGRAMA DE RETIRADA BAJO CONTROL DE LOS SUBPRODUCTOS</v>
      </c>
      <c r="J1157" s="3" t="s">
        <v>41</v>
      </c>
      <c r="K1157" s="3" t="s">
        <v>41</v>
      </c>
      <c r="L1157" s="3" t="s">
        <v>42</v>
      </c>
      <c r="M1157" s="3" t="s">
        <v>41</v>
      </c>
    </row>
    <row r="1158" spans="1:13" ht="149.44999999999999">
      <c r="A1158" s="22" t="s">
        <v>9</v>
      </c>
      <c r="B1158" s="3" t="s">
        <v>3689</v>
      </c>
      <c r="C1158" s="3" t="s">
        <v>3690</v>
      </c>
      <c r="D1158" s="3" t="s">
        <v>95</v>
      </c>
      <c r="E1158" s="3" t="s">
        <v>95</v>
      </c>
      <c r="F1158" s="3" t="s">
        <v>3555</v>
      </c>
      <c r="G1158" s="3" t="s">
        <v>3566</v>
      </c>
      <c r="H1158" s="3" t="s">
        <v>3691</v>
      </c>
      <c r="I1158" s="3" t="str">
        <f>HYPERLINK("http://www.jccm.es/sede/tramite/KZB","NOTIFICACION DE CASOS DE ABORTOS EN GANADO BOVINO, OVINO Y CAPRINO POR PARTE DEL VETERINARIO DE EXPLOTACION")</f>
        <v>NOTIFICACION DE CASOS DE ABORTOS EN GANADO BOVINO, OVINO Y CAPRINO POR PARTE DEL VETERINARIO DE EXPLOTACION</v>
      </c>
      <c r="J1158" s="3" t="s">
        <v>42</v>
      </c>
      <c r="K1158" s="3" t="s">
        <v>41</v>
      </c>
      <c r="L1158" s="3" t="s">
        <v>42</v>
      </c>
      <c r="M1158" s="3" t="s">
        <v>41</v>
      </c>
    </row>
    <row r="1159" spans="1:13" ht="114.95">
      <c r="A1159" s="22" t="s">
        <v>9</v>
      </c>
      <c r="B1159" s="3" t="s">
        <v>3692</v>
      </c>
      <c r="C1159" s="3" t="s">
        <v>3693</v>
      </c>
      <c r="D1159" s="3" t="s">
        <v>45</v>
      </c>
      <c r="E1159" s="3" t="s">
        <v>37</v>
      </c>
      <c r="F1159" s="3" t="s">
        <v>3555</v>
      </c>
      <c r="G1159" s="3" t="s">
        <v>3616</v>
      </c>
      <c r="H1159" s="3" t="s">
        <v>3694</v>
      </c>
      <c r="I1159" s="3" t="str">
        <f>HYPERLINK("http://www.jccm.es/sede/tramite/L20","CONCESION DE LA EXENCION MARCADO HUEVOS CONFORME AL ARTICULO 11 DEL REGLAMENTO (CE) Nº 589/2008")</f>
        <v>CONCESION DE LA EXENCION MARCADO HUEVOS CONFORME AL ARTICULO 11 DEL REGLAMENTO (CE) Nº 589/2008</v>
      </c>
      <c r="J1159" s="3" t="s">
        <v>42</v>
      </c>
      <c r="K1159" s="3" t="s">
        <v>41</v>
      </c>
      <c r="L1159" s="3" t="s">
        <v>42</v>
      </c>
      <c r="M1159" s="3" t="s">
        <v>41</v>
      </c>
    </row>
    <row r="1160" spans="1:13" ht="172.5">
      <c r="A1160" s="22" t="s">
        <v>9</v>
      </c>
      <c r="B1160" s="3" t="s">
        <v>3695</v>
      </c>
      <c r="C1160" s="3" t="s">
        <v>3696</v>
      </c>
      <c r="D1160" s="3" t="s">
        <v>95</v>
      </c>
      <c r="E1160" s="3" t="s">
        <v>95</v>
      </c>
      <c r="F1160" s="3" t="s">
        <v>3555</v>
      </c>
      <c r="G1160" s="3" t="s">
        <v>3697</v>
      </c>
      <c r="H1160" s="3" t="s">
        <v>3698</v>
      </c>
      <c r="I1160" s="3" t="str">
        <f>HYPERLINK("http://www.jccm.es/sede/tramite/L75","COMUNICACION DE RECINTOS EN LOS QUE SE SOLICITA LA AYUDA A LA AGRICULTURA ECOLOGICA TRATADOS CON PRODUCTOS FITOSANITARIOS")</f>
        <v>COMUNICACION DE RECINTOS EN LOS QUE SE SOLICITA LA AYUDA A LA AGRICULTURA ECOLOGICA TRATADOS CON PRODUCTOS FITOSANITARIOS</v>
      </c>
      <c r="J1160" s="3" t="s">
        <v>42</v>
      </c>
      <c r="K1160" s="3" t="s">
        <v>41</v>
      </c>
      <c r="L1160" s="3" t="s">
        <v>42</v>
      </c>
      <c r="M1160" s="3" t="s">
        <v>41</v>
      </c>
    </row>
    <row r="1161" spans="1:13" ht="126.6">
      <c r="A1161" s="22" t="s">
        <v>9</v>
      </c>
      <c r="B1161" s="3" t="s">
        <v>3699</v>
      </c>
      <c r="C1161" s="3" t="s">
        <v>3700</v>
      </c>
      <c r="D1161" s="3" t="s">
        <v>95</v>
      </c>
      <c r="E1161" s="3" t="s">
        <v>95</v>
      </c>
      <c r="F1161" s="3" t="s">
        <v>3555</v>
      </c>
      <c r="G1161" s="3" t="s">
        <v>3566</v>
      </c>
      <c r="H1161" s="3" t="s">
        <v>3701</v>
      </c>
      <c r="I1161" s="3" t="str">
        <f>HYPERLINK("http://www.jccm.es/sede/tramite/L7D","AUTORIZACION EXCEPCIONAL USO PRODUCTOS FITOSANITARIOS")</f>
        <v>AUTORIZACION EXCEPCIONAL USO PRODUCTOS FITOSANITARIOS</v>
      </c>
      <c r="J1161" s="3" t="s">
        <v>41</v>
      </c>
      <c r="K1161" s="3" t="s">
        <v>41</v>
      </c>
      <c r="L1161" s="3" t="s">
        <v>42</v>
      </c>
      <c r="M1161" s="3" t="s">
        <v>41</v>
      </c>
    </row>
    <row r="1162" spans="1:13" ht="149.44999999999999">
      <c r="A1162" s="22" t="s">
        <v>9</v>
      </c>
      <c r="B1162" s="3" t="s">
        <v>3702</v>
      </c>
      <c r="C1162" s="3" t="s">
        <v>3703</v>
      </c>
      <c r="D1162" s="3" t="s">
        <v>3704</v>
      </c>
      <c r="E1162" s="3" t="s">
        <v>95</v>
      </c>
      <c r="F1162" s="3" t="s">
        <v>3555</v>
      </c>
      <c r="G1162" s="3" t="s">
        <v>3566</v>
      </c>
      <c r="H1162" s="3" t="s">
        <v>3705</v>
      </c>
      <c r="I1162" s="3" t="str">
        <f>HYPERLINK("http://www.jccm.es/sede/tramite/LC9","COMUNICACION DESINFECCION DE SUELOS CON PRODUCTOS FITOSANITARIOS FORMULADOS A BASE DE 1,3 DICLOROPROPENO")</f>
        <v>COMUNICACION DESINFECCION DE SUELOS CON PRODUCTOS FITOSANITARIOS FORMULADOS A BASE DE 1,3 DICLOROPROPENO</v>
      </c>
      <c r="J1162" s="3" t="s">
        <v>42</v>
      </c>
      <c r="K1162" s="3" t="s">
        <v>41</v>
      </c>
      <c r="L1162" s="3" t="s">
        <v>42</v>
      </c>
      <c r="M1162" s="3" t="s">
        <v>41</v>
      </c>
    </row>
    <row r="1163" spans="1:13" ht="126.6">
      <c r="A1163" s="22" t="s">
        <v>9</v>
      </c>
      <c r="B1163" s="3" t="s">
        <v>3706</v>
      </c>
      <c r="C1163" s="3" t="s">
        <v>3707</v>
      </c>
      <c r="D1163" s="3" t="s">
        <v>95</v>
      </c>
      <c r="E1163" s="3" t="s">
        <v>95</v>
      </c>
      <c r="F1163" s="3" t="s">
        <v>3555</v>
      </c>
      <c r="G1163" s="3" t="s">
        <v>3566</v>
      </c>
      <c r="H1163" s="3" t="s">
        <v>3708</v>
      </c>
      <c r="I1163" s="3" t="str">
        <f>HYPERLINK("http://www.jccm.es/sede/tramite/LE9","COMUNICACION DE TRATAMIENTO CON FOSFURO DE ALUMINIO")</f>
        <v>COMUNICACION DE TRATAMIENTO CON FOSFURO DE ALUMINIO</v>
      </c>
      <c r="J1163" s="3" t="s">
        <v>41</v>
      </c>
      <c r="K1163" s="3" t="s">
        <v>41</v>
      </c>
      <c r="L1163" s="3" t="s">
        <v>42</v>
      </c>
      <c r="M1163" s="3" t="s">
        <v>41</v>
      </c>
    </row>
    <row r="1164" spans="1:13" ht="114.95">
      <c r="A1164" s="22" t="s">
        <v>9</v>
      </c>
      <c r="B1164" s="3" t="s">
        <v>3709</v>
      </c>
      <c r="C1164" s="3" t="s">
        <v>3710</v>
      </c>
      <c r="D1164" s="3" t="s">
        <v>327</v>
      </c>
      <c r="E1164" s="3" t="s">
        <v>46</v>
      </c>
      <c r="F1164" s="3" t="s">
        <v>3555</v>
      </c>
      <c r="G1164" s="3" t="s">
        <v>3556</v>
      </c>
      <c r="H1164" s="3" t="s">
        <v>3711</v>
      </c>
      <c r="I1164" s="3" t="str">
        <f>HYPERLINK("http://www.jccm.es/sede/tramite/LEY","DESAFECTACION DE PARCELAS DE USO RUSTICO DECLARADAS DE INTERES GENERAL O REGIONAL")</f>
        <v>DESAFECTACION DE PARCELAS DE USO RUSTICO DECLARADAS DE INTERES GENERAL O REGIONAL</v>
      </c>
      <c r="J1164" s="3" t="s">
        <v>42</v>
      </c>
      <c r="K1164" s="3" t="s">
        <v>41</v>
      </c>
      <c r="L1164" s="3" t="s">
        <v>42</v>
      </c>
      <c r="M1164" s="3" t="s">
        <v>41</v>
      </c>
    </row>
    <row r="1165" spans="1:13" ht="114.95">
      <c r="A1165" s="22" t="s">
        <v>9</v>
      </c>
      <c r="B1165" s="3" t="s">
        <v>3712</v>
      </c>
      <c r="C1165" s="3" t="s">
        <v>3713</v>
      </c>
      <c r="D1165" s="3" t="s">
        <v>45</v>
      </c>
      <c r="E1165" s="3" t="s">
        <v>37</v>
      </c>
      <c r="F1165" s="3" t="s">
        <v>3555</v>
      </c>
      <c r="G1165" s="3" t="s">
        <v>3616</v>
      </c>
      <c r="H1165" s="3" t="s">
        <v>3714</v>
      </c>
      <c r="I1165" s="3" t="str">
        <f>HYPERLINK("http://www.jccm.es/sede/tramite/LEZ","AUTORIZACION ADMINISTRATIVA RELACIONADA CON EL  REGLAMENTO (CE) 834/2007 SOBRE PRODUCCION ECOLOGICA.")</f>
        <v>AUTORIZACION ADMINISTRATIVA RELACIONADA CON EL  REGLAMENTO (CE) 834/2007 SOBRE PRODUCCION ECOLOGICA.</v>
      </c>
      <c r="J1165" s="3" t="s">
        <v>41</v>
      </c>
      <c r="K1165" s="3" t="s">
        <v>41</v>
      </c>
      <c r="L1165" s="3" t="s">
        <v>42</v>
      </c>
      <c r="M1165" s="3" t="s">
        <v>41</v>
      </c>
    </row>
    <row r="1166" spans="1:13" ht="149.44999999999999">
      <c r="A1166" s="22" t="s">
        <v>9</v>
      </c>
      <c r="B1166" s="3" t="s">
        <v>3715</v>
      </c>
      <c r="C1166" s="3" t="s">
        <v>3716</v>
      </c>
      <c r="D1166" s="3" t="s">
        <v>45</v>
      </c>
      <c r="E1166" s="3" t="s">
        <v>37</v>
      </c>
      <c r="F1166" s="3" t="s">
        <v>3555</v>
      </c>
      <c r="G1166" s="3" t="s">
        <v>3616</v>
      </c>
      <c r="H1166" s="3" t="s">
        <v>3717</v>
      </c>
      <c r="I1166" s="3" t="str">
        <f>HYPERLINK("http://www.jccm.es/sede/tramite/LFB","DESIGNACION DE LABORATORIO PARA CONTROL OFICIAL DE  PROGRAMAS DE PRODUCCION ECOLOGICA Y CALIDAD DIFERENCIADA")</f>
        <v>DESIGNACION DE LABORATORIO PARA CONTROL OFICIAL DE  PROGRAMAS DE PRODUCCION ECOLOGICA Y CALIDAD DIFERENCIADA</v>
      </c>
      <c r="J1166" s="3" t="s">
        <v>41</v>
      </c>
      <c r="K1166" s="3" t="s">
        <v>41</v>
      </c>
      <c r="L1166" s="3" t="s">
        <v>42</v>
      </c>
      <c r="M1166" s="3" t="s">
        <v>41</v>
      </c>
    </row>
    <row r="1167" spans="1:13" ht="126.6">
      <c r="A1167" s="22" t="s">
        <v>9</v>
      </c>
      <c r="B1167" s="3" t="s">
        <v>3718</v>
      </c>
      <c r="C1167" s="3" t="s">
        <v>3719</v>
      </c>
      <c r="D1167" s="3" t="s">
        <v>70</v>
      </c>
      <c r="E1167" s="3" t="s">
        <v>37</v>
      </c>
      <c r="F1167" s="3" t="s">
        <v>3555</v>
      </c>
      <c r="G1167" s="3" t="s">
        <v>3566</v>
      </c>
      <c r="H1167" s="3" t="s">
        <v>3720</v>
      </c>
      <c r="I1167" s="3" t="str">
        <f>HYPERLINK("http://www.jccm.es/sede/tramite/LFJ","ALTA COMO REPRESENTANTE EN UVITI.")</f>
        <v>ALTA COMO REPRESENTANTE EN UVITI.</v>
      </c>
      <c r="J1167" s="3" t="s">
        <v>41</v>
      </c>
      <c r="K1167" s="3" t="s">
        <v>41</v>
      </c>
      <c r="L1167" s="3" t="s">
        <v>42</v>
      </c>
      <c r="M1167" s="3" t="s">
        <v>41</v>
      </c>
    </row>
    <row r="1168" spans="1:13" ht="287.45">
      <c r="A1168" s="22" t="s">
        <v>9</v>
      </c>
      <c r="B1168" s="3" t="s">
        <v>3721</v>
      </c>
      <c r="C1168" s="3" t="s">
        <v>3722</v>
      </c>
      <c r="D1168" s="3" t="s">
        <v>327</v>
      </c>
      <c r="E1168" s="3" t="s">
        <v>37</v>
      </c>
      <c r="F1168" s="3" t="s">
        <v>3555</v>
      </c>
      <c r="G1168" s="3" t="s">
        <v>3616</v>
      </c>
      <c r="H1168" s="3" t="s">
        <v>3723</v>
      </c>
      <c r="I1168" s="3" t="str">
        <f>HYPERLINK("http://www.jccm.es/sede/tramite/LG7","SOLICITUD DE RECONOCIMIENTO E INSCRIPCION, MODIFICACION Y BAJA EN EL REGISTRO VENTA DIRECTA DE PRODUCTOS LIGADOS A LA ACTIVIDAD AGRICOLA Y GANADERA (PRODUCTOS TRANSFORMADOS SIN RGSEAA)")</f>
        <v>SOLICITUD DE RECONOCIMIENTO E INSCRIPCION, MODIFICACION Y BAJA EN EL REGISTRO VENTA DIRECTA DE PRODUCTOS LIGADOS A LA ACTIVIDAD AGRICOLA Y GANADERA (PRODUCTOS TRANSFORMADOS SIN RGSEAA)</v>
      </c>
      <c r="J1168" s="3" t="s">
        <v>42</v>
      </c>
      <c r="K1168" s="3" t="s">
        <v>41</v>
      </c>
      <c r="L1168" s="3" t="s">
        <v>42</v>
      </c>
      <c r="M1168" s="3" t="s">
        <v>41</v>
      </c>
    </row>
    <row r="1169" spans="1:13" ht="195.6">
      <c r="A1169" s="22" t="s">
        <v>9</v>
      </c>
      <c r="B1169" s="3" t="s">
        <v>3724</v>
      </c>
      <c r="C1169" s="3" t="s">
        <v>3725</v>
      </c>
      <c r="D1169" s="3" t="s">
        <v>3726</v>
      </c>
      <c r="E1169" s="3" t="s">
        <v>46</v>
      </c>
      <c r="F1169" s="3" t="s">
        <v>3555</v>
      </c>
      <c r="G1169" s="3" t="s">
        <v>3555</v>
      </c>
      <c r="H1169" s="3" t="s">
        <v>3727</v>
      </c>
      <c r="I1169" s="3" t="str">
        <f>HYPERLINK("http://www.jccm.es/sede/tramite/LHT","SOLICITUD DE AUTORIZACION PARA RECIBIR FRUTAS Y HORTALIZAS PROCEDENTES DE RETIRADAS DEL MERCADO CON DESTINO A LA ALIMENTACION ANIMAL")</f>
        <v>SOLICITUD DE AUTORIZACION PARA RECIBIR FRUTAS Y HORTALIZAS PROCEDENTES DE RETIRADAS DEL MERCADO CON DESTINO A LA ALIMENTACION ANIMAL</v>
      </c>
      <c r="J1169" s="3" t="s">
        <v>42</v>
      </c>
      <c r="K1169" s="3" t="s">
        <v>41</v>
      </c>
      <c r="L1169" s="3" t="s">
        <v>42</v>
      </c>
      <c r="M1169" s="3" t="s">
        <v>41</v>
      </c>
    </row>
    <row r="1170" spans="1:13" ht="114.95">
      <c r="A1170" s="22" t="s">
        <v>9</v>
      </c>
      <c r="B1170" s="3" t="s">
        <v>3728</v>
      </c>
      <c r="C1170" s="3" t="s">
        <v>3729</v>
      </c>
      <c r="D1170" s="3" t="s">
        <v>232</v>
      </c>
      <c r="E1170" s="3" t="s">
        <v>46</v>
      </c>
      <c r="F1170" s="3" t="s">
        <v>3555</v>
      </c>
      <c r="G1170" s="3" t="s">
        <v>3556</v>
      </c>
      <c r="H1170" s="3" t="s">
        <v>3730</v>
      </c>
      <c r="I1170" s="3" t="str">
        <f>HYPERLINK("http://www.jccm.es/sede/tramite/LK4","SOLICITUD DE AUTORIZACION CONCENTRACION PARCELARIA CASTILLA-LA MANCHA.")</f>
        <v>SOLICITUD DE AUTORIZACION CONCENTRACION PARCELARIA CASTILLA-LA MANCHA.</v>
      </c>
      <c r="J1170" s="3" t="s">
        <v>42</v>
      </c>
      <c r="K1170" s="3" t="s">
        <v>41</v>
      </c>
      <c r="L1170" s="3" t="s">
        <v>42</v>
      </c>
      <c r="M1170" s="3" t="s">
        <v>41</v>
      </c>
    </row>
    <row r="1171" spans="1:13" ht="183.95">
      <c r="A1171" s="22" t="s">
        <v>9</v>
      </c>
      <c r="B1171" s="3" t="s">
        <v>3731</v>
      </c>
      <c r="C1171" s="3" t="s">
        <v>3732</v>
      </c>
      <c r="D1171" s="3" t="s">
        <v>3733</v>
      </c>
      <c r="E1171" s="3" t="s">
        <v>37</v>
      </c>
      <c r="F1171" s="3" t="s">
        <v>3555</v>
      </c>
      <c r="G1171" s="3" t="s">
        <v>3566</v>
      </c>
      <c r="H1171" s="3" t="s">
        <v>3734</v>
      </c>
      <c r="I1171" s="3" t="str">
        <f>HYPERLINK("http://www.jccm.es/sede/tramite/KFH","COMUNICACION DE EDICIONES DE CURSOS DE BIENESTAR ANIMAL, BIOSEGURIDAD, HIGIENE Y SANIDAD ANIMAL Y SUS MODIFICACIONES.")</f>
        <v>COMUNICACION DE EDICIONES DE CURSOS DE BIENESTAR ANIMAL, BIOSEGURIDAD, HIGIENE Y SANIDAD ANIMAL Y SUS MODIFICACIONES.</v>
      </c>
      <c r="J1171" s="3" t="s">
        <v>41</v>
      </c>
      <c r="K1171" s="3" t="s">
        <v>41</v>
      </c>
      <c r="L1171" s="3" t="s">
        <v>42</v>
      </c>
      <c r="M1171" s="3" t="s">
        <v>41</v>
      </c>
    </row>
    <row r="1172" spans="1:13" ht="195.6">
      <c r="A1172" s="22" t="s">
        <v>9</v>
      </c>
      <c r="B1172" s="3" t="s">
        <v>3735</v>
      </c>
      <c r="C1172" s="3" t="s">
        <v>3736</v>
      </c>
      <c r="D1172" s="3" t="s">
        <v>95</v>
      </c>
      <c r="E1172" s="3" t="s">
        <v>95</v>
      </c>
      <c r="F1172" s="3" t="s">
        <v>3555</v>
      </c>
      <c r="G1172" s="3" t="s">
        <v>3566</v>
      </c>
      <c r="H1172" s="3" t="s">
        <v>3737</v>
      </c>
      <c r="I1172" s="3" t="str">
        <f>HYPERLINK("http://www.jccm.es/sede/tramite/KFG","EXPEDICION DEL CERTIFICADO DE COMPETENCIA, RENOVACION O DUPLICADO  EN MATERIA DE BIENESTAR ANIMAL, BIOSEGURIDAD, HIGIENE Y SANIDAD ANIMAL")</f>
        <v>EXPEDICION DEL CERTIFICADO DE COMPETENCIA, RENOVACION O DUPLICADO  EN MATERIA DE BIENESTAR ANIMAL, BIOSEGURIDAD, HIGIENE Y SANIDAD ANIMAL</v>
      </c>
      <c r="J1172" s="3" t="s">
        <v>42</v>
      </c>
      <c r="K1172" s="3" t="s">
        <v>41</v>
      </c>
      <c r="L1172" s="3" t="s">
        <v>42</v>
      </c>
      <c r="M1172" s="3" t="s">
        <v>41</v>
      </c>
    </row>
    <row r="1173" spans="1:13" ht="241.5">
      <c r="A1173" s="22" t="s">
        <v>9</v>
      </c>
      <c r="B1173" s="3" t="s">
        <v>3738</v>
      </c>
      <c r="C1173" s="3" t="s">
        <v>3739</v>
      </c>
      <c r="D1173" s="3" t="s">
        <v>95</v>
      </c>
      <c r="E1173" s="3" t="s">
        <v>95</v>
      </c>
      <c r="F1173" s="3" t="s">
        <v>3555</v>
      </c>
      <c r="G1173" s="3" t="s">
        <v>3566</v>
      </c>
      <c r="H1173" s="3" t="s">
        <v>3740</v>
      </c>
      <c r="I1173" s="3" t="str">
        <f>HYPERLINK("http://www.jccm.es/sede/tramite/LL9","SOLICITUD DE ACOGIMIENTO A LA EXCEPCION DEL ARTICULO 4.4.A DEL REAL DECRETO 306/2020, DE 11 DE FEBRERO, RELATIVA AL CERTIFICADO DE COMPETENCIA EN GANADO PORCINO")</f>
        <v>SOLICITUD DE ACOGIMIENTO A LA EXCEPCION DEL ARTICULO 4.4.A DEL REAL DECRETO 306/2020, DE 11 DE FEBRERO, RELATIVA AL CERTIFICADO DE COMPETENCIA EN GANADO PORCINO</v>
      </c>
      <c r="J1173" s="3" t="s">
        <v>42</v>
      </c>
      <c r="K1173" s="3" t="s">
        <v>41</v>
      </c>
      <c r="L1173" s="3" t="s">
        <v>42</v>
      </c>
      <c r="M1173" s="3" t="s">
        <v>41</v>
      </c>
    </row>
    <row r="1174" spans="1:13" ht="252.95">
      <c r="A1174" s="22" t="s">
        <v>9</v>
      </c>
      <c r="B1174" s="3" t="s">
        <v>3741</v>
      </c>
      <c r="C1174" s="3" t="s">
        <v>3742</v>
      </c>
      <c r="D1174" s="3" t="s">
        <v>327</v>
      </c>
      <c r="E1174" s="3" t="s">
        <v>37</v>
      </c>
      <c r="F1174" s="3" t="s">
        <v>3555</v>
      </c>
      <c r="G1174" s="3" t="s">
        <v>3566</v>
      </c>
      <c r="H1174" s="3" t="s">
        <v>3743</v>
      </c>
      <c r="I1174" s="3" t="str">
        <f>HYPERLINK("http://www.jccm.es/sede/tramite/LLZ","CATEGORIZACION DE ESPACIOS.")</f>
        <v>CATEGORIZACION DE ESPACIOS.</v>
      </c>
      <c r="J1174" s="3" t="s">
        <v>42</v>
      </c>
      <c r="K1174" s="3" t="s">
        <v>41</v>
      </c>
      <c r="L1174" s="3" t="s">
        <v>42</v>
      </c>
      <c r="M1174" s="3" t="s">
        <v>41</v>
      </c>
    </row>
    <row r="1175" spans="1:13" ht="138">
      <c r="A1175" s="22" t="s">
        <v>9</v>
      </c>
      <c r="B1175" s="3" t="s">
        <v>3744</v>
      </c>
      <c r="C1175" s="3" t="s">
        <v>3745</v>
      </c>
      <c r="D1175" s="3" t="s">
        <v>95</v>
      </c>
      <c r="E1175" s="3" t="s">
        <v>95</v>
      </c>
      <c r="F1175" s="3" t="s">
        <v>3555</v>
      </c>
      <c r="G1175" s="3" t="s">
        <v>3616</v>
      </c>
      <c r="H1175" s="3" t="s">
        <v>3746</v>
      </c>
      <c r="I1175" s="3" t="str">
        <f>HYPERLINK("http://www.jccm.es/sede/tramite/LN9","INFORMACION RELATIVA A LA TRAZABILIDAD DE MATERIAS PRIMAS Y PRODUCTOS TERMINADOS A DESTILERIAS")</f>
        <v>INFORMACION RELATIVA A LA TRAZABILIDAD DE MATERIAS PRIMAS Y PRODUCTOS TERMINADOS A DESTILERIAS</v>
      </c>
      <c r="J1175" s="3" t="s">
        <v>41</v>
      </c>
      <c r="K1175" s="3" t="s">
        <v>41</v>
      </c>
      <c r="L1175" s="3" t="s">
        <v>42</v>
      </c>
      <c r="M1175" s="3" t="s">
        <v>41</v>
      </c>
    </row>
    <row r="1176" spans="1:13" ht="114.95">
      <c r="A1176" s="22" t="s">
        <v>9</v>
      </c>
      <c r="B1176" s="3" t="s">
        <v>3747</v>
      </c>
      <c r="C1176" s="3" t="s">
        <v>3748</v>
      </c>
      <c r="D1176" s="3" t="s">
        <v>70</v>
      </c>
      <c r="E1176" s="3" t="s">
        <v>46</v>
      </c>
      <c r="F1176" s="3" t="s">
        <v>3555</v>
      </c>
      <c r="G1176" s="3" t="s">
        <v>3616</v>
      </c>
      <c r="H1176" s="3" t="s">
        <v>3749</v>
      </c>
      <c r="I1176" s="3" t="str">
        <f>HYPERLINK("http://www.jccm.es/sede/tramite/LO4","AUTORIZACION DEL USO DE LA MARCA DE GARANTIA  CAMPO Y ALMA .")</f>
        <v>AUTORIZACION DEL USO DE LA MARCA DE GARANTIA  CAMPO Y ALMA .</v>
      </c>
      <c r="J1176" s="3" t="s">
        <v>41</v>
      </c>
      <c r="K1176" s="3" t="s">
        <v>41</v>
      </c>
      <c r="L1176" s="3" t="s">
        <v>42</v>
      </c>
      <c r="M1176" s="3" t="s">
        <v>41</v>
      </c>
    </row>
    <row r="1177" spans="1:13" ht="114.95">
      <c r="A1177" s="22" t="s">
        <v>9</v>
      </c>
      <c r="B1177" s="3" t="s">
        <v>3750</v>
      </c>
      <c r="C1177" s="3" t="s">
        <v>3751</v>
      </c>
      <c r="D1177" s="3" t="s">
        <v>95</v>
      </c>
      <c r="E1177" s="3" t="s">
        <v>95</v>
      </c>
      <c r="F1177" s="3" t="s">
        <v>3555</v>
      </c>
      <c r="G1177" s="3" t="s">
        <v>3616</v>
      </c>
      <c r="H1177" s="3" t="s">
        <v>3752</v>
      </c>
      <c r="I1177" s="3" t="str">
        <f>HYPERLINK("http://www.jccm.es/sede/tramite/LVM","COMUNICACION ACTIVIDAD OPERADORES PRODUCCION ECOLOGICA")</f>
        <v>COMUNICACION ACTIVIDAD OPERADORES PRODUCCION ECOLOGICA</v>
      </c>
      <c r="J1177" s="3" t="s">
        <v>42</v>
      </c>
      <c r="K1177" s="3" t="s">
        <v>41</v>
      </c>
      <c r="L1177" s="3" t="s">
        <v>42</v>
      </c>
      <c r="M1177" s="3" t="s">
        <v>41</v>
      </c>
    </row>
    <row r="1178" spans="1:13" ht="126.6">
      <c r="A1178" s="22" t="s">
        <v>9</v>
      </c>
      <c r="B1178" s="3" t="s">
        <v>3753</v>
      </c>
      <c r="C1178" s="3" t="s">
        <v>3754</v>
      </c>
      <c r="D1178" s="3" t="s">
        <v>3755</v>
      </c>
      <c r="E1178" s="3" t="s">
        <v>37</v>
      </c>
      <c r="F1178" s="3" t="s">
        <v>3555</v>
      </c>
      <c r="G1178" s="3" t="s">
        <v>3566</v>
      </c>
      <c r="H1178" s="3" t="s">
        <v>3756</v>
      </c>
      <c r="I1178" s="3" t="str">
        <f>HYPERLINK("http://www.jccm.es/sede/tramite/LYI","SOLICITUD DE AUTORIZACION EXCEPCIONAL PARA LA QUEMA DE RESIDUOS AGRICOLAS POR MOTIVOS FITOSANITARIOS")</f>
        <v>SOLICITUD DE AUTORIZACION EXCEPCIONAL PARA LA QUEMA DE RESIDUOS AGRICOLAS POR MOTIVOS FITOSANITARIOS</v>
      </c>
      <c r="J1178" s="3" t="s">
        <v>41</v>
      </c>
      <c r="K1178" s="3" t="s">
        <v>41</v>
      </c>
      <c r="L1178" s="3" t="s">
        <v>42</v>
      </c>
      <c r="M1178" s="3" t="s">
        <v>41</v>
      </c>
    </row>
    <row r="1179" spans="1:13" ht="126.6">
      <c r="A1179" s="22" t="s">
        <v>9</v>
      </c>
      <c r="B1179" s="3" t="s">
        <v>3757</v>
      </c>
      <c r="C1179" s="3" t="s">
        <v>3758</v>
      </c>
      <c r="D1179" s="3" t="s">
        <v>95</v>
      </c>
      <c r="E1179" s="3" t="s">
        <v>95</v>
      </c>
      <c r="F1179" s="3" t="s">
        <v>3555</v>
      </c>
      <c r="G1179" s="3" t="s">
        <v>3566</v>
      </c>
      <c r="H1179" s="3" t="s">
        <v>3759</v>
      </c>
      <c r="I1179" s="3" t="str">
        <f>HYPERLINK("http://www.jccm.es/sede/tramite/L2K","DECLARACION DEL CENSO DE ANIMALES DE NUCLEOS ZOOLOGICOS")</f>
        <v>DECLARACION DEL CENSO DE ANIMALES DE NUCLEOS ZOOLOGICOS</v>
      </c>
      <c r="J1179" s="3" t="s">
        <v>42</v>
      </c>
      <c r="K1179" s="3" t="s">
        <v>41</v>
      </c>
      <c r="L1179" s="3" t="s">
        <v>42</v>
      </c>
      <c r="M1179" s="3" t="s">
        <v>41</v>
      </c>
    </row>
    <row r="1180" spans="1:13" ht="126.6">
      <c r="A1180" s="22" t="s">
        <v>9</v>
      </c>
      <c r="B1180" s="3" t="s">
        <v>3760</v>
      </c>
      <c r="C1180" s="3" t="s">
        <v>3761</v>
      </c>
      <c r="D1180" s="3" t="s">
        <v>95</v>
      </c>
      <c r="E1180" s="3" t="s">
        <v>95</v>
      </c>
      <c r="F1180" s="3" t="s">
        <v>3555</v>
      </c>
      <c r="G1180" s="3" t="s">
        <v>3566</v>
      </c>
      <c r="H1180" s="3" t="s">
        <v>3762</v>
      </c>
      <c r="I1180" s="3" t="str">
        <f>HYPERLINK("http://www.jccm.es/sede/tramite/JOF","DECLARACION DEL CENSO DE ANIMALES DE LA EXPLOTACION GANADERA")</f>
        <v>DECLARACION DEL CENSO DE ANIMALES DE LA EXPLOTACION GANADERA</v>
      </c>
      <c r="J1180" s="3" t="s">
        <v>42</v>
      </c>
      <c r="K1180" s="3" t="s">
        <v>41</v>
      </c>
      <c r="L1180" s="3" t="s">
        <v>42</v>
      </c>
      <c r="M1180" s="3" t="s">
        <v>41</v>
      </c>
    </row>
    <row r="1181" spans="1:13" ht="126.6">
      <c r="A1181" s="22" t="s">
        <v>9</v>
      </c>
      <c r="B1181" s="3" t="s">
        <v>3763</v>
      </c>
      <c r="C1181" s="3" t="s">
        <v>3764</v>
      </c>
      <c r="D1181" s="3" t="s">
        <v>95</v>
      </c>
      <c r="E1181" s="3" t="s">
        <v>95</v>
      </c>
      <c r="F1181" s="3" t="s">
        <v>3555</v>
      </c>
      <c r="G1181" s="3" t="s">
        <v>3566</v>
      </c>
      <c r="H1181" s="3" t="s">
        <v>3765</v>
      </c>
      <c r="I1181" s="3" t="str">
        <f>HYPERLINK("http://www.jccm.es/sede/tramite/K70","OBTENCION ELEMENTOS DE IDENTIFICACION ANIMAL")</f>
        <v>OBTENCION ELEMENTOS DE IDENTIFICACION ANIMAL</v>
      </c>
      <c r="J1181" s="3" t="s">
        <v>42</v>
      </c>
      <c r="K1181" s="3" t="s">
        <v>41</v>
      </c>
      <c r="L1181" s="3" t="s">
        <v>42</v>
      </c>
      <c r="M1181" s="3" t="s">
        <v>41</v>
      </c>
    </row>
    <row r="1182" spans="1:13" ht="126.6">
      <c r="A1182" s="22" t="s">
        <v>9</v>
      </c>
      <c r="B1182" s="3" t="s">
        <v>3766</v>
      </c>
      <c r="C1182" s="3" t="s">
        <v>3767</v>
      </c>
      <c r="D1182" s="3" t="s">
        <v>95</v>
      </c>
      <c r="E1182" s="3" t="s">
        <v>95</v>
      </c>
      <c r="F1182" s="3" t="s">
        <v>3555</v>
      </c>
      <c r="G1182" s="3" t="s">
        <v>3566</v>
      </c>
      <c r="H1182" s="3" t="s">
        <v>3768</v>
      </c>
      <c r="I1182" s="3" t="str">
        <f>HYPERLINK("http://www.jccm.es/sede/tramite/K71","OBTENCION DUPLICADOS DE ELEMENTOS DE IDENTIFICACION ANIMAL")</f>
        <v>OBTENCION DUPLICADOS DE ELEMENTOS DE IDENTIFICACION ANIMAL</v>
      </c>
      <c r="J1182" s="3" t="s">
        <v>42</v>
      </c>
      <c r="K1182" s="3" t="s">
        <v>41</v>
      </c>
      <c r="L1182" s="3" t="s">
        <v>42</v>
      </c>
      <c r="M1182" s="3" t="s">
        <v>41</v>
      </c>
    </row>
    <row r="1183" spans="1:13" ht="126.6">
      <c r="A1183" s="22" t="s">
        <v>9</v>
      </c>
      <c r="B1183" s="3" t="s">
        <v>3769</v>
      </c>
      <c r="C1183" s="3" t="s">
        <v>3770</v>
      </c>
      <c r="D1183" s="3" t="s">
        <v>95</v>
      </c>
      <c r="E1183" s="3" t="s">
        <v>95</v>
      </c>
      <c r="F1183" s="3" t="s">
        <v>3555</v>
      </c>
      <c r="G1183" s="3" t="s">
        <v>3566</v>
      </c>
      <c r="H1183" s="3" t="s">
        <v>3771</v>
      </c>
      <c r="I1183" s="3" t="str">
        <f>HYPERLINK("http://www.jccm.es/sede/tramite/KEZ","COMUNICACION DE INICIO DE ACTIVIDAD DE ITEAF AUTORIZADA FUERA DE CASTILLA  LA MANCHA")</f>
        <v>COMUNICACION DE INICIO DE ACTIVIDAD DE ITEAF AUTORIZADA FUERA DE CASTILLA  LA MANCHA</v>
      </c>
      <c r="J1183" s="3" t="s">
        <v>41</v>
      </c>
      <c r="K1183" s="3" t="s">
        <v>41</v>
      </c>
      <c r="L1183" s="3" t="s">
        <v>42</v>
      </c>
      <c r="M1183" s="3" t="s">
        <v>41</v>
      </c>
    </row>
    <row r="1184" spans="1:13" ht="126.6">
      <c r="A1184" s="22" t="s">
        <v>9</v>
      </c>
      <c r="B1184" s="3" t="s">
        <v>3772</v>
      </c>
      <c r="C1184" s="3" t="s">
        <v>3773</v>
      </c>
      <c r="D1184" s="3" t="s">
        <v>95</v>
      </c>
      <c r="E1184" s="3" t="s">
        <v>95</v>
      </c>
      <c r="F1184" s="3" t="s">
        <v>3555</v>
      </c>
      <c r="G1184" s="3" t="s">
        <v>3566</v>
      </c>
      <c r="H1184" s="3" t="s">
        <v>3774</v>
      </c>
      <c r="I1184" s="3" t="str">
        <f>HYPERLINK("http://www.jccm.es/sede/tramite/KF0","COMUNICACION DE CAMBIOS EN LAS CONDICIONES Y/O REQUISITOS DE LA AUTORIZACION DE ITEAF")</f>
        <v>COMUNICACION DE CAMBIOS EN LAS CONDICIONES Y/O REQUISITOS DE LA AUTORIZACION DE ITEAF</v>
      </c>
      <c r="J1184" s="3" t="s">
        <v>41</v>
      </c>
      <c r="K1184" s="3" t="s">
        <v>41</v>
      </c>
      <c r="L1184" s="3" t="s">
        <v>42</v>
      </c>
      <c r="M1184" s="3" t="s">
        <v>41</v>
      </c>
    </row>
    <row r="1185" spans="1:13" ht="126.6">
      <c r="A1185" s="22" t="s">
        <v>9</v>
      </c>
      <c r="B1185" s="3" t="s">
        <v>3775</v>
      </c>
      <c r="C1185" s="3" t="s">
        <v>3776</v>
      </c>
      <c r="D1185" s="3" t="s">
        <v>95</v>
      </c>
      <c r="E1185" s="3" t="s">
        <v>95</v>
      </c>
      <c r="F1185" s="3" t="s">
        <v>3555</v>
      </c>
      <c r="G1185" s="3" t="s">
        <v>3566</v>
      </c>
      <c r="H1185" s="3" t="s">
        <v>3777</v>
      </c>
      <c r="I1185" s="3" t="str">
        <f>HYPERLINK("http://www.jccm.es/sede/tramite/KF1","COMUNICACION DEL CALENDARIO DE INSPECCIONES A REALIZAR POR LA ITEAF.")</f>
        <v>COMUNICACION DEL CALENDARIO DE INSPECCIONES A REALIZAR POR LA ITEAF.</v>
      </c>
      <c r="J1185" s="3" t="s">
        <v>41</v>
      </c>
      <c r="K1185" s="3" t="s">
        <v>41</v>
      </c>
      <c r="L1185" s="3" t="s">
        <v>42</v>
      </c>
      <c r="M1185" s="3" t="s">
        <v>41</v>
      </c>
    </row>
    <row r="1186" spans="1:13" ht="138">
      <c r="A1186" s="22" t="s">
        <v>9</v>
      </c>
      <c r="B1186" s="3" t="s">
        <v>3778</v>
      </c>
      <c r="C1186" s="3" t="s">
        <v>3779</v>
      </c>
      <c r="D1186" s="3" t="s">
        <v>45</v>
      </c>
      <c r="E1186" s="3" t="s">
        <v>37</v>
      </c>
      <c r="F1186" s="3" t="s">
        <v>3555</v>
      </c>
      <c r="G1186" s="3" t="s">
        <v>3566</v>
      </c>
      <c r="H1186" s="3" t="s">
        <v>3780</v>
      </c>
      <c r="I1186" s="3" t="str">
        <f>HYPERLINK("http://www.jccm.es/sede/tramite/KIS","AUTORIZACION PARA LA CONVERSION DE DERECHOS DE PLANTACION EN AUTORIZACION DE PLANTACION DE VIÑEDO")</f>
        <v>AUTORIZACION PARA LA CONVERSION DE DERECHOS DE PLANTACION EN AUTORIZACION DE PLANTACION DE VIÑEDO</v>
      </c>
      <c r="J1186" s="3" t="s">
        <v>42</v>
      </c>
      <c r="K1186" s="3" t="s">
        <v>41</v>
      </c>
      <c r="L1186" s="3" t="s">
        <v>42</v>
      </c>
      <c r="M1186" s="3" t="s">
        <v>41</v>
      </c>
    </row>
    <row r="1187" spans="1:13" ht="126.6">
      <c r="A1187" s="22" t="s">
        <v>9</v>
      </c>
      <c r="B1187" s="3" t="s">
        <v>3781</v>
      </c>
      <c r="C1187" s="3" t="s">
        <v>3782</v>
      </c>
      <c r="D1187" s="3" t="s">
        <v>45</v>
      </c>
      <c r="E1187" s="3" t="s">
        <v>37</v>
      </c>
      <c r="F1187" s="3" t="s">
        <v>3555</v>
      </c>
      <c r="G1187" s="3" t="s">
        <v>3566</v>
      </c>
      <c r="H1187" s="3" t="s">
        <v>3783</v>
      </c>
      <c r="I1187" s="3" t="str">
        <f>HYPERLINK("http://www.jccm.es/sede/tramite/KJZ","AUTORIZACION DE REPLANTACION DE PARCELAS DE VIÑEDO")</f>
        <v>AUTORIZACION DE REPLANTACION DE PARCELAS DE VIÑEDO</v>
      </c>
      <c r="J1187" s="3" t="s">
        <v>42</v>
      </c>
      <c r="K1187" s="3" t="s">
        <v>41</v>
      </c>
      <c r="L1187" s="3" t="s">
        <v>42</v>
      </c>
      <c r="M1187" s="3" t="s">
        <v>41</v>
      </c>
    </row>
    <row r="1188" spans="1:13" ht="126.6">
      <c r="A1188" s="22" t="s">
        <v>9</v>
      </c>
      <c r="B1188" s="3" t="s">
        <v>3784</v>
      </c>
      <c r="C1188" s="3" t="s">
        <v>3785</v>
      </c>
      <c r="D1188" s="3" t="s">
        <v>45</v>
      </c>
      <c r="E1188" s="3" t="s">
        <v>37</v>
      </c>
      <c r="F1188" s="3" t="s">
        <v>3555</v>
      </c>
      <c r="G1188" s="3" t="s">
        <v>3566</v>
      </c>
      <c r="H1188" s="3" t="s">
        <v>3786</v>
      </c>
      <c r="I1188" s="3" t="str">
        <f>HYPERLINK("http://www.jccm.es/sede/tramite/KK1","TRANSFERENCIA DE AUTORIZACIONES DE PLANTACION Y/O DERECHOS DE PLANTACION")</f>
        <v>TRANSFERENCIA DE AUTORIZACIONES DE PLANTACION Y/O DERECHOS DE PLANTACION</v>
      </c>
      <c r="J1188" s="3" t="s">
        <v>42</v>
      </c>
      <c r="K1188" s="3" t="s">
        <v>41</v>
      </c>
      <c r="L1188" s="3" t="s">
        <v>42</v>
      </c>
      <c r="M1188" s="3" t="s">
        <v>41</v>
      </c>
    </row>
    <row r="1189" spans="1:13" ht="126.6">
      <c r="A1189" s="22" t="s">
        <v>9</v>
      </c>
      <c r="B1189" s="3" t="s">
        <v>3787</v>
      </c>
      <c r="C1189" s="3" t="s">
        <v>3788</v>
      </c>
      <c r="D1189" s="3" t="s">
        <v>45</v>
      </c>
      <c r="E1189" s="3" t="s">
        <v>37</v>
      </c>
      <c r="F1189" s="3" t="s">
        <v>3555</v>
      </c>
      <c r="G1189" s="3" t="s">
        <v>3566</v>
      </c>
      <c r="H1189" s="3" t="s">
        <v>3789</v>
      </c>
      <c r="I1189" s="3" t="str">
        <f>HYPERLINK("http://www.jccm.es/sede/tramite/KKA","MODIFICACION DE LA LOCALIZACION DE LA AUTORIZACION DE PLANTACION DE PARCELAS DE VIÑEDO")</f>
        <v>MODIFICACION DE LA LOCALIZACION DE LA AUTORIZACION DE PLANTACION DE PARCELAS DE VIÑEDO</v>
      </c>
      <c r="J1189" s="3" t="s">
        <v>42</v>
      </c>
      <c r="K1189" s="3" t="s">
        <v>41</v>
      </c>
      <c r="L1189" s="3" t="s">
        <v>42</v>
      </c>
      <c r="M1189" s="3" t="s">
        <v>41</v>
      </c>
    </row>
    <row r="1190" spans="1:13" ht="126.6">
      <c r="A1190" s="22" t="s">
        <v>9</v>
      </c>
      <c r="B1190" s="3" t="s">
        <v>3790</v>
      </c>
      <c r="C1190" s="3" t="s">
        <v>3791</v>
      </c>
      <c r="D1190" s="3" t="s">
        <v>45</v>
      </c>
      <c r="E1190" s="3" t="s">
        <v>37</v>
      </c>
      <c r="F1190" s="3" t="s">
        <v>3555</v>
      </c>
      <c r="G1190" s="3" t="s">
        <v>3566</v>
      </c>
      <c r="H1190" s="3" t="s">
        <v>3792</v>
      </c>
      <c r="I1190" s="3" t="str">
        <f>HYPERLINK("http://www.jccm.es/sede/tramite/KKB","REPOSICION DE MARRAS EN PARCELAS DE VIÑEDO")</f>
        <v>REPOSICION DE MARRAS EN PARCELAS DE VIÑEDO</v>
      </c>
      <c r="J1190" s="3" t="s">
        <v>42</v>
      </c>
      <c r="K1190" s="3" t="s">
        <v>41</v>
      </c>
      <c r="L1190" s="3" t="s">
        <v>42</v>
      </c>
      <c r="M1190" s="3" t="s">
        <v>41</v>
      </c>
    </row>
    <row r="1191" spans="1:13" ht="126.6">
      <c r="A1191" s="22" t="s">
        <v>9</v>
      </c>
      <c r="B1191" s="3" t="s">
        <v>3793</v>
      </c>
      <c r="C1191" s="3" t="s">
        <v>3794</v>
      </c>
      <c r="D1191" s="3" t="s">
        <v>45</v>
      </c>
      <c r="E1191" s="3" t="s">
        <v>37</v>
      </c>
      <c r="F1191" s="3" t="s">
        <v>3555</v>
      </c>
      <c r="G1191" s="3" t="s">
        <v>3566</v>
      </c>
      <c r="H1191" s="3" t="s">
        <v>3795</v>
      </c>
      <c r="I1191" s="3" t="str">
        <f>HYPERLINK("http://www.jccm.es/sede/tramite/L2D","AUTORIZACION PARA REPLANTACION ANTICIPADA DE PARCELAS DE VIÑEDO")</f>
        <v>AUTORIZACION PARA REPLANTACION ANTICIPADA DE PARCELAS DE VIÑEDO</v>
      </c>
      <c r="J1191" s="3" t="s">
        <v>42</v>
      </c>
      <c r="K1191" s="3" t="s">
        <v>41</v>
      </c>
      <c r="L1191" s="3" t="s">
        <v>42</v>
      </c>
      <c r="M1191" s="3" t="s">
        <v>41</v>
      </c>
    </row>
    <row r="1192" spans="1:13" ht="126.6">
      <c r="A1192" s="22" t="s">
        <v>9</v>
      </c>
      <c r="B1192" s="3" t="s">
        <v>3796</v>
      </c>
      <c r="C1192" s="3" t="s">
        <v>3797</v>
      </c>
      <c r="D1192" s="3" t="s">
        <v>327</v>
      </c>
      <c r="E1192" s="3" t="s">
        <v>37</v>
      </c>
      <c r="F1192" s="3" t="s">
        <v>3555</v>
      </c>
      <c r="G1192" s="3" t="s">
        <v>3566</v>
      </c>
      <c r="H1192" s="3" t="s">
        <v>3798</v>
      </c>
      <c r="I1192" s="3" t="str">
        <f>HYPERLINK("http://www.jccm.es/sede/tramite/KJV","COMUNICACION DE PLANTACION DE VIÑEDO")</f>
        <v>COMUNICACION DE PLANTACION DE VIÑEDO</v>
      </c>
      <c r="J1192" s="3" t="s">
        <v>42</v>
      </c>
      <c r="K1192" s="3" t="s">
        <v>41</v>
      </c>
      <c r="L1192" s="3" t="s">
        <v>42</v>
      </c>
      <c r="M1192" s="3" t="s">
        <v>41</v>
      </c>
    </row>
    <row r="1193" spans="1:13" ht="126.6">
      <c r="A1193" s="22" t="s">
        <v>9</v>
      </c>
      <c r="B1193" s="3" t="s">
        <v>3799</v>
      </c>
      <c r="C1193" s="3" t="s">
        <v>3800</v>
      </c>
      <c r="D1193" s="3" t="s">
        <v>327</v>
      </c>
      <c r="E1193" s="3" t="s">
        <v>37</v>
      </c>
      <c r="F1193" s="3" t="s">
        <v>3555</v>
      </c>
      <c r="G1193" s="3" t="s">
        <v>3566</v>
      </c>
      <c r="H1193" s="3" t="s">
        <v>3801</v>
      </c>
      <c r="I1193" s="3" t="str">
        <f>HYPERLINK("http://www.jccm.es/sede/tramite/KJW","COMUNICACION DE PLANTACIONES PARA AUTOCONSUMO")</f>
        <v>COMUNICACION DE PLANTACIONES PARA AUTOCONSUMO</v>
      </c>
      <c r="J1193" s="3" t="s">
        <v>42</v>
      </c>
      <c r="K1193" s="3" t="s">
        <v>41</v>
      </c>
      <c r="L1193" s="3" t="s">
        <v>42</v>
      </c>
      <c r="M1193" s="3" t="s">
        <v>41</v>
      </c>
    </row>
    <row r="1194" spans="1:13" ht="126.6">
      <c r="A1194" s="22" t="s">
        <v>9</v>
      </c>
      <c r="B1194" s="3" t="s">
        <v>3802</v>
      </c>
      <c r="C1194" s="3" t="s">
        <v>3803</v>
      </c>
      <c r="D1194" s="3" t="s">
        <v>327</v>
      </c>
      <c r="E1194" s="3" t="s">
        <v>37</v>
      </c>
      <c r="F1194" s="3" t="s">
        <v>3555</v>
      </c>
      <c r="G1194" s="3" t="s">
        <v>3566</v>
      </c>
      <c r="H1194" s="3" t="s">
        <v>3804</v>
      </c>
      <c r="I1194" s="3" t="str">
        <f>HYPERLINK("http://www.jccm.es/sede/tramite/KJU","COMUNICACION DE PLANTACIONES EXPERIMENTALES")</f>
        <v>COMUNICACION DE PLANTACIONES EXPERIMENTALES</v>
      </c>
      <c r="J1194" s="3" t="s">
        <v>42</v>
      </c>
      <c r="K1194" s="3" t="s">
        <v>41</v>
      </c>
      <c r="L1194" s="3" t="s">
        <v>42</v>
      </c>
      <c r="M1194" s="3" t="s">
        <v>41</v>
      </c>
    </row>
    <row r="1195" spans="1:13" ht="126.6">
      <c r="A1195" s="22" t="s">
        <v>9</v>
      </c>
      <c r="B1195" s="3" t="s">
        <v>3805</v>
      </c>
      <c r="C1195" s="3" t="s">
        <v>3806</v>
      </c>
      <c r="D1195" s="3" t="s">
        <v>327</v>
      </c>
      <c r="E1195" s="3" t="s">
        <v>37</v>
      </c>
      <c r="F1195" s="3" t="s">
        <v>3555</v>
      </c>
      <c r="G1195" s="3" t="s">
        <v>3566</v>
      </c>
      <c r="H1195" s="3" t="s">
        <v>3807</v>
      </c>
      <c r="I1195" s="3" t="str">
        <f>HYPERLINK("http://www.jccm.es/sede/tramite/KIT","COMUNICACION DE ARRANQUE DE VIÑEDO")</f>
        <v>COMUNICACION DE ARRANQUE DE VIÑEDO</v>
      </c>
      <c r="J1195" s="3" t="s">
        <v>42</v>
      </c>
      <c r="K1195" s="3" t="s">
        <v>41</v>
      </c>
      <c r="L1195" s="3" t="s">
        <v>42</v>
      </c>
      <c r="M1195" s="3" t="s">
        <v>41</v>
      </c>
    </row>
    <row r="1196" spans="1:13" ht="126.6">
      <c r="A1196" s="22" t="s">
        <v>9</v>
      </c>
      <c r="B1196" s="3" t="s">
        <v>3808</v>
      </c>
      <c r="C1196" s="3" t="s">
        <v>3809</v>
      </c>
      <c r="D1196" s="3" t="s">
        <v>327</v>
      </c>
      <c r="E1196" s="3" t="s">
        <v>37</v>
      </c>
      <c r="F1196" s="3" t="s">
        <v>3555</v>
      </c>
      <c r="G1196" s="3" t="s">
        <v>3566</v>
      </c>
      <c r="H1196" s="3" t="s">
        <v>3810</v>
      </c>
      <c r="I1196" s="3" t="str">
        <f>HYPERLINK("http://www.jccm.es/sede/tramite/KJY","AUTORIZACION DE ARRANQUE DE VIÑEDO")</f>
        <v>AUTORIZACION DE ARRANQUE DE VIÑEDO</v>
      </c>
      <c r="J1196" s="3" t="s">
        <v>42</v>
      </c>
      <c r="K1196" s="3" t="s">
        <v>41</v>
      </c>
      <c r="L1196" s="3" t="s">
        <v>42</v>
      </c>
      <c r="M1196" s="3" t="s">
        <v>41</v>
      </c>
    </row>
    <row r="1197" spans="1:13" ht="161.1">
      <c r="A1197" s="22" t="s">
        <v>9</v>
      </c>
      <c r="B1197" s="3" t="s">
        <v>3811</v>
      </c>
      <c r="C1197" s="3" t="s">
        <v>3812</v>
      </c>
      <c r="D1197" s="3" t="s">
        <v>327</v>
      </c>
      <c r="E1197" s="3" t="s">
        <v>37</v>
      </c>
      <c r="F1197" s="3" t="s">
        <v>3555</v>
      </c>
      <c r="G1197" s="3" t="s">
        <v>3616</v>
      </c>
      <c r="H1197" s="3" t="s">
        <v>3813</v>
      </c>
      <c r="I1197" s="3" t="str">
        <f>HYPERLINK("http://www.jccm.es/sede/tramite/KW3","COMUNICACION DE VARIACIONES EN LA DESTILERIA AUTORIZADA PARA SOLICITAR AYUDAS A LA DESTILACION DE SUBPRODUCTOS DE LA VINIFICACION")</f>
        <v>COMUNICACION DE VARIACIONES EN LA DESTILERIA AUTORIZADA PARA SOLICITAR AYUDAS A LA DESTILACION DE SUBPRODUCTOS DE LA VINIFICACION</v>
      </c>
      <c r="J1197" s="3" t="s">
        <v>41</v>
      </c>
      <c r="K1197" s="3" t="s">
        <v>41</v>
      </c>
      <c r="L1197" s="3" t="s">
        <v>42</v>
      </c>
      <c r="M1197" s="3" t="s">
        <v>41</v>
      </c>
    </row>
    <row r="1198" spans="1:13" ht="138">
      <c r="A1198" s="22" t="s">
        <v>9</v>
      </c>
      <c r="B1198" s="3" t="s">
        <v>3814</v>
      </c>
      <c r="C1198" s="3" t="s">
        <v>3815</v>
      </c>
      <c r="D1198" s="3" t="s">
        <v>327</v>
      </c>
      <c r="E1198" s="3" t="s">
        <v>37</v>
      </c>
      <c r="F1198" s="3" t="s">
        <v>3555</v>
      </c>
      <c r="G1198" s="3" t="s">
        <v>3616</v>
      </c>
      <c r="H1198" s="3" t="s">
        <v>3816</v>
      </c>
      <c r="I1198" s="3" t="str">
        <f>HYPERLINK("http://www.jccm.es/sede/tramite/KW2","COMUNICACION DE LA CONTINUACION O SUSPENSION  DE LA ACTIVIDAD PARA SOLICITAR LAS AYUDAS A LA DESTILACION")</f>
        <v>COMUNICACION DE LA CONTINUACION O SUSPENSION  DE LA ACTIVIDAD PARA SOLICITAR LAS AYUDAS A LA DESTILACION</v>
      </c>
      <c r="J1198" s="3" t="s">
        <v>41</v>
      </c>
      <c r="K1198" s="3" t="s">
        <v>41</v>
      </c>
      <c r="L1198" s="3" t="s">
        <v>42</v>
      </c>
      <c r="M1198" s="3" t="s">
        <v>41</v>
      </c>
    </row>
    <row r="1199" spans="1:13" ht="149.44999999999999">
      <c r="A1199" s="22" t="s">
        <v>9</v>
      </c>
      <c r="B1199" s="3" t="s">
        <v>3817</v>
      </c>
      <c r="C1199" s="3" t="s">
        <v>3818</v>
      </c>
      <c r="D1199" s="3" t="s">
        <v>327</v>
      </c>
      <c r="E1199" s="3" t="s">
        <v>37</v>
      </c>
      <c r="F1199" s="3" t="s">
        <v>3555</v>
      </c>
      <c r="G1199" s="3" t="s">
        <v>3616</v>
      </c>
      <c r="H1199" s="3" t="s">
        <v>3819</v>
      </c>
      <c r="I1199" s="3" t="str">
        <f>HYPERLINK("http://www.jccm.es/sede/tramite/J34","SOLICITUD DE AUTORIZACION DE LOS DESTILADORES PARA SOLICITAR AYUDAS A LA DESTILACION DE SUBPRODUCTOS DE LA VINIFICACION")</f>
        <v>SOLICITUD DE AUTORIZACION DE LOS DESTILADORES PARA SOLICITAR AYUDAS A LA DESTILACION DE SUBPRODUCTOS DE LA VINIFICACION</v>
      </c>
      <c r="J1199" s="3" t="s">
        <v>41</v>
      </c>
      <c r="K1199" s="3" t="s">
        <v>41</v>
      </c>
      <c r="L1199" s="3" t="s">
        <v>42</v>
      </c>
      <c r="M1199" s="3" t="s">
        <v>41</v>
      </c>
    </row>
    <row r="1200" spans="1:13" ht="114.95">
      <c r="A1200" s="22" t="s">
        <v>9</v>
      </c>
      <c r="B1200" s="3" t="s">
        <v>3820</v>
      </c>
      <c r="C1200" s="3" t="s">
        <v>3821</v>
      </c>
      <c r="D1200" s="3" t="s">
        <v>95</v>
      </c>
      <c r="E1200" s="3" t="s">
        <v>95</v>
      </c>
      <c r="F1200" s="3" t="s">
        <v>3555</v>
      </c>
      <c r="G1200" s="3" t="s">
        <v>3616</v>
      </c>
      <c r="H1200" s="3" t="s">
        <v>3822</v>
      </c>
      <c r="I1200" s="3" t="str">
        <f>HYPERLINK("http://www.jccm.es/sede/tramite/KW4","PRESENTACION CERTIFICADOS DE ENTREGAS DE SUBPRODUCTOS")</f>
        <v>PRESENTACION CERTIFICADOS DE ENTREGAS DE SUBPRODUCTOS</v>
      </c>
      <c r="J1200" s="3" t="s">
        <v>41</v>
      </c>
      <c r="K1200" s="3" t="s">
        <v>41</v>
      </c>
      <c r="L1200" s="3" t="s">
        <v>42</v>
      </c>
      <c r="M1200" s="3" t="s">
        <v>41</v>
      </c>
    </row>
    <row r="1201" spans="1:13" ht="114.95">
      <c r="A1201" s="22" t="s">
        <v>9</v>
      </c>
      <c r="B1201" s="3" t="s">
        <v>3823</v>
      </c>
      <c r="C1201" s="3" t="s">
        <v>3824</v>
      </c>
      <c r="D1201" s="3" t="s">
        <v>95</v>
      </c>
      <c r="E1201" s="3" t="s">
        <v>95</v>
      </c>
      <c r="F1201" s="3" t="s">
        <v>3555</v>
      </c>
      <c r="G1201" s="3" t="s">
        <v>3616</v>
      </c>
      <c r="H1201" s="3" t="s">
        <v>3825</v>
      </c>
      <c r="I1201" s="3" t="str">
        <f>HYPERLINK("http://www.jccm.es/sede/tramite/KW5","PRESENTACION DE DOCUMENTACION DE MATERIAS PRIMAS DESTILADAS Y ALCOHOL OBTENIDO")</f>
        <v>PRESENTACION DE DOCUMENTACION DE MATERIAS PRIMAS DESTILADAS Y ALCOHOL OBTENIDO</v>
      </c>
      <c r="J1201" s="3" t="s">
        <v>41</v>
      </c>
      <c r="K1201" s="3" t="s">
        <v>41</v>
      </c>
      <c r="L1201" s="3" t="s">
        <v>42</v>
      </c>
      <c r="M1201" s="3" t="s">
        <v>41</v>
      </c>
    </row>
    <row r="1202" spans="1:13" ht="218.45">
      <c r="A1202" s="22" t="s">
        <v>9</v>
      </c>
      <c r="B1202" s="3" t="s">
        <v>3826</v>
      </c>
      <c r="C1202" s="3" t="s">
        <v>3827</v>
      </c>
      <c r="D1202" s="3" t="s">
        <v>45</v>
      </c>
      <c r="E1202" s="3" t="s">
        <v>37</v>
      </c>
      <c r="F1202" s="3" t="s">
        <v>3555</v>
      </c>
      <c r="G1202" s="3" t="s">
        <v>3566</v>
      </c>
      <c r="H1202" s="3" t="s">
        <v>3828</v>
      </c>
      <c r="I1202" s="3" t="str">
        <f>HYPERLINK("http://www.jccm.es/sede/tramite/L85","SOLICITUD DE CESE COMO LABORATORIO AUTORIZADO PARA REALIZAR CONTROLES ANALITICOS DE SALMONELLA EN EL MARCO DE LOS PROGRAMAS DE AUTOCONTROL")</f>
        <v>SOLICITUD DE CESE COMO LABORATORIO AUTORIZADO PARA REALIZAR CONTROLES ANALITICOS DE SALMONELLA EN EL MARCO DE LOS PROGRAMAS DE AUTOCONTROL</v>
      </c>
      <c r="J1202" s="3" t="s">
        <v>41</v>
      </c>
      <c r="K1202" s="3" t="s">
        <v>41</v>
      </c>
      <c r="L1202" s="3" t="s">
        <v>42</v>
      </c>
      <c r="M1202" s="3" t="s">
        <v>41</v>
      </c>
    </row>
    <row r="1203" spans="1:13" ht="241.5">
      <c r="A1203" s="22" t="s">
        <v>9</v>
      </c>
      <c r="B1203" s="3" t="s">
        <v>3829</v>
      </c>
      <c r="C1203" s="3" t="s">
        <v>3830</v>
      </c>
      <c r="D1203" s="3" t="s">
        <v>45</v>
      </c>
      <c r="E1203" s="3" t="s">
        <v>37</v>
      </c>
      <c r="F1203" s="3" t="s">
        <v>3555</v>
      </c>
      <c r="G1203" s="3" t="s">
        <v>3566</v>
      </c>
      <c r="H1203" s="3" t="s">
        <v>3831</v>
      </c>
      <c r="I1203" s="3" t="str">
        <f>HYPERLINK("http://www.jccm.es/sede/tramite/L84","SOLICITUD DE MODIFICACION DE DATOS EN LOS LABORATORIOS AUTORIZADOS PARA REALIZAR CONTROLES ANALITICOS DE SALMONELLA EN EL MARCO DE LOS PROGRAMAS DE AUTOCONTROL")</f>
        <v>SOLICITUD DE MODIFICACION DE DATOS EN LOS LABORATORIOS AUTORIZADOS PARA REALIZAR CONTROLES ANALITICOS DE SALMONELLA EN EL MARCO DE LOS PROGRAMAS DE AUTOCONTROL</v>
      </c>
      <c r="J1203" s="3" t="s">
        <v>41</v>
      </c>
      <c r="K1203" s="3" t="s">
        <v>41</v>
      </c>
      <c r="L1203" s="3" t="s">
        <v>42</v>
      </c>
      <c r="M1203" s="3" t="s">
        <v>41</v>
      </c>
    </row>
    <row r="1204" spans="1:13" ht="207">
      <c r="A1204" s="22" t="s">
        <v>9</v>
      </c>
      <c r="B1204" s="3" t="s">
        <v>3832</v>
      </c>
      <c r="C1204" s="3" t="s">
        <v>3833</v>
      </c>
      <c r="D1204" s="3" t="s">
        <v>45</v>
      </c>
      <c r="E1204" s="3" t="s">
        <v>37</v>
      </c>
      <c r="F1204" s="3" t="s">
        <v>3555</v>
      </c>
      <c r="G1204" s="3" t="s">
        <v>3566</v>
      </c>
      <c r="H1204" s="3" t="s">
        <v>3834</v>
      </c>
      <c r="I1204" s="3" t="str">
        <f>HYPERLINK("http://www.jccm.es/sede/tramite/L83","SOLICITUD DE REGISTRO DE LABORATORIOS PARA REALIZAR CONTROLES ANALITICOS DE SALMONELLA EN EL MARCO DE LOS PROGRAMAS DE AUTOCONTROL")</f>
        <v>SOLICITUD DE REGISTRO DE LABORATORIOS PARA REALIZAR CONTROLES ANALITICOS DE SALMONELLA EN EL MARCO DE LOS PROGRAMAS DE AUTOCONTROL</v>
      </c>
      <c r="J1204" s="3" t="s">
        <v>41</v>
      </c>
      <c r="K1204" s="3" t="s">
        <v>41</v>
      </c>
      <c r="L1204" s="3" t="s">
        <v>42</v>
      </c>
      <c r="M1204" s="3" t="s">
        <v>41</v>
      </c>
    </row>
    <row r="1205" spans="1:13" ht="126.6">
      <c r="A1205" s="22" t="s">
        <v>9</v>
      </c>
      <c r="B1205" s="3" t="s">
        <v>3835</v>
      </c>
      <c r="C1205" s="3" t="s">
        <v>3836</v>
      </c>
      <c r="D1205" s="3" t="s">
        <v>95</v>
      </c>
      <c r="E1205" s="3" t="s">
        <v>95</v>
      </c>
      <c r="F1205" s="3" t="s">
        <v>3555</v>
      </c>
      <c r="G1205" s="3" t="s">
        <v>3566</v>
      </c>
      <c r="H1205" s="3" t="s">
        <v>3837</v>
      </c>
      <c r="I1205" s="3" t="str">
        <f>HYPERLINK("http://www.jccm.es/sede/tramite/LLU","COMUNICACION PREVIA A LA GESTION DE RESTOS CINEGETICOS.")</f>
        <v>COMUNICACION PREVIA A LA GESTION DE RESTOS CINEGETICOS.</v>
      </c>
      <c r="J1205" s="3" t="s">
        <v>42</v>
      </c>
      <c r="K1205" s="3" t="s">
        <v>41</v>
      </c>
      <c r="L1205" s="3" t="s">
        <v>42</v>
      </c>
      <c r="M1205" s="3" t="s">
        <v>41</v>
      </c>
    </row>
    <row r="1206" spans="1:13" ht="126.6">
      <c r="A1206" s="22" t="s">
        <v>9</v>
      </c>
      <c r="B1206" s="3" t="s">
        <v>3838</v>
      </c>
      <c r="C1206" s="3" t="s">
        <v>3839</v>
      </c>
      <c r="D1206" s="3" t="s">
        <v>95</v>
      </c>
      <c r="E1206" s="3" t="s">
        <v>95</v>
      </c>
      <c r="F1206" s="3" t="s">
        <v>3555</v>
      </c>
      <c r="G1206" s="3" t="s">
        <v>3566</v>
      </c>
      <c r="H1206" s="3" t="s">
        <v>3840</v>
      </c>
      <c r="I1206" s="3" t="str">
        <f>HYPERLINK("http://www.jccm.es/sede/tramite/LLV","COMUNICACION PREVIA AL FUNCIONAMIENTO DE UN PUNTO DE DEPOSITO DE RESTOS CINEGETICOS.")</f>
        <v>COMUNICACION PREVIA AL FUNCIONAMIENTO DE UN PUNTO DE DEPOSITO DE RESTOS CINEGETICOS.</v>
      </c>
      <c r="J1206" s="3" t="s">
        <v>42</v>
      </c>
      <c r="K1206" s="3" t="s">
        <v>41</v>
      </c>
      <c r="L1206" s="3" t="s">
        <v>42</v>
      </c>
      <c r="M1206" s="3" t="s">
        <v>41</v>
      </c>
    </row>
    <row r="1207" spans="1:13" ht="114.95">
      <c r="A1207" s="22" t="s">
        <v>9</v>
      </c>
      <c r="B1207" s="3" t="s">
        <v>3841</v>
      </c>
      <c r="C1207" s="3" t="s">
        <v>3842</v>
      </c>
      <c r="D1207" s="3" t="s">
        <v>327</v>
      </c>
      <c r="E1207" s="3" t="s">
        <v>46</v>
      </c>
      <c r="F1207" s="3" t="s">
        <v>3555</v>
      </c>
      <c r="G1207" s="3" t="s">
        <v>3616</v>
      </c>
      <c r="H1207" s="3" t="s">
        <v>3843</v>
      </c>
      <c r="I1207" s="3" t="str">
        <f>HYPERLINK("http://www.jccm.es/sede/tramite/JHO","RECONOCIMIENTO Y REGISTRO DE ORGANIZACIONES INTERPROFESIONALES AGROALIMENTARIAS")</f>
        <v>RECONOCIMIENTO Y REGISTRO DE ORGANIZACIONES INTERPROFESIONALES AGROALIMENTARIAS</v>
      </c>
      <c r="J1207" s="3" t="s">
        <v>41</v>
      </c>
      <c r="K1207" s="3" t="s">
        <v>41</v>
      </c>
      <c r="L1207" s="3" t="s">
        <v>42</v>
      </c>
      <c r="M1207" s="3" t="s">
        <v>41</v>
      </c>
    </row>
    <row r="1208" spans="1:13" ht="114.95">
      <c r="A1208" s="22" t="s">
        <v>9</v>
      </c>
      <c r="B1208" s="3" t="s">
        <v>3844</v>
      </c>
      <c r="C1208" s="3" t="s">
        <v>3845</v>
      </c>
      <c r="D1208" s="3" t="s">
        <v>45</v>
      </c>
      <c r="E1208" s="3" t="s">
        <v>46</v>
      </c>
      <c r="F1208" s="3" t="s">
        <v>3555</v>
      </c>
      <c r="G1208" s="3" t="s">
        <v>3616</v>
      </c>
      <c r="H1208" s="3" t="s">
        <v>3846</v>
      </c>
      <c r="I1208" s="3" t="str">
        <f>HYPERLINK("http://www.jccm.es/sede/tramite/JHR","RECONOCIMIENTO Y REGISTRO DE AGRUPACIONES DE PRODUCTORES DEL SECTOR VITIVINICOLA")</f>
        <v>RECONOCIMIENTO Y REGISTRO DE AGRUPACIONES DE PRODUCTORES DEL SECTOR VITIVINICOLA</v>
      </c>
      <c r="J1208" s="3" t="s">
        <v>41</v>
      </c>
      <c r="K1208" s="3" t="s">
        <v>41</v>
      </c>
      <c r="L1208" s="3" t="s">
        <v>42</v>
      </c>
      <c r="M1208" s="3" t="s">
        <v>41</v>
      </c>
    </row>
    <row r="1209" spans="1:13" ht="114.95">
      <c r="A1209" s="22" t="s">
        <v>9</v>
      </c>
      <c r="B1209" s="3" t="s">
        <v>3847</v>
      </c>
      <c r="C1209" s="3" t="s">
        <v>3848</v>
      </c>
      <c r="D1209" s="3" t="s">
        <v>327</v>
      </c>
      <c r="E1209" s="3" t="s">
        <v>37</v>
      </c>
      <c r="F1209" s="3" t="s">
        <v>3555</v>
      </c>
      <c r="G1209" s="3" t="s">
        <v>3616</v>
      </c>
      <c r="H1209" s="3" t="s">
        <v>3849</v>
      </c>
      <c r="I1209" s="3" t="str">
        <f>HYPERLINK("http://www.jccm.es/sede/tramite/720","TRAMITES ADMINISTRATIVOS DEL REGISTRO DE SOCIEDADES AGRARIAS DE TRANSFORMACION (S.A.T)")</f>
        <v>TRAMITES ADMINISTRATIVOS DEL REGISTRO DE SOCIEDADES AGRARIAS DE TRANSFORMACION (S.A.T)</v>
      </c>
      <c r="J1209" s="3" t="s">
        <v>41</v>
      </c>
      <c r="K1209" s="3" t="s">
        <v>41</v>
      </c>
      <c r="L1209" s="3" t="s">
        <v>42</v>
      </c>
      <c r="M1209" s="3" t="s">
        <v>41</v>
      </c>
    </row>
    <row r="1210" spans="1:13" ht="126.6">
      <c r="A1210" s="22" t="s">
        <v>9</v>
      </c>
      <c r="B1210" s="3" t="s">
        <v>3850</v>
      </c>
      <c r="C1210" s="3" t="s">
        <v>3851</v>
      </c>
      <c r="D1210" s="3" t="s">
        <v>327</v>
      </c>
      <c r="E1210" s="3" t="s">
        <v>37</v>
      </c>
      <c r="F1210" s="3" t="s">
        <v>3555</v>
      </c>
      <c r="G1210" s="3" t="s">
        <v>3616</v>
      </c>
      <c r="H1210" s="3" t="s">
        <v>3852</v>
      </c>
      <c r="I1210" s="3" t="str">
        <f>HYPERLINK("http://www.jccm.es/sede/tramite/J6Q","REGISTRO DE ENTIDADES DE CONTROL DE PRODUCTOS AGROALIMENTARIOS DE CASTILLA-LA MANCHA")</f>
        <v>REGISTRO DE ENTIDADES DE CONTROL DE PRODUCTOS AGROALIMENTARIOS DE CASTILLA-LA MANCHA</v>
      </c>
      <c r="J1210" s="3" t="s">
        <v>41</v>
      </c>
      <c r="K1210" s="3" t="s">
        <v>41</v>
      </c>
      <c r="L1210" s="3" t="s">
        <v>42</v>
      </c>
      <c r="M1210" s="3" t="s">
        <v>41</v>
      </c>
    </row>
    <row r="1211" spans="1:13" ht="114.95">
      <c r="A1211" s="22" t="s">
        <v>9</v>
      </c>
      <c r="B1211" s="3" t="s">
        <v>3853</v>
      </c>
      <c r="C1211" s="3" t="s">
        <v>3854</v>
      </c>
      <c r="D1211" s="3" t="s">
        <v>62</v>
      </c>
      <c r="E1211" s="3" t="s">
        <v>37</v>
      </c>
      <c r="F1211" s="3" t="s">
        <v>3555</v>
      </c>
      <c r="G1211" s="3" t="s">
        <v>3616</v>
      </c>
      <c r="H1211" s="3" t="s">
        <v>3855</v>
      </c>
      <c r="I1211" s="3" t="str">
        <f>HYPERLINK("http://www.jccm.es/sede/tramite/707","REGISTRO DE INDUSTRIAS AGROALIMENTARIAS")</f>
        <v>REGISTRO DE INDUSTRIAS AGROALIMENTARIAS</v>
      </c>
      <c r="J1211" s="3" t="s">
        <v>42</v>
      </c>
      <c r="K1211" s="3" t="s">
        <v>41</v>
      </c>
      <c r="L1211" s="3" t="s">
        <v>42</v>
      </c>
      <c r="M1211" s="3" t="s">
        <v>42</v>
      </c>
    </row>
    <row r="1212" spans="1:13" ht="126.6">
      <c r="A1212" s="22" t="s">
        <v>9</v>
      </c>
      <c r="B1212" s="3" t="s">
        <v>3856</v>
      </c>
      <c r="C1212" s="3" t="s">
        <v>3857</v>
      </c>
      <c r="D1212" s="3" t="s">
        <v>45</v>
      </c>
      <c r="E1212" s="3" t="s">
        <v>37</v>
      </c>
      <c r="F1212" s="3" t="s">
        <v>3555</v>
      </c>
      <c r="G1212" s="3" t="s">
        <v>3566</v>
      </c>
      <c r="H1212" s="3" t="s">
        <v>3858</v>
      </c>
      <c r="I1212" s="3" t="str">
        <f>HYPERLINK("http://www.jccm.es/sede/tramite/J6W","REGISTRO GENERAL DE ESTABLECIMIENTOS EN EL SECTOR DE ALIMENTACION ANIMAL")</f>
        <v>REGISTRO GENERAL DE ESTABLECIMIENTOS EN EL SECTOR DE ALIMENTACION ANIMAL</v>
      </c>
      <c r="J1212" s="3" t="s">
        <v>42</v>
      </c>
      <c r="K1212" s="3" t="s">
        <v>41</v>
      </c>
      <c r="L1212" s="3" t="s">
        <v>42</v>
      </c>
      <c r="M1212" s="3" t="s">
        <v>42</v>
      </c>
    </row>
    <row r="1213" spans="1:13" ht="126.6">
      <c r="A1213" s="22" t="s">
        <v>9</v>
      </c>
      <c r="B1213" s="3" t="s">
        <v>3859</v>
      </c>
      <c r="C1213" s="3" t="s">
        <v>3860</v>
      </c>
      <c r="D1213" s="3" t="s">
        <v>51</v>
      </c>
      <c r="E1213" s="3" t="s">
        <v>46</v>
      </c>
      <c r="F1213" s="3" t="s">
        <v>3555</v>
      </c>
      <c r="G1213" s="3" t="s">
        <v>3566</v>
      </c>
      <c r="H1213" s="3" t="s">
        <v>3861</v>
      </c>
      <c r="I1213" s="3" t="str">
        <f>HYPERLINK("http://www.jccm.es/sede/tramite/J6V","SOLICITUD ALTA/MODIFICACION EN EL REGISTRO DE EXPLOTACIONES GANADERAS Y NUCLEOS ZOOLOGICOS")</f>
        <v>SOLICITUD ALTA/MODIFICACION EN EL REGISTRO DE EXPLOTACIONES GANADERAS Y NUCLEOS ZOOLOGICOS</v>
      </c>
      <c r="J1213" s="3" t="s">
        <v>42</v>
      </c>
      <c r="K1213" s="3" t="s">
        <v>41</v>
      </c>
      <c r="L1213" s="3" t="s">
        <v>42</v>
      </c>
      <c r="M1213" s="3" t="s">
        <v>41</v>
      </c>
    </row>
    <row r="1214" spans="1:13" ht="126.6">
      <c r="A1214" s="22" t="s">
        <v>9</v>
      </c>
      <c r="B1214" s="3" t="s">
        <v>3862</v>
      </c>
      <c r="C1214" s="3" t="s">
        <v>3863</v>
      </c>
      <c r="D1214" s="3" t="s">
        <v>45</v>
      </c>
      <c r="E1214" s="3" t="s">
        <v>37</v>
      </c>
      <c r="F1214" s="3" t="s">
        <v>3555</v>
      </c>
      <c r="G1214" s="3" t="s">
        <v>3566</v>
      </c>
      <c r="H1214" s="3" t="s">
        <v>3864</v>
      </c>
      <c r="I1214" s="3" t="str">
        <f>HYPERLINK("http://www.jccm.es/sede/tramite/161","AUTORIZACION E INSCRIPCION EN EL REGISTRO DE EMPRESAS TRANSPORTISTAS, ASI COMO CONTENEDORES Y MEDIOS DE TRANSPORTE DE ANIMALES VIVOS")</f>
        <v>AUTORIZACION E INSCRIPCION EN EL REGISTRO DE EMPRESAS TRANSPORTISTAS, ASI COMO CONTENEDORES Y MEDIOS DE TRANSPORTE DE ANIMALES VIVOS</v>
      </c>
      <c r="J1214" s="3" t="s">
        <v>42</v>
      </c>
      <c r="K1214" s="3" t="s">
        <v>41</v>
      </c>
      <c r="L1214" s="3" t="s">
        <v>42</v>
      </c>
      <c r="M1214" s="3" t="s">
        <v>42</v>
      </c>
    </row>
    <row r="1215" spans="1:13" ht="149.44999999999999">
      <c r="A1215" s="22" t="s">
        <v>9</v>
      </c>
      <c r="B1215" s="3" t="s">
        <v>3865</v>
      </c>
      <c r="C1215" s="3" t="s">
        <v>3866</v>
      </c>
      <c r="D1215" s="3" t="s">
        <v>45</v>
      </c>
      <c r="E1215" s="3" t="s">
        <v>37</v>
      </c>
      <c r="F1215" s="3" t="s">
        <v>3555</v>
      </c>
      <c r="G1215" s="3" t="s">
        <v>3566</v>
      </c>
      <c r="H1215" s="3" t="s">
        <v>3867</v>
      </c>
      <c r="I1215" s="3" t="str">
        <f>HYPERLINK("http://www.jccm.es/sede/tramite/IO1","REGISTRO DE CENTROS DE LIMPIEZA Y DESINFECCION DE VEHICULOS DESTINADOS AL TRANSPORTE DE GANADO.")</f>
        <v>REGISTRO DE CENTROS DE LIMPIEZA Y DESINFECCION DE VEHICULOS DESTINADOS AL TRANSPORTE DE GANADO.</v>
      </c>
      <c r="J1215" s="3" t="s">
        <v>42</v>
      </c>
      <c r="K1215" s="3" t="s">
        <v>41</v>
      </c>
      <c r="L1215" s="3" t="s">
        <v>42</v>
      </c>
      <c r="M1215" s="3" t="s">
        <v>41</v>
      </c>
    </row>
    <row r="1216" spans="1:13" ht="126.6">
      <c r="A1216" s="22" t="s">
        <v>9</v>
      </c>
      <c r="B1216" s="3" t="s">
        <v>3868</v>
      </c>
      <c r="C1216" s="3" t="s">
        <v>3869</v>
      </c>
      <c r="D1216" s="3" t="s">
        <v>45</v>
      </c>
      <c r="E1216" s="3" t="s">
        <v>37</v>
      </c>
      <c r="F1216" s="3" t="s">
        <v>3555</v>
      </c>
      <c r="G1216" s="3" t="s">
        <v>3616</v>
      </c>
      <c r="H1216" s="3" t="s">
        <v>3870</v>
      </c>
      <c r="I1216" s="3" t="str">
        <f>HYPERLINK("http://www.jccm.es/sede/tramite/JIT","SOLICITUD DE AUTORIZACION PARA LA UTILIZACION DE LOS REGISTROS INFORMATIZADOS QUE SE HAN DE LLEVAR EN EL SECTOR VITIVINICOLA")</f>
        <v>SOLICITUD DE AUTORIZACION PARA LA UTILIZACION DE LOS REGISTROS INFORMATIZADOS QUE SE HAN DE LLEVAR EN EL SECTOR VITIVINICOLA</v>
      </c>
      <c r="J1216" s="3" t="s">
        <v>42</v>
      </c>
      <c r="K1216" s="3" t="s">
        <v>41</v>
      </c>
      <c r="L1216" s="3" t="s">
        <v>42</v>
      </c>
      <c r="M1216" s="3" t="s">
        <v>41</v>
      </c>
    </row>
    <row r="1217" spans="1:13" ht="126.6">
      <c r="A1217" s="22" t="s">
        <v>9</v>
      </c>
      <c r="B1217" s="3" t="s">
        <v>3871</v>
      </c>
      <c r="C1217" s="3" t="s">
        <v>3872</v>
      </c>
      <c r="D1217" s="3" t="s">
        <v>45</v>
      </c>
      <c r="E1217" s="3" t="s">
        <v>46</v>
      </c>
      <c r="F1217" s="3" t="s">
        <v>3555</v>
      </c>
      <c r="G1217" s="3" t="s">
        <v>3566</v>
      </c>
      <c r="H1217" s="3" t="s">
        <v>3873</v>
      </c>
      <c r="I1217" s="3" t="str">
        <f>HYPERLINK("http://www.jccm.es/sede/tramite/JO6","INSCRIPCION ALTA/BAJA/EMISION DE DUPLICADOS EN EL REGISTRO OFICIAL DE MAQUINARIA AGRICOLA")</f>
        <v>INSCRIPCION ALTA/BAJA/EMISION DE DUPLICADOS EN EL REGISTRO OFICIAL DE MAQUINARIA AGRICOLA</v>
      </c>
      <c r="J1217" s="3" t="s">
        <v>42</v>
      </c>
      <c r="K1217" s="3" t="s">
        <v>41</v>
      </c>
      <c r="L1217" s="3" t="s">
        <v>42</v>
      </c>
      <c r="M1217" s="3" t="s">
        <v>41</v>
      </c>
    </row>
    <row r="1218" spans="1:13" ht="149.44999999999999">
      <c r="A1218" s="22" t="s">
        <v>9</v>
      </c>
      <c r="B1218" s="3" t="s">
        <v>3874</v>
      </c>
      <c r="C1218" s="3" t="s">
        <v>3875</v>
      </c>
      <c r="D1218" s="3" t="s">
        <v>45</v>
      </c>
      <c r="E1218" s="3" t="s">
        <v>37</v>
      </c>
      <c r="F1218" s="3" t="s">
        <v>3555</v>
      </c>
      <c r="G1218" s="3" t="s">
        <v>3566</v>
      </c>
      <c r="H1218" s="3" t="s">
        <v>3876</v>
      </c>
      <c r="I1218" s="3" t="str">
        <f>HYPERLINK("http://www.jccm.es/sede/tramite/717","SOLICITUD DE INSCRIPCION EN EL REGISTRO OFICIAL DE PRODUCTORES Y OPERADORES DE MEDIOS DE DEFENSA FITOSANITARIOS")</f>
        <v>SOLICITUD DE INSCRIPCION EN EL REGISTRO OFICIAL DE PRODUCTORES Y OPERADORES DE MEDIOS DE DEFENSA FITOSANITARIOS</v>
      </c>
      <c r="J1218" s="3" t="s">
        <v>42</v>
      </c>
      <c r="K1218" s="3" t="s">
        <v>41</v>
      </c>
      <c r="L1218" s="3" t="s">
        <v>42</v>
      </c>
      <c r="M1218" s="3" t="s">
        <v>42</v>
      </c>
    </row>
    <row r="1219" spans="1:13" ht="138">
      <c r="A1219" s="22" t="s">
        <v>9</v>
      </c>
      <c r="B1219" s="3" t="s">
        <v>3877</v>
      </c>
      <c r="C1219" s="3" t="s">
        <v>3878</v>
      </c>
      <c r="D1219" s="3" t="s">
        <v>45</v>
      </c>
      <c r="E1219" s="3" t="s">
        <v>37</v>
      </c>
      <c r="F1219" s="3" t="s">
        <v>3555</v>
      </c>
      <c r="G1219" s="3" t="s">
        <v>3643</v>
      </c>
      <c r="H1219" s="3" t="s">
        <v>3879</v>
      </c>
      <c r="I1219" s="3" t="str">
        <f>HYPERLINK("http://www.jccm.es/sede/tramite/JSJ","REGISTRO DE TITULARIDAD COMPARTIDA DE EXPLOTACIONES AGRARIAS DE CASTILLA LA MANCHA")</f>
        <v>REGISTRO DE TITULARIDAD COMPARTIDA DE EXPLOTACIONES AGRARIAS DE CASTILLA LA MANCHA</v>
      </c>
      <c r="J1219" s="3" t="s">
        <v>42</v>
      </c>
      <c r="K1219" s="3" t="s">
        <v>41</v>
      </c>
      <c r="L1219" s="3" t="s">
        <v>42</v>
      </c>
      <c r="M1219" s="3" t="s">
        <v>41</v>
      </c>
    </row>
    <row r="1220" spans="1:13" ht="126.6">
      <c r="A1220" s="22" t="s">
        <v>9</v>
      </c>
      <c r="B1220" s="3" t="s">
        <v>3880</v>
      </c>
      <c r="C1220" s="3" t="s">
        <v>3881</v>
      </c>
      <c r="D1220" s="3" t="s">
        <v>327</v>
      </c>
      <c r="E1220" s="3" t="s">
        <v>46</v>
      </c>
      <c r="F1220" s="3" t="s">
        <v>3555</v>
      </c>
      <c r="G1220" s="3" t="s">
        <v>3566</v>
      </c>
      <c r="H1220" s="3" t="s">
        <v>3882</v>
      </c>
      <c r="I1220" s="3" t="str">
        <f>HYPERLINK("http://www.jccm.es/sede/tramite/JTR","ACTUALIZACION DE DATOS DEL REGISTRO VITICOLA")</f>
        <v>ACTUALIZACION DE DATOS DEL REGISTRO VITICOLA</v>
      </c>
      <c r="J1220" s="3" t="s">
        <v>42</v>
      </c>
      <c r="K1220" s="3" t="s">
        <v>41</v>
      </c>
      <c r="L1220" s="3" t="s">
        <v>42</v>
      </c>
      <c r="M1220" s="3" t="s">
        <v>41</v>
      </c>
    </row>
    <row r="1221" spans="1:13" ht="149.44999999999999">
      <c r="A1221" s="22" t="s">
        <v>9</v>
      </c>
      <c r="B1221" s="3" t="s">
        <v>3883</v>
      </c>
      <c r="C1221" s="3" t="s">
        <v>3884</v>
      </c>
      <c r="D1221" s="3" t="s">
        <v>327</v>
      </c>
      <c r="E1221" s="3" t="s">
        <v>46</v>
      </c>
      <c r="F1221" s="3" t="s">
        <v>3555</v>
      </c>
      <c r="G1221" s="3" t="s">
        <v>3566</v>
      </c>
      <c r="H1221" s="3" t="s">
        <v>3885</v>
      </c>
      <c r="I1221" s="3" t="str">
        <f>HYPERLINK("http://www.jccm.es/sede/tramite/JUB","SOLICITUD DE AUTORIZACION DE SANDACH PARA ALIMENTACION DE NECROFAGAS EN MULADARES O COMEDEROS Y DE EXPLOTACIONES GANADERAS")</f>
        <v>SOLICITUD DE AUTORIZACION DE SANDACH PARA ALIMENTACION DE NECROFAGAS EN MULADARES O COMEDEROS Y DE EXPLOTACIONES GANADERAS</v>
      </c>
      <c r="J1221" s="3" t="s">
        <v>42</v>
      </c>
      <c r="K1221" s="3" t="s">
        <v>41</v>
      </c>
      <c r="L1221" s="3" t="s">
        <v>42</v>
      </c>
      <c r="M1221" s="3" t="s">
        <v>41</v>
      </c>
    </row>
    <row r="1222" spans="1:13" ht="138">
      <c r="A1222" s="22" t="s">
        <v>9</v>
      </c>
      <c r="B1222" s="3" t="s">
        <v>3886</v>
      </c>
      <c r="C1222" s="3" t="s">
        <v>3887</v>
      </c>
      <c r="D1222" s="3" t="s">
        <v>51</v>
      </c>
      <c r="E1222" s="3" t="s">
        <v>46</v>
      </c>
      <c r="F1222" s="3" t="s">
        <v>3555</v>
      </c>
      <c r="G1222" s="3" t="s">
        <v>3566</v>
      </c>
      <c r="H1222" s="3" t="s">
        <v>3888</v>
      </c>
      <c r="I1222" s="3" t="str">
        <f>HYPERLINK("http://www.jccm.es/sede/tramite/JWY","REGISTRO DE MERCADOS AMBULANTES (MERCADILLOS) DE AMBITO MUNICIPAL PARA LA VENTA DE ANIMALES")</f>
        <v>REGISTRO DE MERCADOS AMBULANTES (MERCADILLOS) DE AMBITO MUNICIPAL PARA LA VENTA DE ANIMALES</v>
      </c>
      <c r="J1222" s="3" t="s">
        <v>42</v>
      </c>
      <c r="K1222" s="3" t="s">
        <v>41</v>
      </c>
      <c r="L1222" s="3" t="s">
        <v>42</v>
      </c>
      <c r="M1222" s="3" t="s">
        <v>41</v>
      </c>
    </row>
    <row r="1223" spans="1:13" ht="114.95">
      <c r="A1223" s="22" t="s">
        <v>9</v>
      </c>
      <c r="B1223" s="3" t="s">
        <v>3889</v>
      </c>
      <c r="C1223" s="3" t="s">
        <v>3890</v>
      </c>
      <c r="D1223" s="3" t="s">
        <v>327</v>
      </c>
      <c r="E1223" s="3" t="s">
        <v>37</v>
      </c>
      <c r="F1223" s="3" t="s">
        <v>3555</v>
      </c>
      <c r="G1223" s="3" t="s">
        <v>3616</v>
      </c>
      <c r="H1223" s="3" t="s">
        <v>3891</v>
      </c>
      <c r="I1223" s="3" t="str">
        <f>HYPERLINK("http://www.jccm.es/sede/tramite/KH9","SOLICITUD DE RECONOCIMIENTO E INSCRIPCION, MODIFICACION Y BAJA EN EL REGISTRO DE ENTIDADES ASOCIATIVAS PRIORITARIAS DE INTERES REGIONAL DE CASTILLA-LA MANCHA EAPIR")</f>
        <v>SOLICITUD DE RECONOCIMIENTO E INSCRIPCION, MODIFICACION Y BAJA EN EL REGISTRO DE ENTIDADES ASOCIATIVAS PRIORITARIAS DE INTERES REGIONAL DE CASTILLA-LA MANCHA EAPIR</v>
      </c>
      <c r="J1223" s="3" t="s">
        <v>41</v>
      </c>
      <c r="K1223" s="3" t="s">
        <v>41</v>
      </c>
      <c r="L1223" s="3" t="s">
        <v>42</v>
      </c>
      <c r="M1223" s="3" t="s">
        <v>41</v>
      </c>
    </row>
    <row r="1224" spans="1:13" ht="114.95">
      <c r="A1224" s="22" t="s">
        <v>9</v>
      </c>
      <c r="B1224" s="3" t="s">
        <v>3892</v>
      </c>
      <c r="C1224" s="3" t="s">
        <v>3893</v>
      </c>
      <c r="D1224" s="3" t="s">
        <v>45</v>
      </c>
      <c r="E1224" s="3" t="s">
        <v>37</v>
      </c>
      <c r="F1224" s="3" t="s">
        <v>3555</v>
      </c>
      <c r="G1224" s="3" t="s">
        <v>3616</v>
      </c>
      <c r="H1224" s="3" t="s">
        <v>3894</v>
      </c>
      <c r="I1224" s="3" t="str">
        <f>HYPERLINK("http://www.jccm.es/sede/tramite/KI0","INSCRIPCION, MODIFICACION Y BAJA EN EL REGISTRO DE PRIMEROS COMPRADORES DE LECHE DE VACA, OVEJA Y CABRA.")</f>
        <v>INSCRIPCION, MODIFICACION Y BAJA EN EL REGISTRO DE PRIMEROS COMPRADORES DE LECHE DE VACA, OVEJA Y CABRA.</v>
      </c>
      <c r="J1224" s="3" t="s">
        <v>42</v>
      </c>
      <c r="K1224" s="3" t="s">
        <v>41</v>
      </c>
      <c r="L1224" s="3" t="s">
        <v>42</v>
      </c>
      <c r="M1224" s="3" t="s">
        <v>41</v>
      </c>
    </row>
    <row r="1225" spans="1:13" ht="138">
      <c r="A1225" s="22" t="s">
        <v>9</v>
      </c>
      <c r="B1225" s="3" t="s">
        <v>3895</v>
      </c>
      <c r="C1225" s="3" t="s">
        <v>3896</v>
      </c>
      <c r="D1225" s="3" t="s">
        <v>45</v>
      </c>
      <c r="E1225" s="3" t="s">
        <v>37</v>
      </c>
      <c r="F1225" s="3" t="s">
        <v>3555</v>
      </c>
      <c r="G1225" s="3" t="s">
        <v>3616</v>
      </c>
      <c r="H1225" s="3" t="s">
        <v>3897</v>
      </c>
      <c r="I1225" s="3" t="str">
        <f>HYPERLINK("http://www.jccm.es/sede/tramite/KIW","ALTA, BAJA O MODIFICACION DEL REGISTRO GENERAL DE OPERADORES E INSTALACIONES DEL SECTOR VITIVINICOLA (REOVI)")</f>
        <v>ALTA, BAJA O MODIFICACION DEL REGISTRO GENERAL DE OPERADORES E INSTALACIONES DEL SECTOR VITIVINICOLA (REOVI)</v>
      </c>
      <c r="J1225" s="3" t="s">
        <v>42</v>
      </c>
      <c r="K1225" s="3" t="s">
        <v>41</v>
      </c>
      <c r="L1225" s="3" t="s">
        <v>42</v>
      </c>
      <c r="M1225" s="3" t="s">
        <v>41</v>
      </c>
    </row>
    <row r="1226" spans="1:13" ht="126.6">
      <c r="A1226" s="22" t="s">
        <v>9</v>
      </c>
      <c r="B1226" s="3" t="s">
        <v>3898</v>
      </c>
      <c r="C1226" s="3" t="s">
        <v>3899</v>
      </c>
      <c r="D1226" s="3" t="s">
        <v>51</v>
      </c>
      <c r="E1226" s="3" t="s">
        <v>46</v>
      </c>
      <c r="F1226" s="3" t="s">
        <v>3555</v>
      </c>
      <c r="G1226" s="3" t="s">
        <v>3566</v>
      </c>
      <c r="H1226" s="3" t="s">
        <v>3900</v>
      </c>
      <c r="I1226" s="3" t="str">
        <f>HYPERLINK("http://www.jccm.es/sede/tramite/KLB","SOLICITUD DE INSCRIPCION/BAJA/MODIFICACION DE EXPLOTACIONES APICOLAS")</f>
        <v>SOLICITUD DE INSCRIPCION/BAJA/MODIFICACION DE EXPLOTACIONES APICOLAS</v>
      </c>
      <c r="J1226" s="3" t="s">
        <v>42</v>
      </c>
      <c r="K1226" s="3" t="s">
        <v>41</v>
      </c>
      <c r="L1226" s="3" t="s">
        <v>42</v>
      </c>
      <c r="M1226" s="3" t="s">
        <v>41</v>
      </c>
    </row>
    <row r="1227" spans="1:13" ht="114.95">
      <c r="A1227" s="22" t="s">
        <v>9</v>
      </c>
      <c r="B1227" s="3" t="s">
        <v>3901</v>
      </c>
      <c r="C1227" s="3" t="s">
        <v>3902</v>
      </c>
      <c r="D1227" s="3" t="s">
        <v>327</v>
      </c>
      <c r="E1227" s="3" t="s">
        <v>46</v>
      </c>
      <c r="F1227" s="3" t="s">
        <v>3555</v>
      </c>
      <c r="G1227" s="3" t="s">
        <v>3616</v>
      </c>
      <c r="H1227" s="3" t="s">
        <v>3903</v>
      </c>
      <c r="I1227" s="3" t="str">
        <f>HYPERLINK("http://www.jccm.es/sede/tramite/KS1","MODIFICACION/BAJA EN EL REGISTRO DE AGRUPACIONES DE PRODUCTORES DE PRODUCTOS AGROALIMENTARIOS (APPAA)")</f>
        <v>MODIFICACION/BAJA EN EL REGISTRO DE AGRUPACIONES DE PRODUCTORES DE PRODUCTOS AGROALIMENTARIOS (APPAA)</v>
      </c>
      <c r="J1227" s="3" t="s">
        <v>41</v>
      </c>
      <c r="K1227" s="3" t="s">
        <v>41</v>
      </c>
      <c r="L1227" s="3" t="s">
        <v>42</v>
      </c>
      <c r="M1227" s="3" t="s">
        <v>41</v>
      </c>
    </row>
    <row r="1228" spans="1:13" ht="114.95">
      <c r="A1228" s="22" t="s">
        <v>9</v>
      </c>
      <c r="B1228" s="3" t="s">
        <v>3904</v>
      </c>
      <c r="C1228" s="3" t="s">
        <v>3905</v>
      </c>
      <c r="D1228" s="3" t="s">
        <v>45</v>
      </c>
      <c r="E1228" s="3" t="s">
        <v>37</v>
      </c>
      <c r="F1228" s="3" t="s">
        <v>3555</v>
      </c>
      <c r="G1228" s="3" t="s">
        <v>3556</v>
      </c>
      <c r="H1228" s="3" t="s">
        <v>3906</v>
      </c>
      <c r="I1228" s="3" t="str">
        <f>HYPERLINK("http://www.jccm.es/sede/tramite/KZH","SOLICITUD DE INSCRIPCION EN EL CATALOGO DE EXPLOTACIONES PRIORITARIAS")</f>
        <v>SOLICITUD DE INSCRIPCION EN EL CATALOGO DE EXPLOTACIONES PRIORITARIAS</v>
      </c>
      <c r="J1228" s="3" t="s">
        <v>42</v>
      </c>
      <c r="K1228" s="3" t="s">
        <v>41</v>
      </c>
      <c r="L1228" s="3" t="s">
        <v>42</v>
      </c>
      <c r="M1228" s="3" t="s">
        <v>41</v>
      </c>
    </row>
    <row r="1229" spans="1:13" ht="218.45">
      <c r="A1229" s="22" t="s">
        <v>9</v>
      </c>
      <c r="B1229" s="3" t="s">
        <v>3907</v>
      </c>
      <c r="C1229" s="3" t="s">
        <v>3908</v>
      </c>
      <c r="D1229" s="3" t="s">
        <v>70</v>
      </c>
      <c r="E1229" s="3" t="s">
        <v>37</v>
      </c>
      <c r="F1229" s="3" t="s">
        <v>3555</v>
      </c>
      <c r="G1229" s="3" t="s">
        <v>3566</v>
      </c>
      <c r="H1229" s="3" t="s">
        <v>3909</v>
      </c>
      <c r="I1229" s="3" t="str">
        <f>HYPERLINK("http://www.jccm.es/sede/tramite/L1O","SOLICITUD DE INCORPORACION AL PROGRAMA SANITARIO DE PREVENCION Y CONTROL DE LA RINOTRAQUEITIS INFECCIOSA BOVINA Y LA DIARREA VIRICA BOVINA")</f>
        <v>SOLICITUD DE INCORPORACION AL PROGRAMA SANITARIO DE PREVENCION Y CONTROL DE LA RINOTRAQUEITIS INFECCIOSA BOVINA Y LA DIARREA VIRICA BOVINA</v>
      </c>
      <c r="J1229" s="3" t="s">
        <v>42</v>
      </c>
      <c r="K1229" s="3" t="s">
        <v>41</v>
      </c>
      <c r="L1229" s="3" t="s">
        <v>42</v>
      </c>
      <c r="M1229" s="3" t="s">
        <v>41</v>
      </c>
    </row>
    <row r="1230" spans="1:13" ht="195.6">
      <c r="A1230" s="22" t="s">
        <v>9</v>
      </c>
      <c r="B1230" s="3" t="s">
        <v>3910</v>
      </c>
      <c r="C1230" s="3" t="s">
        <v>3911</v>
      </c>
      <c r="D1230" s="3" t="s">
        <v>70</v>
      </c>
      <c r="E1230" s="3" t="s">
        <v>37</v>
      </c>
      <c r="F1230" s="3" t="s">
        <v>3555</v>
      </c>
      <c r="G1230" s="3" t="s">
        <v>3566</v>
      </c>
      <c r="H1230" s="3" t="s">
        <v>3912</v>
      </c>
      <c r="I1230" s="3" t="str">
        <f>HYPERLINK("http://www.jccm.es/sede/tramite/L2A","SOLICITUD DE REALIZACION DE PRUEBAS DE TUBERCULOSIS CAPRINA EN EXPLOTACIONES NO INCLUIDAS EN EL PROGRAMA NACIONAL DE  ERRADICACION DE TUBERCULOSIS BOVINA")</f>
        <v>SOLICITUD DE REALIZACION DE PRUEBAS DE TUBERCULOSIS CAPRINA EN EXPLOTACIONES NO INCLUIDAS EN EL PROGRAMA NACIONAL DE  ERRADICACION DE TUBERCULOSIS BOVINA</v>
      </c>
      <c r="J1230" s="3" t="s">
        <v>42</v>
      </c>
      <c r="K1230" s="3" t="s">
        <v>41</v>
      </c>
      <c r="L1230" s="3" t="s">
        <v>42</v>
      </c>
      <c r="M1230" s="3" t="s">
        <v>41</v>
      </c>
    </row>
    <row r="1231" spans="1:13" ht="138">
      <c r="A1231" s="22" t="s">
        <v>9</v>
      </c>
      <c r="B1231" s="3" t="s">
        <v>3913</v>
      </c>
      <c r="C1231" s="3" t="s">
        <v>3914</v>
      </c>
      <c r="D1231" s="3" t="s">
        <v>51</v>
      </c>
      <c r="E1231" s="3" t="s">
        <v>37</v>
      </c>
      <c r="F1231" s="3" t="s">
        <v>3555</v>
      </c>
      <c r="G1231" s="3" t="s">
        <v>3566</v>
      </c>
      <c r="H1231" s="3" t="s">
        <v>3915</v>
      </c>
      <c r="I1231" s="3" t="str">
        <f>HYPERLINK("http://www.jccm.es/sede/tramite/L4K","SOLICITUD INACTIVACION/REACTIVACION/BAJA EN EL REGISTRO DE EXPLOTACIONES GANADERAS Y NUCLEOS ZOOLOGICOS")</f>
        <v>SOLICITUD INACTIVACION/REACTIVACION/BAJA EN EL REGISTRO DE EXPLOTACIONES GANADERAS Y NUCLEOS ZOOLOGICOS</v>
      </c>
      <c r="J1231" s="3" t="s">
        <v>42</v>
      </c>
      <c r="K1231" s="3" t="s">
        <v>41</v>
      </c>
      <c r="L1231" s="3" t="s">
        <v>42</v>
      </c>
      <c r="M1231" s="3" t="s">
        <v>41</v>
      </c>
    </row>
    <row r="1232" spans="1:13" ht="114.95">
      <c r="A1232" s="22" t="s">
        <v>9</v>
      </c>
      <c r="B1232" s="3" t="s">
        <v>3916</v>
      </c>
      <c r="C1232" s="3" t="s">
        <v>3917</v>
      </c>
      <c r="D1232" s="3" t="s">
        <v>45</v>
      </c>
      <c r="E1232" s="3" t="s">
        <v>37</v>
      </c>
      <c r="F1232" s="3" t="s">
        <v>3555</v>
      </c>
      <c r="G1232" s="3" t="s">
        <v>3616</v>
      </c>
      <c r="H1232" s="3" t="s">
        <v>3918</v>
      </c>
      <c r="I1232" s="3" t="str">
        <f>HYPERLINK("http://www.jccm.es/sede/tramite/L6B","INSCRIPCION, MODIFICACION, BAJA Y CESE TEMPORAL EN EL CENSO DE INSTALACIONES Y OPERADORES OLEICOLAS")</f>
        <v>INSCRIPCION, MODIFICACION, BAJA Y CESE TEMPORAL EN EL CENSO DE INSTALACIONES Y OPERADORES OLEICOLAS</v>
      </c>
      <c r="J1232" s="3" t="s">
        <v>42</v>
      </c>
      <c r="K1232" s="3" t="s">
        <v>41</v>
      </c>
      <c r="L1232" s="3" t="s">
        <v>42</v>
      </c>
      <c r="M1232" s="3" t="s">
        <v>41</v>
      </c>
    </row>
    <row r="1233" spans="1:13" ht="126.6">
      <c r="A1233" s="22" t="s">
        <v>9</v>
      </c>
      <c r="B1233" s="3" t="s">
        <v>3919</v>
      </c>
      <c r="C1233" s="3" t="s">
        <v>3920</v>
      </c>
      <c r="D1233" s="3" t="s">
        <v>3921</v>
      </c>
      <c r="E1233" s="3" t="s">
        <v>37</v>
      </c>
      <c r="F1233" s="3" t="s">
        <v>3555</v>
      </c>
      <c r="G1233" s="3" t="s">
        <v>3566</v>
      </c>
      <c r="H1233" s="3" t="s">
        <v>3922</v>
      </c>
      <c r="I1233" s="3" t="str">
        <f>HYPERLINK("http://www.jccm.es/sede/tramite/L6P","COMUNICACION DE MODIFICACIONES EN LOS DATOS O SOCIOS DE LAS ADSG Y SU REGISTRO REGIONAL")</f>
        <v>COMUNICACION DE MODIFICACIONES EN LOS DATOS O SOCIOS DE LAS ADSG Y SU REGISTRO REGIONAL</v>
      </c>
      <c r="J1233" s="3" t="s">
        <v>41</v>
      </c>
      <c r="K1233" s="3" t="s">
        <v>41</v>
      </c>
      <c r="L1233" s="3" t="s">
        <v>42</v>
      </c>
      <c r="M1233" s="3" t="s">
        <v>41</v>
      </c>
    </row>
    <row r="1234" spans="1:13" ht="195.6">
      <c r="A1234" s="22" t="s">
        <v>9</v>
      </c>
      <c r="B1234" s="3" t="s">
        <v>3923</v>
      </c>
      <c r="C1234" s="3" t="s">
        <v>3924</v>
      </c>
      <c r="D1234" s="3" t="s">
        <v>45</v>
      </c>
      <c r="E1234" s="3" t="s">
        <v>37</v>
      </c>
      <c r="F1234" s="3" t="s">
        <v>3555</v>
      </c>
      <c r="G1234" s="3" t="s">
        <v>3566</v>
      </c>
      <c r="H1234" s="3" t="s">
        <v>3925</v>
      </c>
      <c r="I1234" s="3" t="str">
        <f>HYPERLINK("http://www.jccm.es/sede/tramite/L6Q","SOLICITUD DE PERDIDA DE LA CONDICION DE ADSG Y CANCELACION DE LA INSCRIPCION EN EL REGISTRO REGIONAL DE AGRUPACION DE DEFENSA SANITARIA GANADERA")</f>
        <v>SOLICITUD DE PERDIDA DE LA CONDICION DE ADSG Y CANCELACION DE LA INSCRIPCION EN EL REGISTRO REGIONAL DE AGRUPACION DE DEFENSA SANITARIA GANADERA</v>
      </c>
      <c r="J1234" s="3" t="s">
        <v>41</v>
      </c>
      <c r="K1234" s="3" t="s">
        <v>41</v>
      </c>
      <c r="L1234" s="3" t="s">
        <v>42</v>
      </c>
      <c r="M1234" s="3" t="s">
        <v>41</v>
      </c>
    </row>
    <row r="1235" spans="1:13" ht="126.6">
      <c r="A1235" s="22" t="s">
        <v>9</v>
      </c>
      <c r="B1235" s="3" t="s">
        <v>3926</v>
      </c>
      <c r="C1235" s="3" t="s">
        <v>3927</v>
      </c>
      <c r="D1235" s="3" t="s">
        <v>45</v>
      </c>
      <c r="E1235" s="3" t="s">
        <v>46</v>
      </c>
      <c r="F1235" s="3" t="s">
        <v>3555</v>
      </c>
      <c r="G1235" s="3" t="s">
        <v>3566</v>
      </c>
      <c r="H1235" s="3" t="s">
        <v>3928</v>
      </c>
      <c r="I1235" s="3" t="str">
        <f>HYPERLINK("http://www.jccm.es/sede/tramite/LDV","REGISTRO OFICIAL DE OPERADORES PROFESIONALES DE VEGETALES EN CASTILLA-LA MANCHA")</f>
        <v>REGISTRO OFICIAL DE OPERADORES PROFESIONALES DE VEGETALES EN CASTILLA-LA MANCHA</v>
      </c>
      <c r="J1235" s="3" t="s">
        <v>41</v>
      </c>
      <c r="K1235" s="3" t="s">
        <v>41</v>
      </c>
      <c r="L1235" s="3" t="s">
        <v>42</v>
      </c>
      <c r="M1235" s="3" t="s">
        <v>41</v>
      </c>
    </row>
    <row r="1236" spans="1:13" ht="114.95">
      <c r="A1236" s="22" t="s">
        <v>9</v>
      </c>
      <c r="B1236" s="3" t="s">
        <v>3929</v>
      </c>
      <c r="C1236" s="3" t="s">
        <v>3930</v>
      </c>
      <c r="D1236" s="3" t="s">
        <v>36</v>
      </c>
      <c r="E1236" s="3" t="s">
        <v>46</v>
      </c>
      <c r="F1236" s="3" t="s">
        <v>3555</v>
      </c>
      <c r="G1236" s="3" t="s">
        <v>3616</v>
      </c>
      <c r="H1236" s="3" t="s">
        <v>3931</v>
      </c>
      <c r="I1236" s="3" t="str">
        <f>HYPERLINK("http://www.jccm.es/sede/tramite/LK6","RECONOCIMIENTO COMO ORGANIZACION DE PRODUCTORES DE FRUTAS Y HORTALIZAS")</f>
        <v>RECONOCIMIENTO COMO ORGANIZACION DE PRODUCTORES DE FRUTAS Y HORTALIZAS</v>
      </c>
      <c r="J1236" s="3" t="s">
        <v>41</v>
      </c>
      <c r="K1236" s="3" t="s">
        <v>41</v>
      </c>
      <c r="L1236" s="3" t="s">
        <v>42</v>
      </c>
      <c r="M1236" s="3" t="s">
        <v>41</v>
      </c>
    </row>
    <row r="1237" spans="1:13" ht="114.95">
      <c r="A1237" s="22" t="s">
        <v>9</v>
      </c>
      <c r="B1237" s="3" t="s">
        <v>3932</v>
      </c>
      <c r="C1237" s="3" t="s">
        <v>3933</v>
      </c>
      <c r="D1237" s="3" t="s">
        <v>327</v>
      </c>
      <c r="E1237" s="3" t="s">
        <v>37</v>
      </c>
      <c r="F1237" s="3" t="s">
        <v>3555</v>
      </c>
      <c r="G1237" s="3" t="s">
        <v>3616</v>
      </c>
      <c r="H1237" s="3" t="s">
        <v>3934</v>
      </c>
      <c r="I1237" s="3" t="str">
        <f>HYPERLINK("http://www.jccm.es/sede/tramite/LL7","SOLICITUD RECONOCIMIENTO LONJAS DE REFERENCIA")</f>
        <v>SOLICITUD RECONOCIMIENTO LONJAS DE REFERENCIA</v>
      </c>
      <c r="J1237" s="3" t="s">
        <v>41</v>
      </c>
      <c r="K1237" s="3" t="s">
        <v>41</v>
      </c>
      <c r="L1237" s="3" t="s">
        <v>42</v>
      </c>
      <c r="M1237" s="3" t="s">
        <v>41</v>
      </c>
    </row>
    <row r="1238" spans="1:13" ht="103.5">
      <c r="A1238" s="22" t="s">
        <v>9</v>
      </c>
      <c r="B1238" s="3" t="s">
        <v>3935</v>
      </c>
      <c r="C1238" s="3" t="s">
        <v>3936</v>
      </c>
      <c r="D1238" s="3" t="s">
        <v>95</v>
      </c>
      <c r="E1238" s="3" t="s">
        <v>46</v>
      </c>
      <c r="F1238" s="3" t="s">
        <v>3555</v>
      </c>
      <c r="G1238" s="3" t="s">
        <v>3555</v>
      </c>
      <c r="H1238" s="3" t="s">
        <v>3937</v>
      </c>
      <c r="I1238" s="3" t="str">
        <f>HYPERLINK("http://www.jccm.es/sede/tramite/LWB","AUTORIZACION Y REGISTRO DE OPERADORES PRODUCTORES DE BROTES")</f>
        <v>AUTORIZACION Y REGISTRO DE OPERADORES PRODUCTORES DE BROTES</v>
      </c>
      <c r="J1238" s="3" t="s">
        <v>42</v>
      </c>
      <c r="K1238" s="3" t="s">
        <v>41</v>
      </c>
      <c r="L1238" s="3" t="s">
        <v>42</v>
      </c>
      <c r="M1238" s="3" t="s">
        <v>41</v>
      </c>
    </row>
    <row r="1239" spans="1:13" ht="69">
      <c r="A1239" s="22" t="s">
        <v>9</v>
      </c>
      <c r="B1239" s="3" t="s">
        <v>3938</v>
      </c>
      <c r="C1239" s="3" t="s">
        <v>3939</v>
      </c>
      <c r="D1239" s="3" t="s">
        <v>459</v>
      </c>
      <c r="E1239" s="3" t="s">
        <v>37</v>
      </c>
      <c r="F1239" s="3" t="s">
        <v>3555</v>
      </c>
      <c r="G1239" s="3" t="s">
        <v>3555</v>
      </c>
      <c r="H1239" s="3" t="s">
        <v>3940</v>
      </c>
      <c r="I1239" s="3" t="str">
        <f>HYPERLINK("http://www.jccm.es/sede/tramite/LWS","INSCRIPCION/BAJA/DUPLICADO DE TANQUE DE LECHE")</f>
        <v>INSCRIPCION/BAJA/DUPLICADO DE TANQUE DE LECHE</v>
      </c>
      <c r="J1239" s="3" t="s">
        <v>42</v>
      </c>
      <c r="K1239" s="3" t="s">
        <v>41</v>
      </c>
      <c r="L1239" s="3" t="s">
        <v>42</v>
      </c>
      <c r="M1239" s="3" t="s">
        <v>41</v>
      </c>
    </row>
    <row r="1240" spans="1:13" ht="161.1">
      <c r="A1240" s="22" t="s">
        <v>9</v>
      </c>
      <c r="B1240" s="3" t="s">
        <v>3941</v>
      </c>
      <c r="C1240" s="3" t="s">
        <v>3942</v>
      </c>
      <c r="D1240" s="3" t="s">
        <v>327</v>
      </c>
      <c r="E1240" s="3" t="s">
        <v>37</v>
      </c>
      <c r="F1240" s="3" t="s">
        <v>3555</v>
      </c>
      <c r="G1240" s="3" t="s">
        <v>3555</v>
      </c>
      <c r="H1240" s="3" t="s">
        <v>3943</v>
      </c>
      <c r="I1240" s="3" t="str">
        <f>HYPERLINK("http://www.jccm.es/sede/tramite/LYZ","PRESENTACION DE EJERCICIOS ECONOMICOS ANUALES AL REGISTRO DE SOCIEDADES AGRARIAS DE TRANSFORMACION (S.A.T.)")</f>
        <v>PRESENTACION DE EJERCICIOS ECONOMICOS ANUALES AL REGISTRO DE SOCIEDADES AGRARIAS DE TRANSFORMACION (S.A.T.)</v>
      </c>
      <c r="J1240" s="3" t="s">
        <v>41</v>
      </c>
      <c r="K1240" s="3" t="s">
        <v>41</v>
      </c>
      <c r="L1240" s="3" t="s">
        <v>42</v>
      </c>
      <c r="M1240" s="3" t="s">
        <v>41</v>
      </c>
    </row>
    <row r="1241" spans="1:13" ht="138">
      <c r="A1241" s="22" t="s">
        <v>9</v>
      </c>
      <c r="B1241" s="3" t="s">
        <v>3944</v>
      </c>
      <c r="C1241" s="3" t="s">
        <v>3945</v>
      </c>
      <c r="D1241" s="3" t="s">
        <v>45</v>
      </c>
      <c r="E1241" s="3" t="s">
        <v>46</v>
      </c>
      <c r="F1241" s="3" t="s">
        <v>3555</v>
      </c>
      <c r="G1241" s="3" t="s">
        <v>3616</v>
      </c>
      <c r="H1241" s="3" t="s">
        <v>3946</v>
      </c>
      <c r="I1241" s="3" t="str">
        <f>HYPERLINK("http://www.jccm.es/sede/tramite/698","SOLICITUD DE INSCRIPCION EN EL REGISTRO DE EMBOTELLADORES Y ENVASADORES DE VINO DE CASTILLA-LA MANCHA")</f>
        <v>SOLICITUD DE INSCRIPCION EN EL REGISTRO DE EMBOTELLADORES Y ENVASADORES DE VINO DE CASTILLA-LA MANCHA</v>
      </c>
      <c r="J1241" s="3" t="s">
        <v>42</v>
      </c>
      <c r="K1241" s="3" t="s">
        <v>41</v>
      </c>
      <c r="L1241" s="3" t="s">
        <v>42</v>
      </c>
      <c r="M1241" s="3" t="s">
        <v>42</v>
      </c>
    </row>
    <row r="1242" spans="1:13" ht="138">
      <c r="A1242" s="22" t="s">
        <v>9</v>
      </c>
      <c r="B1242" s="3" t="s">
        <v>3947</v>
      </c>
      <c r="C1242" s="3" t="s">
        <v>3948</v>
      </c>
      <c r="D1242" s="3" t="s">
        <v>45</v>
      </c>
      <c r="E1242" s="3" t="s">
        <v>46</v>
      </c>
      <c r="F1242" s="3" t="s">
        <v>3555</v>
      </c>
      <c r="G1242" s="3" t="s">
        <v>3616</v>
      </c>
      <c r="H1242" s="3" t="s">
        <v>3949</v>
      </c>
      <c r="I1242" s="3" t="str">
        <f>HYPERLINK("http://www.jccm.es/sede/tramite/LJL","SOLICITUD DE MODIFICACION EN EL REGISTRO DE EMBOTELLADORES Y ENVASADORES DE VINO DE CASTILLA-LA MANCHA.")</f>
        <v>SOLICITUD DE MODIFICACION EN EL REGISTRO DE EMBOTELLADORES Y ENVASADORES DE VINO DE CASTILLA-LA MANCHA.</v>
      </c>
      <c r="J1242" s="3" t="s">
        <v>42</v>
      </c>
      <c r="K1242" s="3" t="s">
        <v>41</v>
      </c>
      <c r="L1242" s="3" t="s">
        <v>42</v>
      </c>
      <c r="M1242" s="3" t="s">
        <v>41</v>
      </c>
    </row>
    <row r="1243" spans="1:13" ht="161.1">
      <c r="A1243" s="22" t="s">
        <v>9</v>
      </c>
      <c r="B1243" s="3" t="s">
        <v>3950</v>
      </c>
      <c r="C1243" s="3" t="s">
        <v>3951</v>
      </c>
      <c r="D1243" s="3" t="s">
        <v>327</v>
      </c>
      <c r="E1243" s="3" t="s">
        <v>46</v>
      </c>
      <c r="F1243" s="3" t="s">
        <v>3555</v>
      </c>
      <c r="G1243" s="3" t="s">
        <v>3616</v>
      </c>
      <c r="H1243" s="3" t="s">
        <v>3952</v>
      </c>
      <c r="I1243" s="3" t="str">
        <f>HYPERLINK("http://www.jccm.es/sede/tramite/KT9","RECONOCIMIENTO E INSCRIPCION EN EL REGISTRO DE AGRUPACIONES DE PRODUCTORES DE PRODUCTOS AGROALIMENTARIOS (APPAA)")</f>
        <v>RECONOCIMIENTO E INSCRIPCION EN EL REGISTRO DE AGRUPACIONES DE PRODUCTORES DE PRODUCTOS AGROALIMENTARIOS (APPAA)</v>
      </c>
      <c r="J1243" s="3" t="s">
        <v>41</v>
      </c>
      <c r="K1243" s="3" t="s">
        <v>41</v>
      </c>
      <c r="L1243" s="3" t="s">
        <v>42</v>
      </c>
      <c r="M1243" s="3" t="s">
        <v>41</v>
      </c>
    </row>
    <row r="1244" spans="1:13" ht="149.44999999999999">
      <c r="A1244" s="22" t="s">
        <v>9</v>
      </c>
      <c r="B1244" s="3" t="s">
        <v>3953</v>
      </c>
      <c r="C1244" s="3" t="s">
        <v>3954</v>
      </c>
      <c r="D1244" s="3" t="s">
        <v>327</v>
      </c>
      <c r="E1244" s="3" t="s">
        <v>46</v>
      </c>
      <c r="F1244" s="3" t="s">
        <v>3555</v>
      </c>
      <c r="G1244" s="3" t="s">
        <v>3555</v>
      </c>
      <c r="H1244" s="3" t="s">
        <v>3955</v>
      </c>
      <c r="I1244" s="3" t="str">
        <f>HYPERLINK("http://www.jccm.es/sede/tramite/LW1","MODIFICACION Y/O BAJA EN EL REGISTRO DE AGRUPACIONES DE PRODUCTORES DE PRODUCTOS AGROALIMENTARIOS (APPAA)")</f>
        <v>MODIFICACION Y/O BAJA EN EL REGISTRO DE AGRUPACIONES DE PRODUCTORES DE PRODUCTOS AGROALIMENTARIOS (APPAA)</v>
      </c>
      <c r="J1244" s="3" t="s">
        <v>41</v>
      </c>
      <c r="K1244" s="3" t="s">
        <v>41</v>
      </c>
      <c r="L1244" s="3" t="s">
        <v>42</v>
      </c>
      <c r="M1244" s="3" t="s">
        <v>41</v>
      </c>
    </row>
    <row r="1245" spans="1:13" ht="149.44999999999999">
      <c r="A1245" s="22" t="s">
        <v>9</v>
      </c>
      <c r="B1245" s="3" t="s">
        <v>3956</v>
      </c>
      <c r="C1245" s="3" t="s">
        <v>3957</v>
      </c>
      <c r="D1245" s="3" t="s">
        <v>327</v>
      </c>
      <c r="E1245" s="3" t="s">
        <v>46</v>
      </c>
      <c r="F1245" s="3" t="s">
        <v>3555</v>
      </c>
      <c r="G1245" s="3" t="s">
        <v>3555</v>
      </c>
      <c r="H1245" s="3" t="s">
        <v>3958</v>
      </c>
      <c r="I1245" s="3" t="str">
        <f>HYPERLINK("http://www.jccm.es/sede/tramite/LW2","COMUNICACION MANTENIMIENTO CONDICION DE AGRUPACION DE PRODUCTORES DE PRODUCTOS AGROALIMENTARIAS")</f>
        <v>COMUNICACION MANTENIMIENTO CONDICION DE AGRUPACION DE PRODUCTORES DE PRODUCTOS AGROALIMENTARIAS</v>
      </c>
      <c r="J1245" s="3" t="s">
        <v>41</v>
      </c>
      <c r="K1245" s="3" t="s">
        <v>41</v>
      </c>
      <c r="L1245" s="3" t="s">
        <v>42</v>
      </c>
      <c r="M1245" s="3" t="s">
        <v>41</v>
      </c>
    </row>
    <row r="1246" spans="1:13" ht="126.6">
      <c r="A1246" s="22" t="s">
        <v>9</v>
      </c>
      <c r="B1246" s="3" t="s">
        <v>3959</v>
      </c>
      <c r="C1246" s="3" t="s">
        <v>3960</v>
      </c>
      <c r="D1246" s="3" t="s">
        <v>45</v>
      </c>
      <c r="E1246" s="3" t="s">
        <v>37</v>
      </c>
      <c r="F1246" s="3" t="s">
        <v>3555</v>
      </c>
      <c r="G1246" s="3" t="s">
        <v>3566</v>
      </c>
      <c r="H1246" s="3" t="s">
        <v>3961</v>
      </c>
      <c r="I1246" s="3" t="str">
        <f>HYPERLINK("http://www.jccm.es/sede/tramite/L1I","COMUNICACION DE ANIMALES PRESENTES EN LA EXPLOTACION.")</f>
        <v>COMUNICACION DE ANIMALES PRESENTES EN LA EXPLOTACION.</v>
      </c>
      <c r="J1246" s="3" t="s">
        <v>42</v>
      </c>
      <c r="K1246" s="3" t="s">
        <v>41</v>
      </c>
      <c r="L1246" s="3" t="s">
        <v>42</v>
      </c>
      <c r="M1246" s="3" t="s">
        <v>41</v>
      </c>
    </row>
    <row r="1247" spans="1:13" ht="126.6">
      <c r="A1247" s="22" t="s">
        <v>9</v>
      </c>
      <c r="B1247" s="3" t="s">
        <v>3962</v>
      </c>
      <c r="C1247" s="3" t="s">
        <v>3963</v>
      </c>
      <c r="D1247" s="3" t="s">
        <v>45</v>
      </c>
      <c r="E1247" s="3" t="s">
        <v>37</v>
      </c>
      <c r="F1247" s="3" t="s">
        <v>3555</v>
      </c>
      <c r="G1247" s="3" t="s">
        <v>3566</v>
      </c>
      <c r="H1247" s="3" t="s">
        <v>3964</v>
      </c>
      <c r="I1247" s="3" t="str">
        <f>HYPERLINK("http://www.jccm.es/sede/tramite/L1H","SOLICITUD DE INCORPORACION AL PROGRAMA SANITARIO DE CONTROL DE AGALAXIA CONTAGIOSA.")</f>
        <v>SOLICITUD DE INCORPORACION AL PROGRAMA SANITARIO DE CONTROL DE AGALAXIA CONTAGIOSA.</v>
      </c>
      <c r="J1247" s="3" t="s">
        <v>42</v>
      </c>
      <c r="K1247" s="3" t="s">
        <v>41</v>
      </c>
      <c r="L1247" s="3" t="s">
        <v>42</v>
      </c>
      <c r="M1247" s="3" t="s">
        <v>41</v>
      </c>
    </row>
    <row r="1248" spans="1:13" ht="126.6">
      <c r="A1248" s="22" t="s">
        <v>9</v>
      </c>
      <c r="B1248" s="3" t="s">
        <v>3965</v>
      </c>
      <c r="C1248" s="3" t="s">
        <v>3966</v>
      </c>
      <c r="D1248" s="3" t="s">
        <v>192</v>
      </c>
      <c r="E1248" s="3" t="s">
        <v>46</v>
      </c>
      <c r="F1248" s="3" t="s">
        <v>3555</v>
      </c>
      <c r="G1248" s="3" t="s">
        <v>3566</v>
      </c>
      <c r="H1248" s="3" t="s">
        <v>3967</v>
      </c>
      <c r="I1248" s="3" t="str">
        <f>HYPERLINK("http://www.jccm.es/sede/tramite/787","SOLICITUD DE AYUDA A LAS ADSG PARA LA EJECUCION DE LOS PROGRAMAS NACIONALES DE ERRADICACION DE ENFERMEDADES ANIMALES (PNEEA) REGULADAS POR EL CAPITULO III DE LA ORDEN 29/2018")</f>
        <v>SOLICITUD DE AYUDA A LAS ADSG PARA LA EJECUCION DE LOS PROGRAMAS NACIONALES DE ERRADICACION DE ENFERMEDADES ANIMALES (PNEEA) REGULADAS POR EL CAPITULO III DE LA ORDEN 29/2018</v>
      </c>
      <c r="J1248" s="3" t="s">
        <v>41</v>
      </c>
      <c r="K1248" s="3" t="s">
        <v>41</v>
      </c>
      <c r="L1248" s="3" t="s">
        <v>42</v>
      </c>
      <c r="M1248" s="3" t="s">
        <v>41</v>
      </c>
    </row>
    <row r="1249" spans="1:13" ht="218.45">
      <c r="A1249" s="22" t="s">
        <v>9</v>
      </c>
      <c r="B1249" s="3" t="s">
        <v>3968</v>
      </c>
      <c r="C1249" s="3" t="s">
        <v>3969</v>
      </c>
      <c r="D1249" s="3" t="s">
        <v>62</v>
      </c>
      <c r="E1249" s="3" t="s">
        <v>46</v>
      </c>
      <c r="F1249" s="3" t="s">
        <v>3555</v>
      </c>
      <c r="G1249" s="3" t="s">
        <v>3643</v>
      </c>
      <c r="H1249" s="3" t="s">
        <v>3970</v>
      </c>
      <c r="I1249" s="3" t="str">
        <f>HYPERLINK("http://www.jccm.es/sede/tramite/ITN","AYUDAS A LAS ORGANIZACIONES PROFESIONALES AGRARIAS Y A LAS ENTIDADES ASOCIATIVAS SIN ANIMO DE LUCRO REPRESENTATIVAS DE LAS COOPERATIVAS AGRARIAS DE CASTILLA-LA MANCHA")</f>
        <v>AYUDAS A LAS ORGANIZACIONES PROFESIONALES AGRARIAS Y A LAS ENTIDADES ASOCIATIVAS SIN ANIMO DE LUCRO REPRESENTATIVAS DE LAS COOPERATIVAS AGRARIAS DE CASTILLA-LA MANCHA</v>
      </c>
      <c r="J1249" s="3" t="s">
        <v>41</v>
      </c>
      <c r="K1249" s="3" t="s">
        <v>41</v>
      </c>
      <c r="L1249" s="3" t="s">
        <v>42</v>
      </c>
      <c r="M1249" s="3" t="s">
        <v>41</v>
      </c>
    </row>
    <row r="1250" spans="1:13" ht="149.44999999999999">
      <c r="A1250" s="22" t="s">
        <v>9</v>
      </c>
      <c r="B1250" s="3" t="s">
        <v>3971</v>
      </c>
      <c r="C1250" s="3" t="s">
        <v>3972</v>
      </c>
      <c r="D1250" s="3" t="s">
        <v>45</v>
      </c>
      <c r="E1250" s="3" t="s">
        <v>46</v>
      </c>
      <c r="F1250" s="3" t="s">
        <v>3555</v>
      </c>
      <c r="G1250" s="3" t="s">
        <v>3697</v>
      </c>
      <c r="H1250" s="3" t="s">
        <v>3973</v>
      </c>
      <c r="I1250" s="3" t="str">
        <f>HYPERLINK("http://www.jccm.es/sede/tramite/J3G","AYUDAS EN REGIMEN DE MINIMIS PARA PALIAR LOS DAÑOS PRODUCIDOS POR AVES NECROFAGAS AL GANADO DOMESTICO EN CASTILLA-LA MANCHA.")</f>
        <v>AYUDAS EN REGIMEN DE MINIMIS PARA PALIAR LOS DAÑOS PRODUCIDOS POR AVES NECROFAGAS AL GANADO DOMESTICO EN CASTILLA-LA MANCHA.</v>
      </c>
      <c r="J1250" s="3" t="s">
        <v>42</v>
      </c>
      <c r="K1250" s="3" t="s">
        <v>41</v>
      </c>
      <c r="L1250" s="3" t="s">
        <v>42</v>
      </c>
      <c r="M1250" s="3" t="s">
        <v>41</v>
      </c>
    </row>
    <row r="1251" spans="1:13" ht="114.95">
      <c r="A1251" s="22" t="s">
        <v>9</v>
      </c>
      <c r="B1251" s="3" t="s">
        <v>3974</v>
      </c>
      <c r="C1251" s="3" t="s">
        <v>3975</v>
      </c>
      <c r="D1251" s="3" t="s">
        <v>95</v>
      </c>
      <c r="E1251" s="3" t="s">
        <v>95</v>
      </c>
      <c r="F1251" s="3" t="s">
        <v>3555</v>
      </c>
      <c r="G1251" s="3" t="s">
        <v>3616</v>
      </c>
      <c r="H1251" s="3" t="s">
        <v>3976</v>
      </c>
      <c r="I1251" s="3" t="str">
        <f>HYPERLINK("http://www.jccm.es/sede/tramite/IID","CONCURSO OFICIAL GRAN SELECCION CAMPO Y ALMA")</f>
        <v>CONCURSO OFICIAL GRAN SELECCION CAMPO Y ALMA</v>
      </c>
      <c r="J1251" s="3" t="s">
        <v>41</v>
      </c>
      <c r="K1251" s="3" t="s">
        <v>41</v>
      </c>
      <c r="L1251" s="3" t="s">
        <v>42</v>
      </c>
      <c r="M1251" s="3" t="s">
        <v>41</v>
      </c>
    </row>
    <row r="1252" spans="1:13" ht="114.95">
      <c r="A1252" s="22" t="s">
        <v>9</v>
      </c>
      <c r="B1252" s="3" t="s">
        <v>3977</v>
      </c>
      <c r="C1252" s="3" t="s">
        <v>3978</v>
      </c>
      <c r="D1252" s="3" t="s">
        <v>45</v>
      </c>
      <c r="E1252" s="3" t="s">
        <v>46</v>
      </c>
      <c r="F1252" s="3" t="s">
        <v>3555</v>
      </c>
      <c r="G1252" s="3" t="s">
        <v>3616</v>
      </c>
      <c r="H1252" s="3" t="s">
        <v>3979</v>
      </c>
      <c r="I1252" s="3" t="str">
        <f>HYPERLINK("http://www.jccm.es/sede/tramite/K4D","PRESENTACION JUSTIFICANTES DEL DESTINO DEL ALCOHOL")</f>
        <v>PRESENTACION JUSTIFICANTES DEL DESTINO DEL ALCOHOL</v>
      </c>
      <c r="J1252" s="3" t="s">
        <v>41</v>
      </c>
      <c r="K1252" s="3" t="s">
        <v>41</v>
      </c>
      <c r="L1252" s="3" t="s">
        <v>42</v>
      </c>
      <c r="M1252" s="3" t="s">
        <v>41</v>
      </c>
    </row>
    <row r="1253" spans="1:13" ht="138">
      <c r="A1253" s="22" t="s">
        <v>9</v>
      </c>
      <c r="B1253" s="3" t="s">
        <v>3980</v>
      </c>
      <c r="C1253" s="3" t="s">
        <v>3981</v>
      </c>
      <c r="D1253" s="3" t="s">
        <v>327</v>
      </c>
      <c r="E1253" s="3" t="s">
        <v>46</v>
      </c>
      <c r="F1253" s="3" t="s">
        <v>3555</v>
      </c>
      <c r="G1253" s="3" t="s">
        <v>3566</v>
      </c>
      <c r="H1253" s="3" t="s">
        <v>3982</v>
      </c>
      <c r="I1253" s="3" t="str">
        <f>HYPERLINK("http://www.jccm.es/sede/tramite/K5S","PAGO POR ANTICIPO")</f>
        <v>PAGO POR ANTICIPO</v>
      </c>
      <c r="J1253" s="3" t="s">
        <v>41</v>
      </c>
      <c r="K1253" s="3" t="s">
        <v>41</v>
      </c>
      <c r="L1253" s="3" t="s">
        <v>42</v>
      </c>
      <c r="M1253" s="3" t="s">
        <v>41</v>
      </c>
    </row>
    <row r="1254" spans="1:13" ht="195.6">
      <c r="A1254" s="22" t="s">
        <v>9</v>
      </c>
      <c r="B1254" s="3" t="s">
        <v>3983</v>
      </c>
      <c r="C1254" s="3" t="s">
        <v>3984</v>
      </c>
      <c r="D1254" s="3" t="s">
        <v>45</v>
      </c>
      <c r="E1254" s="3" t="s">
        <v>46</v>
      </c>
      <c r="F1254" s="3" t="s">
        <v>3555</v>
      </c>
      <c r="G1254" s="3" t="s">
        <v>3697</v>
      </c>
      <c r="H1254" s="3" t="s">
        <v>3985</v>
      </c>
      <c r="I1254" s="3" t="str">
        <f>HYPERLINK("http://www.jccm.es/sede/tramite/KG0","AYUDAS EN REGIMEN DE MINIMIS PARA PALIAR LOS DAÑOS RELACIONADOS CON ATAQUES DE LOBO IBERICO (CANIS LUPUS SIGNATUS) AL GANADO DOMESTICO EN CASTILLA-LA MANCHA")</f>
        <v>AYUDAS EN REGIMEN DE MINIMIS PARA PALIAR LOS DAÑOS RELACIONADOS CON ATAQUES DE LOBO IBERICO (CANIS LUPUS SIGNATUS) AL GANADO DOMESTICO EN CASTILLA-LA MANCHA</v>
      </c>
      <c r="J1254" s="3" t="s">
        <v>42</v>
      </c>
      <c r="K1254" s="3" t="s">
        <v>41</v>
      </c>
      <c r="L1254" s="3" t="s">
        <v>42</v>
      </c>
      <c r="M1254" s="3" t="s">
        <v>41</v>
      </c>
    </row>
    <row r="1255" spans="1:13" ht="218.45">
      <c r="A1255" s="22" t="s">
        <v>9</v>
      </c>
      <c r="B1255" s="3" t="s">
        <v>3986</v>
      </c>
      <c r="C1255" s="3" t="s">
        <v>3987</v>
      </c>
      <c r="D1255" s="3" t="s">
        <v>45</v>
      </c>
      <c r="E1255" s="3" t="s">
        <v>46</v>
      </c>
      <c r="F1255" s="3" t="s">
        <v>3555</v>
      </c>
      <c r="G1255" s="3" t="s">
        <v>3556</v>
      </c>
      <c r="H1255" s="3" t="s">
        <v>3988</v>
      </c>
      <c r="I1255" s="3" t="str">
        <f>HYPERLINK("http://www.jccm.es/sede/tramite/KKM","AYUDA  PARA LA PARTICIPACION EN LA SELECCION DE GRUPOS DE ACCION LOCAL Y ESTRATEGIAS DE DESARROLLO LOCAL")</f>
        <v>AYUDA  PARA LA PARTICIPACION EN LA SELECCION DE GRUPOS DE ACCION LOCAL Y ESTRATEGIAS DE DESARROLLO LOCAL</v>
      </c>
      <c r="J1255" s="3" t="s">
        <v>42</v>
      </c>
      <c r="K1255" s="3" t="s">
        <v>41</v>
      </c>
      <c r="L1255" s="3" t="s">
        <v>42</v>
      </c>
      <c r="M1255" s="3" t="s">
        <v>41</v>
      </c>
    </row>
    <row r="1256" spans="1:13" ht="252.95">
      <c r="A1256" s="22" t="s">
        <v>9</v>
      </c>
      <c r="B1256" s="3" t="s">
        <v>3989</v>
      </c>
      <c r="C1256" s="3" t="s">
        <v>3990</v>
      </c>
      <c r="D1256" s="3" t="s">
        <v>3991</v>
      </c>
      <c r="E1256" s="3" t="s">
        <v>46</v>
      </c>
      <c r="F1256" s="3" t="s">
        <v>3555</v>
      </c>
      <c r="G1256" s="3" t="s">
        <v>3556</v>
      </c>
      <c r="H1256" s="3" t="s">
        <v>3992</v>
      </c>
      <c r="I1256" s="3" t="str">
        <f>HYPERLINK("http://www.jccm.es/sede/tramite/KVH","MODIFICACION SOLICITUD AYUDA A LA MODERNIZACION Y TRANSFORMACION DE REGADIOS")</f>
        <v>MODIFICACION SOLICITUD AYUDA A LA MODERNIZACION Y TRANSFORMACION DE REGADIOS</v>
      </c>
      <c r="J1256" s="3" t="s">
        <v>41</v>
      </c>
      <c r="K1256" s="3" t="s">
        <v>41</v>
      </c>
      <c r="L1256" s="3" t="s">
        <v>42</v>
      </c>
      <c r="M1256" s="3" t="s">
        <v>41</v>
      </c>
    </row>
    <row r="1257" spans="1:13" ht="218.45">
      <c r="A1257" s="22" t="s">
        <v>9</v>
      </c>
      <c r="B1257" s="3" t="s">
        <v>3993</v>
      </c>
      <c r="C1257" s="3" t="s">
        <v>3994</v>
      </c>
      <c r="D1257" s="3" t="s">
        <v>45</v>
      </c>
      <c r="E1257" s="3" t="s">
        <v>46</v>
      </c>
      <c r="F1257" s="3" t="s">
        <v>3555</v>
      </c>
      <c r="G1257" s="3" t="s">
        <v>3616</v>
      </c>
      <c r="H1257" s="3" t="s">
        <v>3995</v>
      </c>
      <c r="I1257" s="3" t="str">
        <f>HYPERLINK("http://www.jccm.es/sede/tramite/KWH","AYUDAS PARA EL SUMINISTRO Y DISTRIBUCION DE FRUTAS Y HORTALIZAS, Y LECHE Y PRODUCTOS LACTEOS  EN LOS CENTROS ESCOLARES DE CASTILLA-LA MANCHA PARA EL CURSO ESCOLAR 2019-2020")</f>
        <v>AYUDAS PARA EL SUMINISTRO Y DISTRIBUCION DE FRUTAS Y HORTALIZAS, Y LECHE Y PRODUCTOS LACTEOS  EN LOS CENTROS ESCOLARES DE CASTILLA-LA MANCHA PARA EL CURSO ESCOLAR 2019-2020</v>
      </c>
      <c r="J1257" s="3" t="s">
        <v>41</v>
      </c>
      <c r="K1257" s="3" t="s">
        <v>41</v>
      </c>
      <c r="L1257" s="3" t="s">
        <v>42</v>
      </c>
      <c r="M1257" s="3" t="s">
        <v>41</v>
      </c>
    </row>
    <row r="1258" spans="1:13" ht="241.5">
      <c r="A1258" s="22" t="s">
        <v>9</v>
      </c>
      <c r="B1258" s="3" t="s">
        <v>3996</v>
      </c>
      <c r="C1258" s="3" t="s">
        <v>3997</v>
      </c>
      <c r="D1258" s="3" t="s">
        <v>62</v>
      </c>
      <c r="E1258" s="3" t="s">
        <v>46</v>
      </c>
      <c r="F1258" s="3" t="s">
        <v>3555</v>
      </c>
      <c r="G1258" s="3" t="s">
        <v>3616</v>
      </c>
      <c r="H1258" s="3" t="s">
        <v>3998</v>
      </c>
      <c r="I1258" s="3" t="str">
        <f>HYPERLINK("http://www.jccm.es/sede/tramite/KWI","SOLICITUD DE PAGO DE LAS AYUDAS PARA EL SUMINISTRO Y DISTRIBUCION DE FRUTAS Y HORTALIZAS, Y LECHE Y PRODUCTOS LACTEOS EN LOS CENTROS ESCOLARES DE CASTILLA-LA MANCHA PARA EL CURSO ESCOLAR 2019-2020")</f>
        <v>SOLICITUD DE PAGO DE LAS AYUDAS PARA EL SUMINISTRO Y DISTRIBUCION DE FRUTAS Y HORTALIZAS, Y LECHE Y PRODUCTOS LACTEOS EN LOS CENTROS ESCOLARES DE CASTILLA-LA MANCHA PARA EL CURSO ESCOLAR 2019-2020</v>
      </c>
      <c r="J1258" s="3" t="s">
        <v>41</v>
      </c>
      <c r="K1258" s="3" t="s">
        <v>41</v>
      </c>
      <c r="L1258" s="3" t="s">
        <v>42</v>
      </c>
      <c r="M1258" s="3" t="s">
        <v>41</v>
      </c>
    </row>
    <row r="1259" spans="1:13" ht="230.1">
      <c r="A1259" s="22" t="s">
        <v>9</v>
      </c>
      <c r="B1259" s="3" t="s">
        <v>3999</v>
      </c>
      <c r="C1259" s="3" t="s">
        <v>4000</v>
      </c>
      <c r="D1259" s="3" t="s">
        <v>95</v>
      </c>
      <c r="E1259" s="3" t="s">
        <v>95</v>
      </c>
      <c r="F1259" s="3" t="s">
        <v>3555</v>
      </c>
      <c r="G1259" s="3" t="s">
        <v>3697</v>
      </c>
      <c r="H1259" s="3" t="s">
        <v>4001</v>
      </c>
      <c r="I1259" s="3" t="str">
        <f>HYPERLINK("http://www.jccm.es/sede/tramite/KYD","COMUNICACION DE CAMBIO DE TITULARIDAD Y ACEPTACION EXPRESA POR EL NUEVO TITULAR DE LAS CONDICIONES DE LA AYUDAS DE PAGOS COMPENSATORIOS POR ZONAS AGRICOLAS DE LA RED NATURA 2000")</f>
        <v>COMUNICACION DE CAMBIO DE TITULARIDAD Y ACEPTACION EXPRESA POR EL NUEVO TITULAR DE LAS CONDICIONES DE LA AYUDAS DE PAGOS COMPENSATORIOS POR ZONAS AGRICOLAS DE LA RED NATURA 2000</v>
      </c>
      <c r="J1259" s="3" t="s">
        <v>41</v>
      </c>
      <c r="K1259" s="3" t="s">
        <v>41</v>
      </c>
      <c r="L1259" s="3" t="s">
        <v>42</v>
      </c>
      <c r="M1259" s="3" t="s">
        <v>41</v>
      </c>
    </row>
    <row r="1260" spans="1:13" ht="149.44999999999999">
      <c r="A1260" s="22" t="s">
        <v>9</v>
      </c>
      <c r="B1260" s="3" t="s">
        <v>4002</v>
      </c>
      <c r="C1260" s="3" t="s">
        <v>4003</v>
      </c>
      <c r="D1260" s="3" t="s">
        <v>45</v>
      </c>
      <c r="E1260" s="3" t="s">
        <v>46</v>
      </c>
      <c r="F1260" s="3" t="s">
        <v>3555</v>
      </c>
      <c r="G1260" s="3" t="s">
        <v>3556</v>
      </c>
      <c r="H1260" s="3" t="s">
        <v>4004</v>
      </c>
      <c r="I1260" s="3" t="str">
        <f>HYPERLINK("http://www.jccm.es/sede/tramite/KYV","AYUDAS EN ESPECIE CONSISTENTES EN LA EJECUCION DE ACTUACIONES DE MEJORA Y ACONDICIONAMIENTO DE CAMINOS RURALES")</f>
        <v>AYUDAS EN ESPECIE CONSISTENTES EN LA EJECUCION DE ACTUACIONES DE MEJORA Y ACONDICIONAMIENTO DE CAMINOS RURALES</v>
      </c>
      <c r="J1260" s="3" t="s">
        <v>41</v>
      </c>
      <c r="K1260" s="3" t="s">
        <v>41</v>
      </c>
      <c r="L1260" s="3" t="s">
        <v>42</v>
      </c>
      <c r="M1260" s="3" t="s">
        <v>41</v>
      </c>
    </row>
    <row r="1261" spans="1:13" ht="345">
      <c r="A1261" s="22" t="s">
        <v>9</v>
      </c>
      <c r="B1261" s="3" t="s">
        <v>4005</v>
      </c>
      <c r="C1261" s="3" t="s">
        <v>4006</v>
      </c>
      <c r="D1261" s="3" t="s">
        <v>95</v>
      </c>
      <c r="E1261" s="3" t="s">
        <v>95</v>
      </c>
      <c r="F1261" s="3" t="s">
        <v>3555</v>
      </c>
      <c r="G1261" s="3" t="s">
        <v>3697</v>
      </c>
      <c r="H1261" s="3" t="s">
        <v>4007</v>
      </c>
      <c r="I1261" s="3" t="str">
        <f>HYPERLINK("http://www.jccm.es/sede/tramite/KYW","COMUNICACION DE CAMBIO DE TITULARIDAD Y ACEPTACION EXPRESA POR EL NUEVO TITULAR DE LAS CONDICIONES DE LA AYUDAS DE PAGOS COMPENSATORIOS POR ZONAS AGRICOLAS DE LA RN 2000 1ª AMPLIACION ZONA A")</f>
        <v>COMUNICACION DE CAMBIO DE TITULARIDAD Y ACEPTACION EXPRESA POR EL NUEVO TITULAR DE LAS CONDICIONES DE LA AYUDAS DE PAGOS COMPENSATORIOS POR ZONAS AGRICOLAS DE LA RN 2000 1ª AMPLIACION ZONA A</v>
      </c>
      <c r="J1261" s="3" t="s">
        <v>41</v>
      </c>
      <c r="K1261" s="3" t="s">
        <v>41</v>
      </c>
      <c r="L1261" s="3" t="s">
        <v>42</v>
      </c>
      <c r="M1261" s="3" t="s">
        <v>41</v>
      </c>
    </row>
    <row r="1262" spans="1:13" ht="183.95">
      <c r="A1262" s="22" t="s">
        <v>9</v>
      </c>
      <c r="B1262" s="3" t="s">
        <v>4008</v>
      </c>
      <c r="C1262" s="3" t="s">
        <v>4009</v>
      </c>
      <c r="D1262" s="3" t="s">
        <v>95</v>
      </c>
      <c r="E1262" s="3" t="s">
        <v>95</v>
      </c>
      <c r="F1262" s="3" t="s">
        <v>3555</v>
      </c>
      <c r="G1262" s="3" t="s">
        <v>3566</v>
      </c>
      <c r="H1262" s="3" t="s">
        <v>4010</v>
      </c>
      <c r="I1262" s="3" t="str">
        <f>HYPERLINK("http://www.jccm.es/sede/tramite/KZC","SOLICITUD DE INDEMNIZACION POR SACRIFICIO OBLIGATORIO DE ANIMALES POSITIVOS A ENFERMEDADES OBJETO DE PROGRAMAS DE ERRADICACION")</f>
        <v>SOLICITUD DE INDEMNIZACION POR SACRIFICIO OBLIGATORIO DE ANIMALES POSITIVOS A ENFERMEDADES OBJETO DE PROGRAMAS DE ERRADICACION</v>
      </c>
      <c r="J1262" s="3" t="s">
        <v>42</v>
      </c>
      <c r="K1262" s="3" t="s">
        <v>41</v>
      </c>
      <c r="L1262" s="3" t="s">
        <v>42</v>
      </c>
      <c r="M1262" s="3" t="s">
        <v>41</v>
      </c>
    </row>
    <row r="1263" spans="1:13" ht="114.95">
      <c r="A1263" s="22" t="s">
        <v>9</v>
      </c>
      <c r="B1263" s="3" t="s">
        <v>4011</v>
      </c>
      <c r="C1263" s="3" t="s">
        <v>4012</v>
      </c>
      <c r="D1263" s="3" t="s">
        <v>95</v>
      </c>
      <c r="E1263" s="3" t="s">
        <v>95</v>
      </c>
      <c r="F1263" s="3" t="s">
        <v>3555</v>
      </c>
      <c r="G1263" s="3" t="s">
        <v>3616</v>
      </c>
      <c r="H1263" s="3" t="s">
        <v>4013</v>
      </c>
      <c r="I1263" s="3" t="str">
        <f>HYPERLINK("http://www.jccm.es/sede/tramite/KZR","CONCURSO MEJOR EMPRESA ECOLOGICA")</f>
        <v>CONCURSO MEJOR EMPRESA ECOLOGICA</v>
      </c>
      <c r="J1263" s="3" t="s">
        <v>42</v>
      </c>
      <c r="K1263" s="3" t="s">
        <v>41</v>
      </c>
      <c r="L1263" s="3" t="s">
        <v>42</v>
      </c>
      <c r="M1263" s="3" t="s">
        <v>41</v>
      </c>
    </row>
    <row r="1264" spans="1:13" ht="126.6">
      <c r="A1264" s="22" t="s">
        <v>9</v>
      </c>
      <c r="B1264" s="3" t="s">
        <v>4014</v>
      </c>
      <c r="C1264" s="3" t="s">
        <v>4015</v>
      </c>
      <c r="D1264" s="3" t="s">
        <v>4016</v>
      </c>
      <c r="E1264" s="3" t="s">
        <v>46</v>
      </c>
      <c r="F1264" s="3" t="s">
        <v>3555</v>
      </c>
      <c r="G1264" s="3" t="s">
        <v>3566</v>
      </c>
      <c r="H1264" s="3" t="s">
        <v>4017</v>
      </c>
      <c r="I1264" s="3" t="str">
        <f>HYPERLINK("http://www.jccm.es/sede/tramite/L0Y","SOLICITUD DE MODIFICACION DE PROYECTOS PILOTO INNOVADORES EN LA PRODUCCION PRIMARIA AGRICOLA Y GANADERA.")</f>
        <v>SOLICITUD DE MODIFICACION DE PROYECTOS PILOTO INNOVADORES EN LA PRODUCCION PRIMARIA AGRICOLA Y GANADERA.</v>
      </c>
      <c r="J1264" s="3" t="s">
        <v>41</v>
      </c>
      <c r="K1264" s="3" t="s">
        <v>41</v>
      </c>
      <c r="L1264" s="3" t="s">
        <v>42</v>
      </c>
      <c r="M1264" s="3" t="s">
        <v>41</v>
      </c>
    </row>
    <row r="1265" spans="1:13" ht="390.95">
      <c r="A1265" s="22" t="s">
        <v>9</v>
      </c>
      <c r="B1265" s="3" t="s">
        <v>4018</v>
      </c>
      <c r="C1265" s="3" t="s">
        <v>4019</v>
      </c>
      <c r="D1265" s="3" t="s">
        <v>232</v>
      </c>
      <c r="E1265" s="3" t="s">
        <v>46</v>
      </c>
      <c r="F1265" s="3" t="s">
        <v>3555</v>
      </c>
      <c r="G1265" s="3" t="s">
        <v>3616</v>
      </c>
      <c r="H1265" s="3" t="s">
        <v>4020</v>
      </c>
      <c r="I1265" s="3" t="str">
        <f>HYPERLINK("http://www.jccm.es/sede/tramite/L14","SOLICITUD DE MODIFICACION DE LA RESOLUCION DE CONCESION DE AYUDA DESTINADA A PROMOVER LA COOPERACION INNOVADORA EN EL SECTOR AGROALIMENTARIO.")</f>
        <v>SOLICITUD DE MODIFICACION DE LA RESOLUCION DE CONCESION DE AYUDA DESTINADA A PROMOVER LA COOPERACION INNOVADORA EN EL SECTOR AGROALIMENTARIO.</v>
      </c>
      <c r="J1265" s="3" t="s">
        <v>41</v>
      </c>
      <c r="K1265" s="3" t="s">
        <v>41</v>
      </c>
      <c r="L1265" s="3" t="s">
        <v>42</v>
      </c>
      <c r="M1265" s="3" t="s">
        <v>41</v>
      </c>
    </row>
    <row r="1266" spans="1:13" ht="368.1">
      <c r="A1266" s="22" t="s">
        <v>9</v>
      </c>
      <c r="B1266" s="3" t="s">
        <v>4021</v>
      </c>
      <c r="C1266" s="3" t="s">
        <v>4022</v>
      </c>
      <c r="D1266" s="3" t="s">
        <v>51</v>
      </c>
      <c r="E1266" s="3" t="s">
        <v>46</v>
      </c>
      <c r="F1266" s="3" t="s">
        <v>3555</v>
      </c>
      <c r="G1266" s="3" t="s">
        <v>3616</v>
      </c>
      <c r="H1266" s="3" t="s">
        <v>4023</v>
      </c>
      <c r="I1266" s="3" t="str">
        <f>HYPERLINK("http://www.jccm.es/sede/tramite/L5Q","SOLICITUD  DE MODIFICACION DE LAS AYUDAS PARA LA COOPERACION ENTRE LOS AGENTES DE LA CADENA DE SUMINISTRO PARA LA CREACION Y EL DESARROLLO DE CADENAS DE DISTRIBUCION CORTAS Y MERCADOS LOCALES.")</f>
        <v>SOLICITUD  DE MODIFICACION DE LAS AYUDAS PARA LA COOPERACION ENTRE LOS AGENTES DE LA CADENA DE SUMINISTRO PARA LA CREACION Y EL DESARROLLO DE CADENAS DE DISTRIBUCION CORTAS Y MERCADOS LOCALES.</v>
      </c>
      <c r="J1266" s="3" t="s">
        <v>42</v>
      </c>
      <c r="K1266" s="3" t="s">
        <v>41</v>
      </c>
      <c r="L1266" s="3" t="s">
        <v>42</v>
      </c>
      <c r="M1266" s="3" t="s">
        <v>41</v>
      </c>
    </row>
    <row r="1267" spans="1:13" ht="114.95">
      <c r="A1267" s="22" t="s">
        <v>9</v>
      </c>
      <c r="B1267" s="3" t="s">
        <v>4024</v>
      </c>
      <c r="C1267" s="3" t="s">
        <v>4025</v>
      </c>
      <c r="D1267" s="3" t="s">
        <v>95</v>
      </c>
      <c r="E1267" s="3" t="s">
        <v>95</v>
      </c>
      <c r="F1267" s="3" t="s">
        <v>3555</v>
      </c>
      <c r="G1267" s="3" t="s">
        <v>3556</v>
      </c>
      <c r="H1267" s="3" t="s">
        <v>4026</v>
      </c>
      <c r="I1267" s="3" t="str">
        <f>HYPERLINK("http://www.jccm.es/sede/tramite/LD7","JUSTIFICACION DE  SUBVENCION A LA RED CASTELLANO MANCHEGA DE DESARROLLO RURAL")</f>
        <v>JUSTIFICACION DE  SUBVENCION A LA RED CASTELLANO MANCHEGA DE DESARROLLO RURAL</v>
      </c>
      <c r="J1267" s="3" t="s">
        <v>41</v>
      </c>
      <c r="K1267" s="3" t="s">
        <v>41</v>
      </c>
      <c r="L1267" s="3" t="s">
        <v>42</v>
      </c>
      <c r="M1267" s="3" t="s">
        <v>41</v>
      </c>
    </row>
    <row r="1268" spans="1:13" ht="114.95">
      <c r="A1268" s="22" t="s">
        <v>9</v>
      </c>
      <c r="B1268" s="3" t="s">
        <v>4027</v>
      </c>
      <c r="C1268" s="3" t="s">
        <v>4028</v>
      </c>
      <c r="D1268" s="3" t="s">
        <v>4029</v>
      </c>
      <c r="E1268" s="3" t="s">
        <v>46</v>
      </c>
      <c r="F1268" s="3" t="s">
        <v>3555</v>
      </c>
      <c r="G1268" s="3" t="s">
        <v>3556</v>
      </c>
      <c r="H1268" s="3" t="s">
        <v>4030</v>
      </c>
      <c r="I1268" s="3" t="str">
        <f>HYPERLINK("http://www.jccm.es/sede/tramite/LF9","ASIGNACION FINANCIERA EXTRAORDINARIA PARA GAL POR COVID-19")</f>
        <v>ASIGNACION FINANCIERA EXTRAORDINARIA PARA GAL POR COVID-19</v>
      </c>
      <c r="J1268" s="3" t="s">
        <v>41</v>
      </c>
      <c r="K1268" s="3" t="s">
        <v>41</v>
      </c>
      <c r="L1268" s="3" t="s">
        <v>42</v>
      </c>
      <c r="M1268" s="3" t="s">
        <v>41</v>
      </c>
    </row>
    <row r="1269" spans="1:13" ht="126.6">
      <c r="A1269" s="22" t="s">
        <v>9</v>
      </c>
      <c r="B1269" s="3" t="s">
        <v>4031</v>
      </c>
      <c r="C1269" s="3" t="s">
        <v>4032</v>
      </c>
      <c r="D1269" s="3" t="s">
        <v>327</v>
      </c>
      <c r="E1269" s="3" t="s">
        <v>46</v>
      </c>
      <c r="F1269" s="3" t="s">
        <v>3555</v>
      </c>
      <c r="G1269" s="3" t="s">
        <v>3566</v>
      </c>
      <c r="H1269" s="3" t="s">
        <v>4033</v>
      </c>
      <c r="I1269" s="3" t="str">
        <f>HYPERLINK("http://www.jccm.es/sede/tramite/LFK","SUBVENCION CERDO IBERICO AÑO 2020")</f>
        <v>SUBVENCION CERDO IBERICO AÑO 2020</v>
      </c>
      <c r="J1269" s="3" t="s">
        <v>42</v>
      </c>
      <c r="K1269" s="3" t="s">
        <v>41</v>
      </c>
      <c r="L1269" s="3" t="s">
        <v>42</v>
      </c>
      <c r="M1269" s="3" t="s">
        <v>41</v>
      </c>
    </row>
    <row r="1270" spans="1:13" ht="114.95">
      <c r="A1270" s="22" t="s">
        <v>9</v>
      </c>
      <c r="B1270" s="3" t="s">
        <v>4034</v>
      </c>
      <c r="C1270" s="3" t="s">
        <v>4035</v>
      </c>
      <c r="D1270" s="3" t="s">
        <v>4036</v>
      </c>
      <c r="E1270" s="3" t="s">
        <v>46</v>
      </c>
      <c r="F1270" s="3" t="s">
        <v>3555</v>
      </c>
      <c r="G1270" s="3" t="s">
        <v>3616</v>
      </c>
      <c r="H1270" s="3" t="s">
        <v>4037</v>
      </c>
      <c r="I1270" s="3" t="str">
        <f>HYPERLINK("http://www.jccm.es/sede/tramite/LGQ","SOLICITUD DE PAGO DE LA AYUDA PARA EL ALMACENAMIENTO PRIVADO DE QUESO.")</f>
        <v>SOLICITUD DE PAGO DE LA AYUDA PARA EL ALMACENAMIENTO PRIVADO DE QUESO.</v>
      </c>
      <c r="J1270" s="3" t="s">
        <v>41</v>
      </c>
      <c r="K1270" s="3" t="s">
        <v>41</v>
      </c>
      <c r="L1270" s="3" t="s">
        <v>42</v>
      </c>
      <c r="M1270" s="3" t="s">
        <v>41</v>
      </c>
    </row>
    <row r="1271" spans="1:13" ht="126.6">
      <c r="A1271" s="22" t="s">
        <v>9</v>
      </c>
      <c r="B1271" s="3" t="s">
        <v>4038</v>
      </c>
      <c r="C1271" s="3" t="s">
        <v>4039</v>
      </c>
      <c r="D1271" s="3" t="s">
        <v>327</v>
      </c>
      <c r="E1271" s="3" t="s">
        <v>46</v>
      </c>
      <c r="F1271" s="3" t="s">
        <v>3555</v>
      </c>
      <c r="G1271" s="3" t="s">
        <v>3566</v>
      </c>
      <c r="H1271" s="3" t="s">
        <v>4040</v>
      </c>
      <c r="I1271" s="3" t="str">
        <f>HYPERLINK("http://www.jccm.es/sede/tramite/LGV","AYUDAS AL SECTOR DE LA FLOR CORTADA Y PLANTA ORNAMENTAL")</f>
        <v>AYUDAS AL SECTOR DE LA FLOR CORTADA Y PLANTA ORNAMENTAL</v>
      </c>
      <c r="J1271" s="3" t="s">
        <v>41</v>
      </c>
      <c r="K1271" s="3" t="s">
        <v>41</v>
      </c>
      <c r="L1271" s="3" t="s">
        <v>42</v>
      </c>
      <c r="M1271" s="3" t="s">
        <v>41</v>
      </c>
    </row>
    <row r="1272" spans="1:13" ht="149.44999999999999">
      <c r="A1272" s="22" t="s">
        <v>9</v>
      </c>
      <c r="B1272" s="3" t="s">
        <v>4041</v>
      </c>
      <c r="C1272" s="3" t="s">
        <v>4042</v>
      </c>
      <c r="D1272" s="3" t="s">
        <v>4043</v>
      </c>
      <c r="E1272" s="3" t="s">
        <v>37</v>
      </c>
      <c r="F1272" s="3" t="s">
        <v>3555</v>
      </c>
      <c r="G1272" s="3" t="s">
        <v>3616</v>
      </c>
      <c r="H1272" s="3" t="s">
        <v>4044</v>
      </c>
      <c r="I1272" s="3" t="str">
        <f>HYPERLINK("http://www.jccm.es/sede/tramite/KTP","SOLICITUD DE AYUDA DEL PROGRAMA OPERATIVO")</f>
        <v>SOLICITUD DE AYUDA DEL PROGRAMA OPERATIVO</v>
      </c>
      <c r="J1272" s="3" t="s">
        <v>41</v>
      </c>
      <c r="K1272" s="3" t="s">
        <v>41</v>
      </c>
      <c r="L1272" s="3" t="s">
        <v>42</v>
      </c>
      <c r="M1272" s="3" t="s">
        <v>41</v>
      </c>
    </row>
    <row r="1273" spans="1:13" ht="114.95">
      <c r="A1273" s="22" t="s">
        <v>9</v>
      </c>
      <c r="B1273" s="3" t="s">
        <v>4045</v>
      </c>
      <c r="C1273" s="3" t="s">
        <v>4046</v>
      </c>
      <c r="D1273" s="3" t="s">
        <v>95</v>
      </c>
      <c r="E1273" s="3" t="s">
        <v>95</v>
      </c>
      <c r="F1273" s="3" t="s">
        <v>3555</v>
      </c>
      <c r="G1273" s="3" t="s">
        <v>3616</v>
      </c>
      <c r="H1273" s="3" t="s">
        <v>4047</v>
      </c>
      <c r="I1273" s="3" t="str">
        <f>HYPERLINK("http://www.jccm.es/sede/tramite/LKR","CONCURSO MEJOR EMPRESA DE VENTA DIRECTA")</f>
        <v>CONCURSO MEJOR EMPRESA DE VENTA DIRECTA</v>
      </c>
      <c r="J1273" s="3" t="s">
        <v>42</v>
      </c>
      <c r="K1273" s="3" t="s">
        <v>41</v>
      </c>
      <c r="L1273" s="3" t="s">
        <v>42</v>
      </c>
      <c r="M1273" s="3" t="s">
        <v>41</v>
      </c>
    </row>
    <row r="1274" spans="1:13" ht="287.45">
      <c r="A1274" s="22" t="s">
        <v>9</v>
      </c>
      <c r="B1274" s="3" t="s">
        <v>4048</v>
      </c>
      <c r="C1274" s="3" t="s">
        <v>4049</v>
      </c>
      <c r="D1274" s="3" t="s">
        <v>232</v>
      </c>
      <c r="E1274" s="3" t="s">
        <v>46</v>
      </c>
      <c r="F1274" s="3" t="s">
        <v>3555</v>
      </c>
      <c r="G1274" s="3" t="s">
        <v>3566</v>
      </c>
      <c r="H1274" s="3" t="s">
        <v>4050</v>
      </c>
      <c r="I1274" s="3" t="str">
        <f>HYPERLINK("http://www.jccm.es/sede/tramite/LO8","AYUDAS PARA LA REPOBLACION EN EXPLOTACIONES DE GANADO BOVINO, OVINO Y CAPRINO EN CASO DE VACIADO SANITARIO")</f>
        <v>AYUDAS PARA LA REPOBLACION EN EXPLOTACIONES DE GANADO BOVINO, OVINO Y CAPRINO EN CASO DE VACIADO SANITARIO</v>
      </c>
      <c r="J1274" s="3" t="s">
        <v>42</v>
      </c>
      <c r="K1274" s="3" t="s">
        <v>41</v>
      </c>
      <c r="L1274" s="3" t="s">
        <v>42</v>
      </c>
      <c r="M1274" s="3" t="s">
        <v>41</v>
      </c>
    </row>
    <row r="1275" spans="1:13" ht="126.6">
      <c r="A1275" s="22" t="s">
        <v>9</v>
      </c>
      <c r="B1275" s="3" t="s">
        <v>4051</v>
      </c>
      <c r="C1275" s="3" t="s">
        <v>4052</v>
      </c>
      <c r="D1275" s="3" t="s">
        <v>95</v>
      </c>
      <c r="E1275" s="3" t="s">
        <v>95</v>
      </c>
      <c r="F1275" s="3" t="s">
        <v>3555</v>
      </c>
      <c r="G1275" s="3" t="s">
        <v>3566</v>
      </c>
      <c r="H1275" s="3" t="s">
        <v>4053</v>
      </c>
      <c r="I1275" s="3" t="str">
        <f>HYPERLINK("http://www.jccm.es/sede/tramite/LS1","FORMACION OBLIGATORIA PARA EMISORES DEL PASAPORTE FITOSANITARIO")</f>
        <v>FORMACION OBLIGATORIA PARA EMISORES DEL PASAPORTE FITOSANITARIO</v>
      </c>
      <c r="J1275" s="3" t="s">
        <v>41</v>
      </c>
      <c r="K1275" s="3" t="s">
        <v>41</v>
      </c>
      <c r="L1275" s="3" t="s">
        <v>42</v>
      </c>
      <c r="M1275" s="3" t="s">
        <v>41</v>
      </c>
    </row>
    <row r="1276" spans="1:13" ht="241.5">
      <c r="A1276" s="22" t="s">
        <v>9</v>
      </c>
      <c r="B1276" s="3" t="s">
        <v>4054</v>
      </c>
      <c r="C1276" s="3" t="s">
        <v>4055</v>
      </c>
      <c r="D1276" s="3" t="s">
        <v>95</v>
      </c>
      <c r="E1276" s="3" t="s">
        <v>95</v>
      </c>
      <c r="F1276" s="3" t="s">
        <v>3555</v>
      </c>
      <c r="G1276" s="3" t="s">
        <v>3566</v>
      </c>
      <c r="H1276" s="3" t="s">
        <v>4056</v>
      </c>
      <c r="I1276" s="3" t="str">
        <f>HYPERLINK("http://www.jccm.es/sede/tramite/LTD","DECLARACION RESPONSABLE DEL CUMPLIMIENTO DE LOS REQUISITOS PARA LA CONCESION DE LA SUBVENCION A LOS TITULARES DE EXPLOTACIONES DE GANADO VACUNO DE LECHE CASTILLA-LA MANCHA")</f>
        <v>DECLARACION RESPONSABLE DEL CUMPLIMIENTO DE LOS REQUISITOS PARA LA CONCESION DE LA SUBVENCION A LOS TITULARES DE EXPLOTACIONES DE GANADO VACUNO DE LECHE CASTILLA-LA MANCHA</v>
      </c>
      <c r="J1276" s="3" t="s">
        <v>42</v>
      </c>
      <c r="K1276" s="3" t="s">
        <v>41</v>
      </c>
      <c r="L1276" s="3" t="s">
        <v>42</v>
      </c>
      <c r="M1276" s="3" t="s">
        <v>41</v>
      </c>
    </row>
    <row r="1277" spans="1:13" ht="126.6">
      <c r="A1277" s="22" t="s">
        <v>9</v>
      </c>
      <c r="B1277" s="3" t="s">
        <v>4057</v>
      </c>
      <c r="C1277" s="3" t="s">
        <v>4058</v>
      </c>
      <c r="D1277" s="3" t="s">
        <v>4059</v>
      </c>
      <c r="E1277" s="3" t="s">
        <v>46</v>
      </c>
      <c r="F1277" s="3" t="s">
        <v>3555</v>
      </c>
      <c r="G1277" s="3" t="s">
        <v>3566</v>
      </c>
      <c r="H1277" s="3" t="s">
        <v>4060</v>
      </c>
      <c r="I1277" s="3" t="str">
        <f>HYPERLINK("http://www.jccm.es/sede/tramite/LTG","SOLICITUD DE AYUDA A LA INSTALACION DE PUNTOS DE DEPOSITO DE RESTOS CINEGETICOS EN CASTILLA-LA MANCHA REGULADAS POR LA ORDEN 154/2021.")</f>
        <v>SOLICITUD DE AYUDA A LA INSTALACION DE PUNTOS DE DEPOSITO DE RESTOS CINEGETICOS EN CASTILLA-LA MANCHA REGULADAS POR LA ORDEN 154/2021.</v>
      </c>
      <c r="J1277" s="3" t="s">
        <v>42</v>
      </c>
      <c r="K1277" s="3" t="s">
        <v>41</v>
      </c>
      <c r="L1277" s="3" t="s">
        <v>42</v>
      </c>
      <c r="M1277" s="3" t="s">
        <v>41</v>
      </c>
    </row>
    <row r="1278" spans="1:13" ht="114.95">
      <c r="A1278" s="22" t="s">
        <v>9</v>
      </c>
      <c r="B1278" s="3" t="s">
        <v>4061</v>
      </c>
      <c r="C1278" s="3" t="s">
        <v>4062</v>
      </c>
      <c r="D1278" s="3" t="s">
        <v>95</v>
      </c>
      <c r="E1278" s="3" t="s">
        <v>95</v>
      </c>
      <c r="F1278" s="3" t="s">
        <v>3555</v>
      </c>
      <c r="G1278" s="3" t="s">
        <v>3616</v>
      </c>
      <c r="H1278" s="3" t="s">
        <v>4063</v>
      </c>
      <c r="I1278" s="3" t="str">
        <f>HYPERLINK("http://www.jccm.es/sede/tramite/LU4","CONCURSO MEJOR EMPRESA DE MANIPULACION Y ELABORACION DE CARNE DE CAZA")</f>
        <v>CONCURSO MEJOR EMPRESA DE MANIPULACION Y ELABORACION DE CARNE DE CAZA</v>
      </c>
      <c r="J1278" s="3" t="s">
        <v>42</v>
      </c>
      <c r="K1278" s="3" t="s">
        <v>41</v>
      </c>
      <c r="L1278" s="3" t="s">
        <v>42</v>
      </c>
      <c r="M1278" s="3" t="s">
        <v>41</v>
      </c>
    </row>
    <row r="1279" spans="1:13" ht="149.44999999999999">
      <c r="A1279" s="22" t="s">
        <v>9</v>
      </c>
      <c r="B1279" s="3" t="s">
        <v>4064</v>
      </c>
      <c r="C1279" s="3" t="s">
        <v>4065</v>
      </c>
      <c r="D1279" s="3" t="s">
        <v>4066</v>
      </c>
      <c r="E1279" s="3" t="s">
        <v>46</v>
      </c>
      <c r="F1279" s="3" t="s">
        <v>3555</v>
      </c>
      <c r="G1279" s="3" t="s">
        <v>3566</v>
      </c>
      <c r="H1279" s="3" t="s">
        <v>4067</v>
      </c>
      <c r="I1279" s="3" t="str">
        <f>HYPERLINK("http://www.jccm.es/sede/tramite/LU8","AYUDAS BIOSEGURIDAD VIVEROS")</f>
        <v>AYUDAS BIOSEGURIDAD VIVEROS</v>
      </c>
      <c r="J1279" s="3" t="s">
        <v>41</v>
      </c>
      <c r="K1279" s="3" t="s">
        <v>41</v>
      </c>
      <c r="L1279" s="3" t="s">
        <v>42</v>
      </c>
      <c r="M1279" s="3" t="s">
        <v>41</v>
      </c>
    </row>
    <row r="1280" spans="1:13" ht="252.95">
      <c r="A1280" s="22" t="s">
        <v>9</v>
      </c>
      <c r="B1280" s="3" t="s">
        <v>4068</v>
      </c>
      <c r="C1280" s="3" t="s">
        <v>4069</v>
      </c>
      <c r="D1280" s="3" t="s">
        <v>95</v>
      </c>
      <c r="E1280" s="3" t="s">
        <v>46</v>
      </c>
      <c r="F1280" s="3" t="s">
        <v>3555</v>
      </c>
      <c r="G1280" s="3" t="s">
        <v>3555</v>
      </c>
      <c r="H1280" s="3" t="s">
        <v>4070</v>
      </c>
      <c r="I1280" s="3" t="str">
        <f>HYPERLINK("http://www.jccm.es/sede/tramite/LUN","PAGO AYUDA DIRECTA PARA LA FINANCIACION DE LAS OBRAS DE MODERNIZACION Y CONSOLIDACION DE LOS REGADIOS DE LA COMUNIDAD DE REGANTES BALAZOTE-LA HERRERA")</f>
        <v>PAGO AYUDA DIRECTA PARA LA FINANCIACION DE LAS OBRAS DE MODERNIZACION Y CONSOLIDACION DE LOS REGADIOS DE LA COMUNIDAD DE REGANTES BALAZOTE-LA HERRERA</v>
      </c>
      <c r="J1280" s="3" t="s">
        <v>41</v>
      </c>
      <c r="K1280" s="3" t="s">
        <v>41</v>
      </c>
      <c r="L1280" s="3" t="s">
        <v>42</v>
      </c>
      <c r="M1280" s="3" t="s">
        <v>41</v>
      </c>
    </row>
    <row r="1281" spans="1:13" ht="241.5">
      <c r="A1281" s="22" t="s">
        <v>9</v>
      </c>
      <c r="B1281" s="3" t="s">
        <v>4071</v>
      </c>
      <c r="C1281" s="3" t="s">
        <v>4072</v>
      </c>
      <c r="D1281" s="3" t="s">
        <v>95</v>
      </c>
      <c r="E1281" s="3" t="s">
        <v>95</v>
      </c>
      <c r="F1281" s="3" t="s">
        <v>3555</v>
      </c>
      <c r="G1281" s="3" t="s">
        <v>3556</v>
      </c>
      <c r="H1281" s="3" t="s">
        <v>4073</v>
      </c>
      <c r="I1281" s="3" t="str">
        <f>HYPERLINK("http://www.jccm.es/sede/tramite/LUO","PAGO AYUDA DIRECTA PARA LA FINANCIACION DE LAS OBRAS DE MODERNIZACION Y CONSOLIDACION DE LOS REGADIOS DE LA COMUNIDAD DE REGANTES ESTRECHO DE PEÑARROYA")</f>
        <v>PAGO AYUDA DIRECTA PARA LA FINANCIACION DE LAS OBRAS DE MODERNIZACION Y CONSOLIDACION DE LOS REGADIOS DE LA COMUNIDAD DE REGANTES ESTRECHO DE PEÑARROYA</v>
      </c>
      <c r="J1281" s="3" t="s">
        <v>41</v>
      </c>
      <c r="K1281" s="3" t="s">
        <v>41</v>
      </c>
      <c r="L1281" s="3" t="s">
        <v>42</v>
      </c>
      <c r="M1281" s="3" t="s">
        <v>41</v>
      </c>
    </row>
    <row r="1282" spans="1:13" ht="103.5">
      <c r="A1282" s="22" t="s">
        <v>9</v>
      </c>
      <c r="B1282" s="3" t="s">
        <v>4074</v>
      </c>
      <c r="C1282" s="3" t="s">
        <v>4075</v>
      </c>
      <c r="D1282" s="3" t="s">
        <v>95</v>
      </c>
      <c r="E1282" s="3" t="s">
        <v>95</v>
      </c>
      <c r="F1282" s="3" t="s">
        <v>3555</v>
      </c>
      <c r="G1282" s="3" t="s">
        <v>3555</v>
      </c>
      <c r="H1282" s="3" t="s">
        <v>4076</v>
      </c>
      <c r="I1282" s="3" t="str">
        <f>HYPERLINK("http://www.jccm.es/sede/tramite/LXC","ASISTENCIA A ACCIONES FORMATIVAS DE LA MEDIDA 1 DEL PDR 2014-2020 SUBMEDIDA 1.1")</f>
        <v>ASISTENCIA A ACCIONES FORMATIVAS DE LA MEDIDA 1 DEL PDR 2014-2020 SUBMEDIDA 1.1</v>
      </c>
      <c r="J1282" s="3" t="s">
        <v>42</v>
      </c>
      <c r="K1282" s="3" t="s">
        <v>41</v>
      </c>
      <c r="L1282" s="3" t="s">
        <v>42</v>
      </c>
      <c r="M1282" s="3" t="s">
        <v>41</v>
      </c>
    </row>
    <row r="1283" spans="1:13" ht="207">
      <c r="A1283" s="22" t="s">
        <v>9</v>
      </c>
      <c r="B1283" s="3" t="s">
        <v>4077</v>
      </c>
      <c r="C1283" s="3" t="s">
        <v>4078</v>
      </c>
      <c r="D1283" s="3" t="s">
        <v>4078</v>
      </c>
      <c r="E1283" s="3" t="s">
        <v>46</v>
      </c>
      <c r="F1283" s="3" t="s">
        <v>3555</v>
      </c>
      <c r="G1283" s="3" t="s">
        <v>3616</v>
      </c>
      <c r="H1283" s="3" t="s">
        <v>4079</v>
      </c>
      <c r="I1283" s="3" t="str">
        <f>HYPERLINK("http://www.jccm.es/sede/tramite/LXL","SOLICITUD DE AYUDAS ESTATALES DE MINIMIS DESTINADAS A LAS CENTRALES DE ACONDICIONAMIENTO DE FRUTAS AFECTADAS POR HELADAS ASOCIADAS A LA BORRASCA CIRIL")</f>
        <v>SOLICITUD DE AYUDAS ESTATALES DE MINIMIS DESTINADAS A LAS CENTRALES DE ACONDICIONAMIENTO DE FRUTAS AFECTADAS POR HELADAS ASOCIADAS A LA BORRASCA CIRIL</v>
      </c>
      <c r="J1283" s="3" t="s">
        <v>41</v>
      </c>
      <c r="K1283" s="3" t="s">
        <v>41</v>
      </c>
      <c r="L1283" s="3" t="s">
        <v>42</v>
      </c>
      <c r="M1283" s="3" t="s">
        <v>41</v>
      </c>
    </row>
    <row r="1284" spans="1:13" ht="252.95">
      <c r="A1284" s="22" t="s">
        <v>9</v>
      </c>
      <c r="B1284" s="3" t="s">
        <v>4080</v>
      </c>
      <c r="C1284" s="3" t="s">
        <v>4081</v>
      </c>
      <c r="D1284" s="3" t="s">
        <v>3100</v>
      </c>
      <c r="E1284" s="3" t="s">
        <v>46</v>
      </c>
      <c r="F1284" s="3" t="s">
        <v>3555</v>
      </c>
      <c r="G1284" s="3" t="s">
        <v>3616</v>
      </c>
      <c r="H1284" s="3" t="s">
        <v>4082</v>
      </c>
      <c r="I1284" s="3" t="str">
        <f>HYPERLINK("http://www.jccm.es/sede/tramite/LXM","COMUNICACION DE LAS CUENTAS ANUALES RELATIVAS A LAS AYUDAS ESTATALES DE MINIMIS DESTINADAS A LAS CENTRALES DE ACONDICIONAMIENTO DE FRUTAS AFECTADAS POR HELADAS ASOCIADAS A LA BORRASCA CIRIL")</f>
        <v>COMUNICACION DE LAS CUENTAS ANUALES RELATIVAS A LAS AYUDAS ESTATALES DE MINIMIS DESTINADAS A LAS CENTRALES DE ACONDICIONAMIENTO DE FRUTAS AFECTADAS POR HELADAS ASOCIADAS A LA BORRASCA CIRIL</v>
      </c>
      <c r="J1284" s="3" t="s">
        <v>41</v>
      </c>
      <c r="K1284" s="3" t="s">
        <v>41</v>
      </c>
      <c r="L1284" s="3" t="s">
        <v>42</v>
      </c>
      <c r="M1284" s="3" t="s">
        <v>41</v>
      </c>
    </row>
    <row r="1285" spans="1:13" ht="172.5">
      <c r="A1285" s="22" t="s">
        <v>9</v>
      </c>
      <c r="B1285" s="3" t="s">
        <v>4083</v>
      </c>
      <c r="C1285" s="3" t="s">
        <v>4084</v>
      </c>
      <c r="D1285" s="3" t="s">
        <v>36</v>
      </c>
      <c r="E1285" s="3" t="s">
        <v>46</v>
      </c>
      <c r="F1285" s="3" t="s">
        <v>3555</v>
      </c>
      <c r="G1285" s="3" t="s">
        <v>3556</v>
      </c>
      <c r="H1285" s="3" t="s">
        <v>4085</v>
      </c>
      <c r="I1285" s="3" t="str">
        <f>HYPERLINK("http://www.jccm.es/sede/tramite/KAH","SOLICITUD DE AYUDAS PARA LA REALIZACION DE CURSOS DE FORMACION, JORNADAS DE FORMACION Y BREVES ESTANCIAS O INTERCAMBIOS Y VISITAS")</f>
        <v>SOLICITUD DE AYUDAS PARA LA REALIZACION DE CURSOS DE FORMACION, JORNADAS DE FORMACION Y BREVES ESTANCIAS O INTERCAMBIOS Y VISITAS</v>
      </c>
      <c r="J1285" s="3" t="s">
        <v>41</v>
      </c>
      <c r="K1285" s="3" t="s">
        <v>41</v>
      </c>
      <c r="L1285" s="3" t="s">
        <v>42</v>
      </c>
      <c r="M1285" s="3" t="s">
        <v>41</v>
      </c>
    </row>
    <row r="1286" spans="1:13" ht="183.95">
      <c r="A1286" s="22" t="s">
        <v>9</v>
      </c>
      <c r="B1286" s="3" t="s">
        <v>4086</v>
      </c>
      <c r="C1286" s="3" t="s">
        <v>4087</v>
      </c>
      <c r="D1286" s="3" t="s">
        <v>36</v>
      </c>
      <c r="E1286" s="3" t="s">
        <v>46</v>
      </c>
      <c r="F1286" s="3" t="s">
        <v>3555</v>
      </c>
      <c r="G1286" s="3" t="s">
        <v>3556</v>
      </c>
      <c r="H1286" s="3" t="s">
        <v>4088</v>
      </c>
      <c r="I1286" s="3" t="str">
        <f>HYPERLINK("http://www.jccm.es/sede/tramite/K96","SOLICITUD DE PAGO DE LAS AYUDAS PARA LA REALIZACION DE CURSOS DE FORMACION, JORNADAS DE FORMACION Y BREVES ESTANCIAS O INTERCAMBIOS Y VISITAS")</f>
        <v>SOLICITUD DE PAGO DE LAS AYUDAS PARA LA REALIZACION DE CURSOS DE FORMACION, JORNADAS DE FORMACION Y BREVES ESTANCIAS O INTERCAMBIOS Y VISITAS</v>
      </c>
      <c r="J1286" s="3" t="s">
        <v>41</v>
      </c>
      <c r="K1286" s="3" t="s">
        <v>41</v>
      </c>
      <c r="L1286" s="3" t="s">
        <v>42</v>
      </c>
      <c r="M1286" s="3" t="s">
        <v>41</v>
      </c>
    </row>
    <row r="1287" spans="1:13" ht="114.95">
      <c r="A1287" s="22" t="s">
        <v>9</v>
      </c>
      <c r="B1287" s="3" t="s">
        <v>4089</v>
      </c>
      <c r="C1287" s="3" t="s">
        <v>4090</v>
      </c>
      <c r="D1287" s="3" t="s">
        <v>36</v>
      </c>
      <c r="E1287" s="3" t="s">
        <v>46</v>
      </c>
      <c r="F1287" s="3" t="s">
        <v>3555</v>
      </c>
      <c r="G1287" s="3" t="s">
        <v>3556</v>
      </c>
      <c r="H1287" s="3" t="s">
        <v>4091</v>
      </c>
      <c r="I1287" s="3" t="str">
        <f>HYPERLINK("http://www.jccm.es/sede/tramite/K95","COMUNICACION DE INICIO DE LAS EDICIONES DE LAS ACTIVIDADES FORMATIVAS")</f>
        <v>COMUNICACION DE INICIO DE LAS EDICIONES DE LAS ACTIVIDADES FORMATIVAS</v>
      </c>
      <c r="J1287" s="3" t="s">
        <v>41</v>
      </c>
      <c r="K1287" s="3" t="s">
        <v>41</v>
      </c>
      <c r="L1287" s="3" t="s">
        <v>42</v>
      </c>
      <c r="M1287" s="3" t="s">
        <v>41</v>
      </c>
    </row>
    <row r="1288" spans="1:13" ht="252.95">
      <c r="A1288" s="22" t="s">
        <v>9</v>
      </c>
      <c r="B1288" s="3" t="s">
        <v>4092</v>
      </c>
      <c r="C1288" s="3" t="s">
        <v>4093</v>
      </c>
      <c r="D1288" s="3" t="s">
        <v>327</v>
      </c>
      <c r="E1288" s="3" t="s">
        <v>46</v>
      </c>
      <c r="F1288" s="3" t="s">
        <v>3555</v>
      </c>
      <c r="G1288" s="3" t="s">
        <v>3616</v>
      </c>
      <c r="H1288" s="3" t="s">
        <v>4094</v>
      </c>
      <c r="I1288" s="3" t="str">
        <f>HYPERLINK("http://www.jccm.es/sede/tramite/KJB","MODIFICACION DE LA RESOLUCION DE CONCESION DE AYUDA A INVERSIONES EN TRANSFORMACION, COMERCIALIZACION O DESARROLLO DE PRODUCTOS AGRICOLAS Y AL FOMENTO DE LA CALIDAD AGROALIMENTARIA")</f>
        <v>MODIFICACION DE LA RESOLUCION DE CONCESION DE AYUDA A INVERSIONES EN TRANSFORMACION, COMERCIALIZACION O DESARROLLO DE PRODUCTOS AGRICOLAS Y AL FOMENTO DE LA CALIDAD AGROALIMENTARIA</v>
      </c>
      <c r="J1288" s="3" t="s">
        <v>41</v>
      </c>
      <c r="K1288" s="3" t="s">
        <v>41</v>
      </c>
      <c r="L1288" s="3" t="s">
        <v>42</v>
      </c>
      <c r="M1288" s="3" t="s">
        <v>41</v>
      </c>
    </row>
    <row r="1289" spans="1:13" ht="241.5">
      <c r="A1289" s="22" t="s">
        <v>9</v>
      </c>
      <c r="B1289" s="3" t="s">
        <v>4095</v>
      </c>
      <c r="C1289" s="3" t="s">
        <v>4096</v>
      </c>
      <c r="D1289" s="3" t="s">
        <v>327</v>
      </c>
      <c r="E1289" s="3" t="s">
        <v>46</v>
      </c>
      <c r="F1289" s="3" t="s">
        <v>3555</v>
      </c>
      <c r="G1289" s="3" t="s">
        <v>3616</v>
      </c>
      <c r="H1289" s="3" t="s">
        <v>4097</v>
      </c>
      <c r="I1289" s="3" t="str">
        <f>HYPERLINK("http://www.jccm.es/sede/tramite/KJA","SOLICITUD DE PAGO DE LAS AYUDAS A INVERSIONES EN TRANSFORMACION, COMERCIALIZACION O DESARROLLO DE PRODUCTOS AGRICOLAS Y AL FOMENTO DE LA CALIDAD AGROALIMENTARIA FOCAL 2018.")</f>
        <v>SOLICITUD DE PAGO DE LAS AYUDAS A INVERSIONES EN TRANSFORMACION, COMERCIALIZACION O DESARROLLO DE PRODUCTOS AGRICOLAS Y AL FOMENTO DE LA CALIDAD AGROALIMENTARIA FOCAL 2018.</v>
      </c>
      <c r="J1289" s="3" t="s">
        <v>41</v>
      </c>
      <c r="K1289" s="3" t="s">
        <v>41</v>
      </c>
      <c r="L1289" s="3" t="s">
        <v>42</v>
      </c>
      <c r="M1289" s="3" t="s">
        <v>41</v>
      </c>
    </row>
    <row r="1290" spans="1:13" ht="264.60000000000002">
      <c r="A1290" s="22" t="s">
        <v>9</v>
      </c>
      <c r="B1290" s="3" t="s">
        <v>4098</v>
      </c>
      <c r="C1290" s="3" t="s">
        <v>4099</v>
      </c>
      <c r="D1290" s="3" t="s">
        <v>327</v>
      </c>
      <c r="E1290" s="3" t="s">
        <v>46</v>
      </c>
      <c r="F1290" s="3" t="s">
        <v>3555</v>
      </c>
      <c r="G1290" s="3" t="s">
        <v>3616</v>
      </c>
      <c r="H1290" s="3" t="s">
        <v>4100</v>
      </c>
      <c r="I1290" s="3" t="str">
        <f>HYPERLINK("http://www.jccm.es/sede/tramite/KJ9","ACEPTACION DE LA RESOLUCION DE CONCESION DE AYUDA A INVERSIONES EN TRANSFORMACION, COMERCIALIZACION O DESARROLLO DE PRODUCTOS AGRICOLAS Y AL FOMENTO DE LA CALIDAD AGROALIMENTARIA (FOCAL 2017)")</f>
        <v>ACEPTACION DE LA RESOLUCION DE CONCESION DE AYUDA A INVERSIONES EN TRANSFORMACION, COMERCIALIZACION O DESARROLLO DE PRODUCTOS AGRICOLAS Y AL FOMENTO DE LA CALIDAD AGROALIMENTARIA (FOCAL 2017)</v>
      </c>
      <c r="J1290" s="3" t="s">
        <v>41</v>
      </c>
      <c r="K1290" s="3" t="s">
        <v>41</v>
      </c>
      <c r="L1290" s="3" t="s">
        <v>42</v>
      </c>
      <c r="M1290" s="3" t="s">
        <v>41</v>
      </c>
    </row>
    <row r="1291" spans="1:13" ht="207">
      <c r="A1291" s="22" t="s">
        <v>9</v>
      </c>
      <c r="B1291" s="3" t="s">
        <v>4101</v>
      </c>
      <c r="C1291" s="3" t="s">
        <v>4102</v>
      </c>
      <c r="D1291" s="3" t="s">
        <v>327</v>
      </c>
      <c r="E1291" s="3" t="s">
        <v>46</v>
      </c>
      <c r="F1291" s="3" t="s">
        <v>3555</v>
      </c>
      <c r="G1291" s="3" t="s">
        <v>3616</v>
      </c>
      <c r="H1291" s="3" t="s">
        <v>4103</v>
      </c>
      <c r="I1291" s="3" t="str">
        <f>HYPERLINK("http://www.jccm.es/sede/tramite/J6O","AYUDAS A INVERSIONES EN TRANSFORMACION, COMERCIALIZACION O DESARROLLO DE PRODUCTOS AGRICOLAS Y AL FOMENTO DE LA CALIDAD AGROALIMENTARIA (FOCAL)")</f>
        <v>AYUDAS A INVERSIONES EN TRANSFORMACION, COMERCIALIZACION O DESARROLLO DE PRODUCTOS AGRICOLAS Y AL FOMENTO DE LA CALIDAD AGROALIMENTARIA (FOCAL)</v>
      </c>
      <c r="J1291" s="3" t="s">
        <v>41</v>
      </c>
      <c r="K1291" s="3" t="s">
        <v>41</v>
      </c>
      <c r="L1291" s="3" t="s">
        <v>42</v>
      </c>
      <c r="M1291" s="3" t="s">
        <v>41</v>
      </c>
    </row>
    <row r="1292" spans="1:13" ht="207">
      <c r="A1292" s="22" t="s">
        <v>9</v>
      </c>
      <c r="B1292" s="3" t="s">
        <v>4104</v>
      </c>
      <c r="C1292" s="3" t="s">
        <v>4105</v>
      </c>
      <c r="D1292" s="3" t="s">
        <v>232</v>
      </c>
      <c r="E1292" s="3" t="s">
        <v>46</v>
      </c>
      <c r="F1292" s="3" t="s">
        <v>3555</v>
      </c>
      <c r="G1292" s="3" t="s">
        <v>3556</v>
      </c>
      <c r="H1292" s="3" t="s">
        <v>4106</v>
      </c>
      <c r="I1292" s="3" t="str">
        <f>HYPERLINK("http://www.jccm.es/sede/tramite/L1V","SOLICITUD DE PAGO DE LA AYUDA A LA CREACION DE EMPRESAS AGRARIAS PARA JOVENES Y A LAS INVERSIONES EN EXPLOTACIONES AGRICOLAS Y GANADERAS")</f>
        <v>SOLICITUD DE PAGO DE LA AYUDA A LA CREACION DE EMPRESAS AGRARIAS PARA JOVENES Y A LAS INVERSIONES EN EXPLOTACIONES AGRICOLAS Y GANADERAS</v>
      </c>
      <c r="J1292" s="3" t="s">
        <v>41</v>
      </c>
      <c r="K1292" s="3" t="s">
        <v>41</v>
      </c>
      <c r="L1292" s="3" t="s">
        <v>42</v>
      </c>
      <c r="M1292" s="3" t="s">
        <v>41</v>
      </c>
    </row>
    <row r="1293" spans="1:13" ht="195.6">
      <c r="A1293" s="22" t="s">
        <v>9</v>
      </c>
      <c r="B1293" s="3" t="s">
        <v>4107</v>
      </c>
      <c r="C1293" s="3" t="s">
        <v>4108</v>
      </c>
      <c r="D1293" s="3" t="s">
        <v>232</v>
      </c>
      <c r="E1293" s="3" t="s">
        <v>46</v>
      </c>
      <c r="F1293" s="3" t="s">
        <v>3555</v>
      </c>
      <c r="G1293" s="3" t="s">
        <v>3556</v>
      </c>
      <c r="H1293" s="3" t="s">
        <v>4109</v>
      </c>
      <c r="I1293" s="3" t="str">
        <f>HYPERLINK("http://www.jccm.es/sede/tramite/J5V","SOLICITUD DE AYUDA A LA CREACION DE EMPRESAS AGRARIAS PARA JOVENES Y A LAS INVERSIONES EN EXPLOTACIONES AGRICOLAS Y GANADERAS.")</f>
        <v>SOLICITUD DE AYUDA A LA CREACION DE EMPRESAS AGRARIAS PARA JOVENES Y A LAS INVERSIONES EN EXPLOTACIONES AGRICOLAS Y GANADERAS.</v>
      </c>
      <c r="J1293" s="3" t="s">
        <v>42</v>
      </c>
      <c r="K1293" s="3" t="s">
        <v>41</v>
      </c>
      <c r="L1293" s="3" t="s">
        <v>42</v>
      </c>
      <c r="M1293" s="3" t="s">
        <v>41</v>
      </c>
    </row>
    <row r="1294" spans="1:13" ht="183.95">
      <c r="A1294" s="22" t="s">
        <v>9</v>
      </c>
      <c r="B1294" s="3" t="s">
        <v>4110</v>
      </c>
      <c r="C1294" s="3" t="s">
        <v>4111</v>
      </c>
      <c r="D1294" s="3" t="s">
        <v>327</v>
      </c>
      <c r="E1294" s="3" t="s">
        <v>46</v>
      </c>
      <c r="F1294" s="3" t="s">
        <v>3555</v>
      </c>
      <c r="G1294" s="3" t="s">
        <v>3566</v>
      </c>
      <c r="H1294" s="3" t="s">
        <v>4112</v>
      </c>
      <c r="I1294" s="3" t="str">
        <f>HYPERLINK("http://www.jccm.es/sede/tramite/KA5","AYUDAS PARA MEJORAR LAS CONDICIONES DE PRODUCCION Y COMERCIALIZACION DE LA MIEL EN LA COMUNIDAD AUTONOMA DE CASTILLA-LA MANCHA")</f>
        <v>AYUDAS PARA MEJORAR LAS CONDICIONES DE PRODUCCION Y COMERCIALIZACION DE LA MIEL EN LA COMUNIDAD AUTONOMA DE CASTILLA-LA MANCHA</v>
      </c>
      <c r="J1294" s="3" t="s">
        <v>41</v>
      </c>
      <c r="K1294" s="3" t="s">
        <v>41</v>
      </c>
      <c r="L1294" s="3" t="s">
        <v>42</v>
      </c>
      <c r="M1294" s="3" t="s">
        <v>41</v>
      </c>
    </row>
    <row r="1295" spans="1:13" ht="230.1">
      <c r="A1295" s="22" t="s">
        <v>9</v>
      </c>
      <c r="B1295" s="3" t="s">
        <v>4113</v>
      </c>
      <c r="C1295" s="3" t="s">
        <v>4114</v>
      </c>
      <c r="D1295" s="3" t="s">
        <v>327</v>
      </c>
      <c r="E1295" s="3" t="s">
        <v>46</v>
      </c>
      <c r="F1295" s="3" t="s">
        <v>3555</v>
      </c>
      <c r="G1295" s="3" t="s">
        <v>3566</v>
      </c>
      <c r="H1295" s="3" t="s">
        <v>4115</v>
      </c>
      <c r="I1295" s="3" t="str">
        <f>HYPERLINK("http://www.jccm.es/sede/tramite/K97","DOCUMENTACION JUSTIFICATIVA DE LAS AYUDAS PARA MEJORAR LAS CONDICIONES DE PRODUCCION Y COMERCIALIZACION DE LA MIEL EN LA COMUNIDAD AUTONOMA DE CASTILLA-LA MANCHA")</f>
        <v>DOCUMENTACION JUSTIFICATIVA DE LAS AYUDAS PARA MEJORAR LAS CONDICIONES DE PRODUCCION Y COMERCIALIZACION DE LA MIEL EN LA COMUNIDAD AUTONOMA DE CASTILLA-LA MANCHA</v>
      </c>
      <c r="J1295" s="3" t="s">
        <v>41</v>
      </c>
      <c r="K1295" s="3" t="s">
        <v>41</v>
      </c>
      <c r="L1295" s="3" t="s">
        <v>42</v>
      </c>
      <c r="M1295" s="3" t="s">
        <v>41</v>
      </c>
    </row>
    <row r="1296" spans="1:13" ht="114.95">
      <c r="A1296" s="22" t="s">
        <v>9</v>
      </c>
      <c r="B1296" s="3" t="s">
        <v>4116</v>
      </c>
      <c r="C1296" s="3" t="s">
        <v>4117</v>
      </c>
      <c r="D1296" s="3" t="s">
        <v>327</v>
      </c>
      <c r="E1296" s="3" t="s">
        <v>46</v>
      </c>
      <c r="F1296" s="3" t="s">
        <v>3555</v>
      </c>
      <c r="G1296" s="3" t="s">
        <v>3616</v>
      </c>
      <c r="H1296" s="3" t="s">
        <v>4118</v>
      </c>
      <c r="I1296" s="3" t="str">
        <f>HYPERLINK("http://www.jccm.es/sede/tramite/J59","AYUDAS PARA LA PROMOCION DE PRODUCTOS VINICOLAS EN TERCEROS PAISES")</f>
        <v>AYUDAS PARA LA PROMOCION DE PRODUCTOS VINICOLAS EN TERCEROS PAISES</v>
      </c>
      <c r="J1296" s="3" t="s">
        <v>41</v>
      </c>
      <c r="K1296" s="3" t="s">
        <v>41</v>
      </c>
      <c r="L1296" s="3" t="s">
        <v>42</v>
      </c>
      <c r="M1296" s="3" t="s">
        <v>41</v>
      </c>
    </row>
    <row r="1297" spans="1:13" ht="138">
      <c r="A1297" s="22" t="s">
        <v>9</v>
      </c>
      <c r="B1297" s="3" t="s">
        <v>4119</v>
      </c>
      <c r="C1297" s="3" t="s">
        <v>4120</v>
      </c>
      <c r="D1297" s="3" t="s">
        <v>327</v>
      </c>
      <c r="E1297" s="3" t="s">
        <v>46</v>
      </c>
      <c r="F1297" s="3" t="s">
        <v>3555</v>
      </c>
      <c r="G1297" s="3" t="s">
        <v>3616</v>
      </c>
      <c r="H1297" s="3" t="s">
        <v>4121</v>
      </c>
      <c r="I1297" s="3" t="str">
        <f>HYPERLINK("http://www.jccm.es/sede/tramite/KX6","PEQUEÑA MODIFICACION DEL PROGRAMA DE PROMOCION DE PRODUCTOS VINICOLAS EN TERCEROS PAISES")</f>
        <v>PEQUEÑA MODIFICACION DEL PROGRAMA DE PROMOCION DE PRODUCTOS VINICOLAS EN TERCEROS PAISES</v>
      </c>
      <c r="J1297" s="3" t="s">
        <v>41</v>
      </c>
      <c r="K1297" s="3" t="s">
        <v>41</v>
      </c>
      <c r="L1297" s="3" t="s">
        <v>42</v>
      </c>
      <c r="M1297" s="3" t="s">
        <v>41</v>
      </c>
    </row>
    <row r="1298" spans="1:13" ht="138">
      <c r="A1298" s="22" t="s">
        <v>9</v>
      </c>
      <c r="B1298" s="3" t="s">
        <v>4122</v>
      </c>
      <c r="C1298" s="3" t="s">
        <v>4123</v>
      </c>
      <c r="D1298" s="3" t="s">
        <v>327</v>
      </c>
      <c r="E1298" s="3" t="s">
        <v>46</v>
      </c>
      <c r="F1298" s="3" t="s">
        <v>3555</v>
      </c>
      <c r="G1298" s="3" t="s">
        <v>3616</v>
      </c>
      <c r="H1298" s="3" t="s">
        <v>4124</v>
      </c>
      <c r="I1298" s="3" t="str">
        <f>HYPERLINK("http://www.jccm.es/sede/tramite/K7L","COMUNICACION DE MISION INVERSA DE LA AYUDA A LA PROMOCION DEL VINO EN MERCADOS DE TERCEROS PAISES")</f>
        <v>COMUNICACION DE MISION INVERSA DE LA AYUDA A LA PROMOCION DEL VINO EN MERCADOS DE TERCEROS PAISES</v>
      </c>
      <c r="J1298" s="3" t="s">
        <v>41</v>
      </c>
      <c r="K1298" s="3" t="s">
        <v>41</v>
      </c>
      <c r="L1298" s="3" t="s">
        <v>42</v>
      </c>
      <c r="M1298" s="3" t="s">
        <v>41</v>
      </c>
    </row>
    <row r="1299" spans="1:13" ht="149.44999999999999">
      <c r="A1299" s="22" t="s">
        <v>9</v>
      </c>
      <c r="B1299" s="3" t="s">
        <v>4125</v>
      </c>
      <c r="C1299" s="3" t="s">
        <v>4126</v>
      </c>
      <c r="D1299" s="3" t="s">
        <v>327</v>
      </c>
      <c r="E1299" s="3" t="s">
        <v>46</v>
      </c>
      <c r="F1299" s="3" t="s">
        <v>3555</v>
      </c>
      <c r="G1299" s="3" t="s">
        <v>3616</v>
      </c>
      <c r="H1299" s="3" t="s">
        <v>4127</v>
      </c>
      <c r="I1299" s="3" t="str">
        <f>HYPERLINK("http://www.jccm.es/sede/tramite/K7J","ACEPTACION DE LA RESOLUCION  DE CONCESION DE LA AYUDA A LA PROMOCION DEL VINO EN MERCADOS DE TERCEROS PAISES")</f>
        <v>ACEPTACION DE LA RESOLUCION  DE CONCESION DE LA AYUDA A LA PROMOCION DEL VINO EN MERCADOS DE TERCEROS PAISES</v>
      </c>
      <c r="J1299" s="3" t="s">
        <v>42</v>
      </c>
      <c r="K1299" s="3" t="s">
        <v>41</v>
      </c>
      <c r="L1299" s="3" t="s">
        <v>41</v>
      </c>
      <c r="M1299" s="3" t="s">
        <v>41</v>
      </c>
    </row>
    <row r="1300" spans="1:13" ht="126.6">
      <c r="A1300" s="22" t="s">
        <v>9</v>
      </c>
      <c r="B1300" s="3" t="s">
        <v>4128</v>
      </c>
      <c r="C1300" s="3" t="s">
        <v>4129</v>
      </c>
      <c r="D1300" s="3" t="s">
        <v>327</v>
      </c>
      <c r="E1300" s="3" t="s">
        <v>46</v>
      </c>
      <c r="F1300" s="3" t="s">
        <v>3555</v>
      </c>
      <c r="G1300" s="3" t="s">
        <v>3616</v>
      </c>
      <c r="H1300" s="3" t="s">
        <v>4130</v>
      </c>
      <c r="I1300" s="3" t="str">
        <f>HYPERLINK("http://www.jccm.es/sede/tramite/KX7","SOLICITUD DEL PAGO ANTICIPADO DE LA AYUDA A LA PROMOCION DEL VINO EN MERCADOS DE TERCEROS PAISES")</f>
        <v>SOLICITUD DEL PAGO ANTICIPADO DE LA AYUDA A LA PROMOCION DEL VINO EN MERCADOS DE TERCEROS PAISES</v>
      </c>
      <c r="J1300" s="3" t="s">
        <v>42</v>
      </c>
      <c r="K1300" s="3" t="s">
        <v>41</v>
      </c>
      <c r="L1300" s="3" t="s">
        <v>41</v>
      </c>
      <c r="M1300" s="3" t="s">
        <v>41</v>
      </c>
    </row>
    <row r="1301" spans="1:13" ht="126.6">
      <c r="A1301" s="22" t="s">
        <v>9</v>
      </c>
      <c r="B1301" s="3" t="s">
        <v>4131</v>
      </c>
      <c r="C1301" s="3" t="s">
        <v>4132</v>
      </c>
      <c r="D1301" s="3" t="s">
        <v>327</v>
      </c>
      <c r="E1301" s="3" t="s">
        <v>46</v>
      </c>
      <c r="F1301" s="3" t="s">
        <v>3555</v>
      </c>
      <c r="G1301" s="3" t="s">
        <v>3616</v>
      </c>
      <c r="H1301" s="3" t="s">
        <v>4133</v>
      </c>
      <c r="I1301" s="3" t="str">
        <f>HYPERLINK("http://www.jccm.es/sede/tramite/K7K","MODIFICACION DEL PROGRAMA DE PROMOCION DE PRODUCTOS VINICOLAS EN TERCEROS PAISES")</f>
        <v>MODIFICACION DEL PROGRAMA DE PROMOCION DE PRODUCTOS VINICOLAS EN TERCEROS PAISES</v>
      </c>
      <c r="J1301" s="3" t="s">
        <v>41</v>
      </c>
      <c r="K1301" s="3" t="s">
        <v>41</v>
      </c>
      <c r="L1301" s="3" t="s">
        <v>42</v>
      </c>
      <c r="M1301" s="3" t="s">
        <v>41</v>
      </c>
    </row>
    <row r="1302" spans="1:13" ht="138">
      <c r="A1302" s="22" t="s">
        <v>9</v>
      </c>
      <c r="B1302" s="3" t="s">
        <v>4134</v>
      </c>
      <c r="C1302" s="3" t="s">
        <v>4135</v>
      </c>
      <c r="D1302" s="3" t="s">
        <v>327</v>
      </c>
      <c r="E1302" s="3" t="s">
        <v>46</v>
      </c>
      <c r="F1302" s="3" t="s">
        <v>3555</v>
      </c>
      <c r="G1302" s="3" t="s">
        <v>3616</v>
      </c>
      <c r="H1302" s="3" t="s">
        <v>4136</v>
      </c>
      <c r="I1302" s="3" t="str">
        <f>HYPERLINK("http://www.jccm.es/sede/tramite/K7I","SOLICITUD DEL PAGO INTERMEDIO O FINAL DE LA AYUDA A LA PROMOCION DEL VINO EN MERCADOS DE TERCEROS PAISES")</f>
        <v>SOLICITUD DEL PAGO INTERMEDIO O FINAL DE LA AYUDA A LA PROMOCION DEL VINO EN MERCADOS DE TERCEROS PAISES</v>
      </c>
      <c r="J1302" s="3" t="s">
        <v>41</v>
      </c>
      <c r="K1302" s="3" t="s">
        <v>41</v>
      </c>
      <c r="L1302" s="3" t="s">
        <v>42</v>
      </c>
      <c r="M1302" s="3" t="s">
        <v>41</v>
      </c>
    </row>
    <row r="1303" spans="1:13" ht="161.1">
      <c r="A1303" s="22" t="s">
        <v>9</v>
      </c>
      <c r="B1303" s="3" t="s">
        <v>4137</v>
      </c>
      <c r="C1303" s="3" t="s">
        <v>4138</v>
      </c>
      <c r="D1303" s="3" t="s">
        <v>3100</v>
      </c>
      <c r="E1303" s="3" t="s">
        <v>46</v>
      </c>
      <c r="F1303" s="3" t="s">
        <v>3555</v>
      </c>
      <c r="G1303" s="3" t="s">
        <v>3616</v>
      </c>
      <c r="H1303" s="3" t="s">
        <v>4139</v>
      </c>
      <c r="I1303" s="3" t="str">
        <f>HYPERLINK("http://www.jccm.es/sede/tramite/JIX","AYUDAS PARA FOMENTAR LA PRODUCCION Y COMERCIALIZACION DE PRODUCTOS AGROALIMENTARIOS DE CALIDAD DIFERENCIADA")</f>
        <v>AYUDAS PARA FOMENTAR LA PRODUCCION Y COMERCIALIZACION DE PRODUCTOS AGROALIMENTARIOS DE CALIDAD DIFERENCIADA</v>
      </c>
      <c r="J1303" s="3" t="s">
        <v>42</v>
      </c>
      <c r="K1303" s="3" t="s">
        <v>41</v>
      </c>
      <c r="L1303" s="3" t="s">
        <v>42</v>
      </c>
      <c r="M1303" s="3" t="s">
        <v>41</v>
      </c>
    </row>
    <row r="1304" spans="1:13" ht="195.6">
      <c r="A1304" s="22" t="s">
        <v>9</v>
      </c>
      <c r="B1304" s="3" t="s">
        <v>4140</v>
      </c>
      <c r="C1304" s="3" t="s">
        <v>4141</v>
      </c>
      <c r="D1304" s="3" t="s">
        <v>3100</v>
      </c>
      <c r="E1304" s="3" t="s">
        <v>46</v>
      </c>
      <c r="F1304" s="3" t="s">
        <v>3555</v>
      </c>
      <c r="G1304" s="3" t="s">
        <v>3616</v>
      </c>
      <c r="H1304" s="3" t="s">
        <v>4142</v>
      </c>
      <c r="I1304" s="3" t="str">
        <f>HYPERLINK("http://www.jccm.es/sede/tramite/K99","SOLICITUD DEL PAGO DE LAS AYUDAS PARA FOMENTAR LA PRODUCCION Y COMERCIALIZACION DE PRODUCTOS AGROALIMENTARIOS DE  CALIDAD DIFERENCIADA")</f>
        <v>SOLICITUD DEL PAGO DE LAS AYUDAS PARA FOMENTAR LA PRODUCCION Y COMERCIALIZACION DE PRODUCTOS AGROALIMENTARIOS DE  CALIDAD DIFERENCIADA</v>
      </c>
      <c r="J1304" s="3" t="s">
        <v>42</v>
      </c>
      <c r="K1304" s="3" t="s">
        <v>41</v>
      </c>
      <c r="L1304" s="3" t="s">
        <v>42</v>
      </c>
      <c r="M1304" s="3" t="s">
        <v>41</v>
      </c>
    </row>
    <row r="1305" spans="1:13" ht="126.6">
      <c r="A1305" s="22" t="s">
        <v>9</v>
      </c>
      <c r="B1305" s="3" t="s">
        <v>4143</v>
      </c>
      <c r="C1305" s="3" t="s">
        <v>4144</v>
      </c>
      <c r="D1305" s="3" t="s">
        <v>4145</v>
      </c>
      <c r="E1305" s="3" t="s">
        <v>46</v>
      </c>
      <c r="F1305" s="3" t="s">
        <v>3555</v>
      </c>
      <c r="G1305" s="3" t="s">
        <v>3566</v>
      </c>
      <c r="H1305" s="3" t="s">
        <v>4146</v>
      </c>
      <c r="I1305" s="3" t="str">
        <f>HYPERLINK("http://www.jccm.es/sede/tramite/H55","AYUDAS DE LA POLITICA AGRICOLA COMUN PARA EL AÑO 2022")</f>
        <v>AYUDAS DE LA POLITICA AGRICOLA COMUN PARA EL AÑO 2022</v>
      </c>
      <c r="J1305" s="3" t="s">
        <v>41</v>
      </c>
      <c r="K1305" s="3" t="s">
        <v>41</v>
      </c>
      <c r="L1305" s="3" t="s">
        <v>42</v>
      </c>
      <c r="M1305" s="3" t="s">
        <v>41</v>
      </c>
    </row>
    <row r="1306" spans="1:13" ht="126.6">
      <c r="A1306" s="22" t="s">
        <v>9</v>
      </c>
      <c r="B1306" s="3" t="s">
        <v>4147</v>
      </c>
      <c r="C1306" s="3" t="s">
        <v>4148</v>
      </c>
      <c r="D1306" s="3" t="s">
        <v>4145</v>
      </c>
      <c r="E1306" s="3" t="s">
        <v>46</v>
      </c>
      <c r="F1306" s="3" t="s">
        <v>3555</v>
      </c>
      <c r="G1306" s="3" t="s">
        <v>3566</v>
      </c>
      <c r="H1306" s="3" t="s">
        <v>4149</v>
      </c>
      <c r="I1306" s="3" t="str">
        <f>HYPERLINK("http://www.jccm.es/sede/tramite/K84","CESIONES DE DERECHOS DE PAGO BASICO CAMPAÑA 2022")</f>
        <v>CESIONES DE DERECHOS DE PAGO BASICO CAMPAÑA 2022</v>
      </c>
      <c r="J1306" s="3" t="s">
        <v>42</v>
      </c>
      <c r="K1306" s="3" t="s">
        <v>41</v>
      </c>
      <c r="L1306" s="3" t="s">
        <v>42</v>
      </c>
      <c r="M1306" s="3" t="s">
        <v>41</v>
      </c>
    </row>
    <row r="1307" spans="1:13" ht="149.44999999999999">
      <c r="A1307" s="22" t="s">
        <v>9</v>
      </c>
      <c r="B1307" s="3" t="s">
        <v>4150</v>
      </c>
      <c r="C1307" s="3" t="s">
        <v>4151</v>
      </c>
      <c r="D1307" s="3" t="s">
        <v>327</v>
      </c>
      <c r="E1307" s="3" t="s">
        <v>46</v>
      </c>
      <c r="F1307" s="3" t="s">
        <v>3555</v>
      </c>
      <c r="G1307" s="3" t="s">
        <v>3616</v>
      </c>
      <c r="H1307" s="3" t="s">
        <v>4152</v>
      </c>
      <c r="I1307" s="3" t="str">
        <f>HYPERLINK("http://www.jccm.es/sede/tramite/L13","SOLICITUD DE PAGO DE LA AYUDA DESTINADA A PROMOVER LA COOPERACION INNOVADORA EN EL SECTOR AGROALIMENTARIO")</f>
        <v>SOLICITUD DE PAGO DE LA AYUDA DESTINADA A PROMOVER LA COOPERACION INNOVADORA EN EL SECTOR AGROALIMENTARIO</v>
      </c>
      <c r="J1307" s="3" t="s">
        <v>41</v>
      </c>
      <c r="K1307" s="3" t="s">
        <v>41</v>
      </c>
      <c r="L1307" s="3" t="s">
        <v>42</v>
      </c>
      <c r="M1307" s="3" t="s">
        <v>41</v>
      </c>
    </row>
    <row r="1308" spans="1:13" ht="138">
      <c r="A1308" s="22" t="s">
        <v>9</v>
      </c>
      <c r="B1308" s="3" t="s">
        <v>4153</v>
      </c>
      <c r="C1308" s="3" t="s">
        <v>4154</v>
      </c>
      <c r="D1308" s="3" t="s">
        <v>327</v>
      </c>
      <c r="E1308" s="3" t="s">
        <v>46</v>
      </c>
      <c r="F1308" s="3" t="s">
        <v>3555</v>
      </c>
      <c r="G1308" s="3" t="s">
        <v>3616</v>
      </c>
      <c r="H1308" s="3" t="s">
        <v>4155</v>
      </c>
      <c r="I1308" s="3" t="str">
        <f>HYPERLINK("http://www.jccm.es/sede/tramite/JI5","SOLICITUD DE AYUDA DESTINADA A PROMOVER LA COOPERACION INNOVADORA EN EL SECTOR AGROALIMENTARIO")</f>
        <v>SOLICITUD DE AYUDA DESTINADA A PROMOVER LA COOPERACION INNOVADORA EN EL SECTOR AGROALIMENTARIO</v>
      </c>
      <c r="J1308" s="3" t="s">
        <v>41</v>
      </c>
      <c r="K1308" s="3" t="s">
        <v>41</v>
      </c>
      <c r="L1308" s="3" t="s">
        <v>42</v>
      </c>
      <c r="M1308" s="3" t="s">
        <v>41</v>
      </c>
    </row>
    <row r="1309" spans="1:13" ht="138">
      <c r="A1309" s="22" t="s">
        <v>9</v>
      </c>
      <c r="B1309" s="3" t="s">
        <v>4156</v>
      </c>
      <c r="C1309" s="3" t="s">
        <v>4157</v>
      </c>
      <c r="D1309" s="3" t="s">
        <v>327</v>
      </c>
      <c r="E1309" s="3" t="s">
        <v>46</v>
      </c>
      <c r="F1309" s="3" t="s">
        <v>3555</v>
      </c>
      <c r="G1309" s="3" t="s">
        <v>3566</v>
      </c>
      <c r="H1309" s="3" t="s">
        <v>4158</v>
      </c>
      <c r="I1309" s="3" t="str">
        <f>HYPERLINK("http://www.jccm.es/sede/tramite/L62","DOCUMENTACION JUSTIFICATIVA DE LAS SUBVENCIONES DESTINADAS AL FOMENTO DE RAZAS AUTOCTONAS ESPAÑOLAS")</f>
        <v>DOCUMENTACION JUSTIFICATIVA DE LAS SUBVENCIONES DESTINADAS AL FOMENTO DE RAZAS AUTOCTONAS ESPAÑOLAS</v>
      </c>
      <c r="J1309" s="3" t="s">
        <v>41</v>
      </c>
      <c r="K1309" s="3" t="s">
        <v>41</v>
      </c>
      <c r="L1309" s="3" t="s">
        <v>42</v>
      </c>
      <c r="M1309" s="3" t="s">
        <v>41</v>
      </c>
    </row>
    <row r="1310" spans="1:13" ht="126.6">
      <c r="A1310" s="22" t="s">
        <v>9</v>
      </c>
      <c r="B1310" s="3" t="s">
        <v>4159</v>
      </c>
      <c r="C1310" s="3" t="s">
        <v>4160</v>
      </c>
      <c r="D1310" s="3" t="s">
        <v>327</v>
      </c>
      <c r="E1310" s="3" t="s">
        <v>46</v>
      </c>
      <c r="F1310" s="3" t="s">
        <v>3555</v>
      </c>
      <c r="G1310" s="3" t="s">
        <v>3566</v>
      </c>
      <c r="H1310" s="3" t="s">
        <v>4161</v>
      </c>
      <c r="I1310" s="3" t="str">
        <f>HYPERLINK("http://www.jccm.es/sede/tramite/JS1","SOLICITUD DE SUBVENCIONES DESTINADAS AL FOMENTO DE LAS RAZAS AUTOCTONAS ESPAÑOLAS")</f>
        <v>SOLICITUD DE SUBVENCIONES DESTINADAS AL FOMENTO DE LAS RAZAS AUTOCTONAS ESPAÑOLAS</v>
      </c>
      <c r="J1310" s="3" t="s">
        <v>41</v>
      </c>
      <c r="K1310" s="3" t="s">
        <v>41</v>
      </c>
      <c r="L1310" s="3" t="s">
        <v>42</v>
      </c>
      <c r="M1310" s="3" t="s">
        <v>41</v>
      </c>
    </row>
    <row r="1311" spans="1:13" ht="218.45">
      <c r="A1311" s="22" t="s">
        <v>9</v>
      </c>
      <c r="B1311" s="3" t="s">
        <v>4162</v>
      </c>
      <c r="C1311" s="3" t="s">
        <v>4163</v>
      </c>
      <c r="D1311" s="3" t="s">
        <v>327</v>
      </c>
      <c r="E1311" s="3" t="s">
        <v>46</v>
      </c>
      <c r="F1311" s="3" t="s">
        <v>3555</v>
      </c>
      <c r="G1311" s="3" t="s">
        <v>3697</v>
      </c>
      <c r="H1311" s="3" t="s">
        <v>4164</v>
      </c>
      <c r="I1311" s="3" t="str">
        <f>HYPERLINK("http://www.jccm.es/sede/tramite/J18","SOLICITUD DE AYUDAS PARA ACCIONES DE CARACTER PREVENTIVO DESTINADAS A EVITAR DAÑOS OCASIONADOS POR EL LOBO IBERICO EN LA PROVINCIA DE GUADALAJARA")</f>
        <v>SOLICITUD DE AYUDAS PARA ACCIONES DE CARACTER PREVENTIVO DESTINADAS A EVITAR DAÑOS OCASIONADOS POR EL LOBO IBERICO EN LA PROVINCIA DE GUADALAJARA</v>
      </c>
      <c r="J1311" s="3" t="s">
        <v>42</v>
      </c>
      <c r="K1311" s="3" t="s">
        <v>41</v>
      </c>
      <c r="L1311" s="3" t="s">
        <v>42</v>
      </c>
      <c r="M1311" s="3" t="s">
        <v>41</v>
      </c>
    </row>
    <row r="1312" spans="1:13" ht="287.45">
      <c r="A1312" s="22" t="s">
        <v>9</v>
      </c>
      <c r="B1312" s="3" t="s">
        <v>4165</v>
      </c>
      <c r="C1312" s="3" t="s">
        <v>4166</v>
      </c>
      <c r="D1312" s="3" t="s">
        <v>327</v>
      </c>
      <c r="E1312" s="3" t="s">
        <v>46</v>
      </c>
      <c r="F1312" s="3" t="s">
        <v>3555</v>
      </c>
      <c r="G1312" s="3" t="s">
        <v>3697</v>
      </c>
      <c r="H1312" s="3" t="s">
        <v>4167</v>
      </c>
      <c r="I1312" s="3" t="str">
        <f>HYPERLINK("http://www.jccm.es/sede/tramite/L0A","COMUNICACION DE CAMBIO DE TITULARIDAD Y ACEPTACION EXPRESA DE LAS CONDICIONES DE LAS AYUDAS PARA ACCIONES PREVENTIVAS DESTINADAS A EVITAR DAÑOS POR EL LOBO IBERICO EN LA PROVINCIA DE GUADALAJARA")</f>
        <v>COMUNICACION DE CAMBIO DE TITULARIDAD Y ACEPTACION EXPRESA DE LAS CONDICIONES DE LAS AYUDAS PARA ACCIONES PREVENTIVAS DESTINADAS A EVITAR DAÑOS POR EL LOBO IBERICO EN LA PROVINCIA DE GUADALAJARA</v>
      </c>
      <c r="J1312" s="3" t="s">
        <v>42</v>
      </c>
      <c r="K1312" s="3" t="s">
        <v>41</v>
      </c>
      <c r="L1312" s="3" t="s">
        <v>42</v>
      </c>
      <c r="M1312" s="3" t="s">
        <v>41</v>
      </c>
    </row>
    <row r="1313" spans="1:13" ht="230.1">
      <c r="A1313" s="22" t="s">
        <v>9</v>
      </c>
      <c r="B1313" s="3" t="s">
        <v>4168</v>
      </c>
      <c r="C1313" s="3" t="s">
        <v>4169</v>
      </c>
      <c r="D1313" s="3" t="s">
        <v>327</v>
      </c>
      <c r="E1313" s="3" t="s">
        <v>46</v>
      </c>
      <c r="F1313" s="3" t="s">
        <v>3555</v>
      </c>
      <c r="G1313" s="3" t="s">
        <v>3697</v>
      </c>
      <c r="H1313" s="3" t="s">
        <v>4170</v>
      </c>
      <c r="I1313" s="3" t="str">
        <f>HYPERLINK("http://www.jccm.es/sede/tramite/K66","SOLICITUD DE PAGO AYUDAS PARA ACCIONES DE CARACTER PREVENTIVO DESTINADAS A EVITAR DAÑOS OCASIONADOS POR EL LOBO IBERICO EN LA PROVINCIA DE GUADALAJARA")</f>
        <v>SOLICITUD DE PAGO AYUDAS PARA ACCIONES DE CARACTER PREVENTIVO DESTINADAS A EVITAR DAÑOS OCASIONADOS POR EL LOBO IBERICO EN LA PROVINCIA DE GUADALAJARA</v>
      </c>
      <c r="J1313" s="3" t="s">
        <v>42</v>
      </c>
      <c r="K1313" s="3" t="s">
        <v>41</v>
      </c>
      <c r="L1313" s="3" t="s">
        <v>42</v>
      </c>
      <c r="M1313" s="3" t="s">
        <v>41</v>
      </c>
    </row>
    <row r="1314" spans="1:13" ht="126.6">
      <c r="A1314" s="22" t="s">
        <v>9</v>
      </c>
      <c r="B1314" s="3" t="s">
        <v>4171</v>
      </c>
      <c r="C1314" s="3" t="s">
        <v>4172</v>
      </c>
      <c r="D1314" s="3" t="s">
        <v>327</v>
      </c>
      <c r="E1314" s="3" t="s">
        <v>46</v>
      </c>
      <c r="F1314" s="3" t="s">
        <v>3555</v>
      </c>
      <c r="G1314" s="3" t="s">
        <v>3566</v>
      </c>
      <c r="H1314" s="3" t="s">
        <v>4173</v>
      </c>
      <c r="I1314" s="3" t="str">
        <f>HYPERLINK("http://www.jccm.es/sede/tramite/KX5","SOLICITUD DE ALTA DE LA DIRECCION TECNICA")</f>
        <v>SOLICITUD DE ALTA DE LA DIRECCION TECNICA</v>
      </c>
      <c r="J1314" s="3" t="s">
        <v>41</v>
      </c>
      <c r="K1314" s="3" t="s">
        <v>41</v>
      </c>
      <c r="L1314" s="3" t="s">
        <v>42</v>
      </c>
      <c r="M1314" s="3" t="s">
        <v>41</v>
      </c>
    </row>
    <row r="1315" spans="1:13" ht="126.6">
      <c r="A1315" s="22" t="s">
        <v>9</v>
      </c>
      <c r="B1315" s="3" t="s">
        <v>4174</v>
      </c>
      <c r="C1315" s="3" t="s">
        <v>4175</v>
      </c>
      <c r="D1315" s="3" t="s">
        <v>327</v>
      </c>
      <c r="E1315" s="3" t="s">
        <v>46</v>
      </c>
      <c r="F1315" s="3" t="s">
        <v>3555</v>
      </c>
      <c r="G1315" s="3" t="s">
        <v>3566</v>
      </c>
      <c r="H1315" s="3" t="s">
        <v>4176</v>
      </c>
      <c r="I1315" s="3" t="str">
        <f>HYPERLINK("http://www.jccm.es/sede/tramite/JE9","SOLICITUD INDIVIDUAL VITICULTOR/A")</f>
        <v>SOLICITUD INDIVIDUAL VITICULTOR/A</v>
      </c>
      <c r="J1315" s="3" t="s">
        <v>41</v>
      </c>
      <c r="K1315" s="3" t="s">
        <v>41</v>
      </c>
      <c r="L1315" s="3" t="s">
        <v>42</v>
      </c>
      <c r="M1315" s="3" t="s">
        <v>41</v>
      </c>
    </row>
    <row r="1316" spans="1:13" ht="126.6">
      <c r="A1316" s="22" t="s">
        <v>9</v>
      </c>
      <c r="B1316" s="3" t="s">
        <v>4177</v>
      </c>
      <c r="C1316" s="3" t="s">
        <v>4178</v>
      </c>
      <c r="D1316" s="3" t="s">
        <v>51</v>
      </c>
      <c r="E1316" s="3" t="s">
        <v>46</v>
      </c>
      <c r="F1316" s="3" t="s">
        <v>3555</v>
      </c>
      <c r="G1316" s="3" t="s">
        <v>3566</v>
      </c>
      <c r="H1316" s="3" t="s">
        <v>4179</v>
      </c>
      <c r="I1316" s="3" t="str">
        <f>HYPERLINK("http://www.jccm.es/sede/tramite/K5M","SOLICITUD DE MODIFICACION A LOS PROYECTOS DE REESTRUCTURACION Y RECONVERSION DE VIÑEDO")</f>
        <v>SOLICITUD DE MODIFICACION A LOS PROYECTOS DE REESTRUCTURACION Y RECONVERSION DE VIÑEDO</v>
      </c>
      <c r="J1316" s="3" t="s">
        <v>41</v>
      </c>
      <c r="K1316" s="3" t="s">
        <v>41</v>
      </c>
      <c r="L1316" s="3" t="s">
        <v>42</v>
      </c>
      <c r="M1316" s="3" t="s">
        <v>41</v>
      </c>
    </row>
    <row r="1317" spans="1:13" ht="126.6">
      <c r="A1317" s="22" t="s">
        <v>9</v>
      </c>
      <c r="B1317" s="3" t="s">
        <v>4180</v>
      </c>
      <c r="C1317" s="3" t="s">
        <v>4181</v>
      </c>
      <c r="D1317" s="3" t="s">
        <v>51</v>
      </c>
      <c r="E1317" s="3" t="s">
        <v>46</v>
      </c>
      <c r="F1317" s="3" t="s">
        <v>3555</v>
      </c>
      <c r="G1317" s="3" t="s">
        <v>3566</v>
      </c>
      <c r="H1317" s="3" t="s">
        <v>4182</v>
      </c>
      <c r="I1317" s="3" t="str">
        <f>HYPERLINK("http://www.jccm.es/sede/tramite/KSU","RENUNCIA A LAS SOLICITUDES DE REESTRUCTURACION Y RECONVERSION DE VIÑEDO")</f>
        <v>RENUNCIA A LAS SOLICITUDES DE REESTRUCTURACION Y RECONVERSION DE VIÑEDO</v>
      </c>
      <c r="J1317" s="3" t="s">
        <v>41</v>
      </c>
      <c r="K1317" s="3" t="s">
        <v>41</v>
      </c>
      <c r="L1317" s="3" t="s">
        <v>42</v>
      </c>
      <c r="M1317" s="3" t="s">
        <v>41</v>
      </c>
    </row>
    <row r="1318" spans="1:13" ht="172.5">
      <c r="A1318" s="22" t="s">
        <v>9</v>
      </c>
      <c r="B1318" s="3" t="s">
        <v>4183</v>
      </c>
      <c r="C1318" s="3" t="s">
        <v>4184</v>
      </c>
      <c r="D1318" s="3" t="s">
        <v>327</v>
      </c>
      <c r="E1318" s="3" t="s">
        <v>46</v>
      </c>
      <c r="F1318" s="3" t="s">
        <v>3555</v>
      </c>
      <c r="G1318" s="3" t="s">
        <v>3616</v>
      </c>
      <c r="H1318" s="3" t="s">
        <v>4185</v>
      </c>
      <c r="I1318" s="3" t="str">
        <f>HYPERLINK("http://www.jccm.es/sede/tramite/K6Z","PAGO DE AYUDAS A INVERSIONES DE DETERMINADAS INFRAESTRUCTURAS DEL SECTOR VITIVINICOLA DENTRO DEL PROGRAMA DE APOYO 2019-2023 (VINATI)")</f>
        <v>PAGO DE AYUDAS A INVERSIONES DE DETERMINADAS INFRAESTRUCTURAS DEL SECTOR VITIVINICOLA DENTRO DEL PROGRAMA DE APOYO 2019-2023 (VINATI)</v>
      </c>
      <c r="J1318" s="3" t="s">
        <v>41</v>
      </c>
      <c r="K1318" s="3" t="s">
        <v>41</v>
      </c>
      <c r="L1318" s="3" t="s">
        <v>42</v>
      </c>
      <c r="M1318" s="3" t="s">
        <v>41</v>
      </c>
    </row>
    <row r="1319" spans="1:13" ht="241.5">
      <c r="A1319" s="22" t="s">
        <v>9</v>
      </c>
      <c r="B1319" s="3" t="s">
        <v>4186</v>
      </c>
      <c r="C1319" s="3" t="s">
        <v>4187</v>
      </c>
      <c r="D1319" s="3" t="s">
        <v>327</v>
      </c>
      <c r="E1319" s="3" t="s">
        <v>46</v>
      </c>
      <c r="F1319" s="3" t="s">
        <v>3555</v>
      </c>
      <c r="G1319" s="3" t="s">
        <v>3616</v>
      </c>
      <c r="H1319" s="3" t="s">
        <v>4188</v>
      </c>
      <c r="I1319" s="3" t="str">
        <f>HYPERLINK("http://www.jccm.es/sede/tramite/KH3","MODIFICACION DE UN PROYECTO DE INVERSION ACOGIDO A LAS AYUDAS EN INVERSIONES DE DETERMINADAS INFRAESTRUCTURAS DEL SECTOR VITIVINICOLA EN EL PROGRAMA DE APOYO 2019-2023 (VINATI)")</f>
        <v>MODIFICACION DE UN PROYECTO DE INVERSION ACOGIDO A LAS AYUDAS EN INVERSIONES DE DETERMINADAS INFRAESTRUCTURAS DEL SECTOR VITIVINICOLA EN EL PROGRAMA DE APOYO 2019-2023 (VINATI)</v>
      </c>
      <c r="J1319" s="3" t="s">
        <v>41</v>
      </c>
      <c r="K1319" s="3" t="s">
        <v>41</v>
      </c>
      <c r="L1319" s="3" t="s">
        <v>42</v>
      </c>
      <c r="M1319" s="3" t="s">
        <v>41</v>
      </c>
    </row>
    <row r="1320" spans="1:13" ht="183.95">
      <c r="A1320" s="22" t="s">
        <v>9</v>
      </c>
      <c r="B1320" s="3" t="s">
        <v>4189</v>
      </c>
      <c r="C1320" s="3" t="s">
        <v>4190</v>
      </c>
      <c r="D1320" s="3" t="s">
        <v>327</v>
      </c>
      <c r="E1320" s="3" t="s">
        <v>46</v>
      </c>
      <c r="F1320" s="3" t="s">
        <v>3555</v>
      </c>
      <c r="G1320" s="3" t="s">
        <v>3616</v>
      </c>
      <c r="H1320" s="3" t="s">
        <v>4191</v>
      </c>
      <c r="I1320" s="3" t="str">
        <f>HYPERLINK("http://www.jccm.es/sede/tramite/KH2","ACEPTACION RESOLUCION DE AYUDAS A INVERSIONES DE DETERMINADAS INFRAESTRUCTURAS DEL SECTOR VITIVINICOLA DENTRO DEL PROGRAMA DE APOYO 2019-2023 (VINATI)")</f>
        <v>ACEPTACION RESOLUCION DE AYUDAS A INVERSIONES DE DETERMINADAS INFRAESTRUCTURAS DEL SECTOR VITIVINICOLA DENTRO DEL PROGRAMA DE APOYO 2019-2023 (VINATI)</v>
      </c>
      <c r="J1320" s="3" t="s">
        <v>41</v>
      </c>
      <c r="K1320" s="3" t="s">
        <v>41</v>
      </c>
      <c r="L1320" s="3" t="s">
        <v>42</v>
      </c>
      <c r="M1320" s="3" t="s">
        <v>41</v>
      </c>
    </row>
    <row r="1321" spans="1:13" ht="161.1">
      <c r="A1321" s="22" t="s">
        <v>9</v>
      </c>
      <c r="B1321" s="3" t="s">
        <v>4192</v>
      </c>
      <c r="C1321" s="3" t="s">
        <v>4193</v>
      </c>
      <c r="D1321" s="3" t="s">
        <v>327</v>
      </c>
      <c r="E1321" s="3" t="s">
        <v>46</v>
      </c>
      <c r="F1321" s="3" t="s">
        <v>3555</v>
      </c>
      <c r="G1321" s="3" t="s">
        <v>3616</v>
      </c>
      <c r="H1321" s="3" t="s">
        <v>4194</v>
      </c>
      <c r="I1321" s="3" t="str">
        <f>HYPERLINK("http://www.jccm.es/sede/tramite/K6Y","AYUDAS EN INVERSIONES DE DETERMINADAS INFRAESTRUCTURAS DEL SECTOR VITIVINICOLA DENTRO DEL PROGRAMA DE APOYO 2019-2023 (VINATI).")</f>
        <v>AYUDAS EN INVERSIONES DE DETERMINADAS INFRAESTRUCTURAS DEL SECTOR VITIVINICOLA DENTRO DEL PROGRAMA DE APOYO 2019-2023 (VINATI).</v>
      </c>
      <c r="J1321" s="3" t="s">
        <v>41</v>
      </c>
      <c r="K1321" s="3" t="s">
        <v>41</v>
      </c>
      <c r="L1321" s="3" t="s">
        <v>42</v>
      </c>
      <c r="M1321" s="3" t="s">
        <v>41</v>
      </c>
    </row>
    <row r="1322" spans="1:13" ht="126.6">
      <c r="A1322" s="22" t="s">
        <v>9</v>
      </c>
      <c r="B1322" s="3" t="s">
        <v>4195</v>
      </c>
      <c r="C1322" s="3" t="s">
        <v>4196</v>
      </c>
      <c r="D1322" s="3" t="s">
        <v>45</v>
      </c>
      <c r="E1322" s="3" t="s">
        <v>46</v>
      </c>
      <c r="F1322" s="3" t="s">
        <v>3555</v>
      </c>
      <c r="G1322" s="3" t="s">
        <v>3616</v>
      </c>
      <c r="H1322" s="3" t="s">
        <v>4197</v>
      </c>
      <c r="I1322" s="3" t="str">
        <f>HYPERLINK("http://www.jccm.es/sede/tramite/L6M","JUSTIFICACION DE LAS YUDAS PARA LA ASISTENCIA A LA FERIA AGROALIMENTARIA  WORLD OLIVE OIL EXHIBITION")</f>
        <v>JUSTIFICACION DE LAS YUDAS PARA LA ASISTENCIA A LA FERIA AGROALIMENTARIA  WORLD OLIVE OIL EXHIBITION</v>
      </c>
      <c r="J1322" s="3" t="s">
        <v>42</v>
      </c>
      <c r="K1322" s="3" t="s">
        <v>41</v>
      </c>
      <c r="L1322" s="3" t="s">
        <v>42</v>
      </c>
      <c r="M1322" s="3" t="s">
        <v>41</v>
      </c>
    </row>
    <row r="1323" spans="1:13" ht="114.95">
      <c r="A1323" s="22" t="s">
        <v>9</v>
      </c>
      <c r="B1323" s="3" t="s">
        <v>4198</v>
      </c>
      <c r="C1323" s="3" t="s">
        <v>4199</v>
      </c>
      <c r="D1323" s="3" t="s">
        <v>45</v>
      </c>
      <c r="E1323" s="3" t="s">
        <v>46</v>
      </c>
      <c r="F1323" s="3" t="s">
        <v>3555</v>
      </c>
      <c r="G1323" s="3" t="s">
        <v>3616</v>
      </c>
      <c r="H1323" s="3" t="s">
        <v>4200</v>
      </c>
      <c r="I1323" s="3" t="str">
        <f>HYPERLINK("http://www.jccm.es/sede/tramite/K8A","AYUDAS PARA LA ASISTENCIA A LA FERIA AGROALIMENTARIA WORLD OLIVE OIL EXHIBITION")</f>
        <v>AYUDAS PARA LA ASISTENCIA A LA FERIA AGROALIMENTARIA WORLD OLIVE OIL EXHIBITION</v>
      </c>
      <c r="J1323" s="3" t="s">
        <v>42</v>
      </c>
      <c r="K1323" s="3" t="s">
        <v>41</v>
      </c>
      <c r="L1323" s="3" t="s">
        <v>42</v>
      </c>
      <c r="M1323" s="3" t="s">
        <v>41</v>
      </c>
    </row>
    <row r="1324" spans="1:13" ht="114.95">
      <c r="A1324" s="22" t="s">
        <v>9</v>
      </c>
      <c r="B1324" s="3" t="s">
        <v>4201</v>
      </c>
      <c r="C1324" s="3" t="s">
        <v>4202</v>
      </c>
      <c r="D1324" s="3" t="s">
        <v>45</v>
      </c>
      <c r="E1324" s="3" t="s">
        <v>46</v>
      </c>
      <c r="F1324" s="3" t="s">
        <v>3555</v>
      </c>
      <c r="G1324" s="3" t="s">
        <v>3616</v>
      </c>
      <c r="H1324" s="3" t="s">
        <v>4203</v>
      </c>
      <c r="I1324" s="3" t="str">
        <f>HYPERLINK("http://www.jccm.es/sede/tramite/KBX","AYUDAS PARA LA ASISTENCIA A LA FERIA AGROALIMENTARIA FRUIT ATTRACTION")</f>
        <v>AYUDAS PARA LA ASISTENCIA A LA FERIA AGROALIMENTARIA FRUIT ATTRACTION</v>
      </c>
      <c r="J1324" s="3" t="s">
        <v>42</v>
      </c>
      <c r="K1324" s="3" t="s">
        <v>41</v>
      </c>
      <c r="L1324" s="3" t="s">
        <v>42</v>
      </c>
      <c r="M1324" s="3" t="s">
        <v>41</v>
      </c>
    </row>
    <row r="1325" spans="1:13" ht="114.95">
      <c r="A1325" s="22" t="s">
        <v>9</v>
      </c>
      <c r="B1325" s="3" t="s">
        <v>4204</v>
      </c>
      <c r="C1325" s="3" t="s">
        <v>4205</v>
      </c>
      <c r="D1325" s="3" t="s">
        <v>45</v>
      </c>
      <c r="E1325" s="3" t="s">
        <v>46</v>
      </c>
      <c r="F1325" s="3" t="s">
        <v>3555</v>
      </c>
      <c r="G1325" s="3" t="s">
        <v>3555</v>
      </c>
      <c r="H1325" s="3" t="s">
        <v>4206</v>
      </c>
      <c r="I1325" s="3" t="str">
        <f>HYPERLINK("http://www.jccm.es/sede/tramite/LVJ","ACEPTACION RESOLUCION CONCESION DE AYUDA PARA LA ASISTENCIA A LA FERIA AGROALIMENTARIA FRUIT ATTRACTION")</f>
        <v>ACEPTACION RESOLUCION CONCESION DE AYUDA PARA LA ASISTENCIA A LA FERIA AGROALIMENTARIA FRUIT ATTRACTION</v>
      </c>
      <c r="J1325" s="3" t="s">
        <v>42</v>
      </c>
      <c r="K1325" s="3" t="s">
        <v>41</v>
      </c>
      <c r="L1325" s="3" t="s">
        <v>42</v>
      </c>
      <c r="M1325" s="3" t="s">
        <v>41</v>
      </c>
    </row>
    <row r="1326" spans="1:13" ht="126.6">
      <c r="A1326" s="22" t="s">
        <v>9</v>
      </c>
      <c r="B1326" s="3" t="s">
        <v>4207</v>
      </c>
      <c r="C1326" s="3" t="s">
        <v>4208</v>
      </c>
      <c r="D1326" s="3" t="s">
        <v>70</v>
      </c>
      <c r="E1326" s="3" t="s">
        <v>46</v>
      </c>
      <c r="F1326" s="3" t="s">
        <v>3555</v>
      </c>
      <c r="G1326" s="3" t="s">
        <v>3616</v>
      </c>
      <c r="H1326" s="3" t="s">
        <v>4209</v>
      </c>
      <c r="I1326" s="3" t="str">
        <f>HYPERLINK("http://www.jccm.es/sede/tramite/KJE","JUSTIFICACION DE LAS AYUDAS PARA LA ASISTENCIA A LA FERIA AGROALIMENTARIA ALIMENTARIA BARCELONA 2020")</f>
        <v>JUSTIFICACION DE LAS AYUDAS PARA LA ASISTENCIA A LA FERIA AGROALIMENTARIA ALIMENTARIA BARCELONA 2020</v>
      </c>
      <c r="J1326" s="3" t="s">
        <v>42</v>
      </c>
      <c r="K1326" s="3" t="s">
        <v>41</v>
      </c>
      <c r="L1326" s="3" t="s">
        <v>42</v>
      </c>
      <c r="M1326" s="3" t="s">
        <v>41</v>
      </c>
    </row>
    <row r="1327" spans="1:13" ht="114.95">
      <c r="A1327" s="22" t="s">
        <v>9</v>
      </c>
      <c r="B1327" s="3" t="s">
        <v>4210</v>
      </c>
      <c r="C1327" s="3" t="s">
        <v>4211</v>
      </c>
      <c r="D1327" s="3" t="s">
        <v>70</v>
      </c>
      <c r="E1327" s="3" t="s">
        <v>46</v>
      </c>
      <c r="F1327" s="3" t="s">
        <v>3555</v>
      </c>
      <c r="G1327" s="3" t="s">
        <v>3616</v>
      </c>
      <c r="H1327" s="3" t="s">
        <v>4212</v>
      </c>
      <c r="I1327" s="3" t="str">
        <f>HYPERLINK("http://www.jccm.es/sede/tramite/KJD","AYUDAS PARA LA ASISTENCIA A LA FERIA AGROALIMENTARIA ALIMENTARIA BARCELONA 2020.")</f>
        <v>AYUDAS PARA LA ASISTENCIA A LA FERIA AGROALIMENTARIA ALIMENTARIA BARCELONA 2020.</v>
      </c>
      <c r="J1327" s="3" t="s">
        <v>42</v>
      </c>
      <c r="K1327" s="3" t="s">
        <v>41</v>
      </c>
      <c r="L1327" s="3" t="s">
        <v>42</v>
      </c>
      <c r="M1327" s="3" t="s">
        <v>41</v>
      </c>
    </row>
    <row r="1328" spans="1:13" ht="114.95">
      <c r="A1328" s="22" t="s">
        <v>9</v>
      </c>
      <c r="B1328" s="3" t="s">
        <v>4213</v>
      </c>
      <c r="C1328" s="3" t="s">
        <v>4214</v>
      </c>
      <c r="D1328" s="3" t="s">
        <v>70</v>
      </c>
      <c r="E1328" s="3" t="s">
        <v>46</v>
      </c>
      <c r="F1328" s="3" t="s">
        <v>3555</v>
      </c>
      <c r="G1328" s="3" t="s">
        <v>3616</v>
      </c>
      <c r="H1328" s="3" t="s">
        <v>4215</v>
      </c>
      <c r="I1328" s="3" t="str">
        <f>HYPERLINK("http://www.jccm.es/sede/tramite/KET","AYUDAS PARA LA ASISTENCIA A LA FERIA AGROALIMENTARIA  SALON GOURMETS .")</f>
        <v>AYUDAS PARA LA ASISTENCIA A LA FERIA AGROALIMENTARIA  SALON GOURMETS .</v>
      </c>
      <c r="J1328" s="3" t="s">
        <v>42</v>
      </c>
      <c r="K1328" s="3" t="s">
        <v>41</v>
      </c>
      <c r="L1328" s="3" t="s">
        <v>42</v>
      </c>
      <c r="M1328" s="3" t="s">
        <v>41</v>
      </c>
    </row>
    <row r="1329" spans="1:13" ht="114.95">
      <c r="A1329" s="22" t="s">
        <v>9</v>
      </c>
      <c r="B1329" s="3" t="s">
        <v>4216</v>
      </c>
      <c r="C1329" s="3" t="s">
        <v>4217</v>
      </c>
      <c r="D1329" s="3" t="s">
        <v>70</v>
      </c>
      <c r="E1329" s="3" t="s">
        <v>46</v>
      </c>
      <c r="F1329" s="3" t="s">
        <v>3555</v>
      </c>
      <c r="G1329" s="3" t="s">
        <v>3616</v>
      </c>
      <c r="H1329" s="3" t="s">
        <v>4218</v>
      </c>
      <c r="I1329" s="3" t="str">
        <f>HYPERLINK("http://www.jccm.es/sede/tramite/KEU","JUSTIFICACION DE LAS AYUDAS PARA LA ASISTENCIA A LA FERIA AGROALIMENTARIA SALON GOURMETS")</f>
        <v>JUSTIFICACION DE LAS AYUDAS PARA LA ASISTENCIA A LA FERIA AGROALIMENTARIA SALON GOURMETS</v>
      </c>
      <c r="J1329" s="3" t="s">
        <v>42</v>
      </c>
      <c r="K1329" s="3" t="s">
        <v>41</v>
      </c>
      <c r="L1329" s="3" t="s">
        <v>42</v>
      </c>
      <c r="M1329" s="3" t="s">
        <v>41</v>
      </c>
    </row>
    <row r="1330" spans="1:13" ht="114.95">
      <c r="A1330" s="22" t="s">
        <v>9</v>
      </c>
      <c r="B1330" s="3" t="s">
        <v>4219</v>
      </c>
      <c r="C1330" s="3" t="s">
        <v>4220</v>
      </c>
      <c r="D1330" s="3" t="s">
        <v>70</v>
      </c>
      <c r="E1330" s="3" t="s">
        <v>46</v>
      </c>
      <c r="F1330" s="3" t="s">
        <v>3555</v>
      </c>
      <c r="G1330" s="3" t="s">
        <v>3616</v>
      </c>
      <c r="H1330" s="3" t="s">
        <v>4221</v>
      </c>
      <c r="I1330" s="3" t="str">
        <f>HYPERLINK("http://www.jccm.es/sede/tramite/LKV","JUSTIFICACION DE LAS AYUDAS PARA LA ASISTENCIA A LA FERIA AGROALIMENTARIA FRUIT ATTRACTION")</f>
        <v>JUSTIFICACION DE LAS AYUDAS PARA LA ASISTENCIA A LA FERIA AGROALIMENTARIA FRUIT ATTRACTION</v>
      </c>
      <c r="J1330" s="3" t="s">
        <v>42</v>
      </c>
      <c r="K1330" s="3" t="s">
        <v>41</v>
      </c>
      <c r="L1330" s="3" t="s">
        <v>42</v>
      </c>
      <c r="M1330" s="3" t="s">
        <v>41</v>
      </c>
    </row>
    <row r="1331" spans="1:13" ht="138">
      <c r="A1331" s="22" t="s">
        <v>9</v>
      </c>
      <c r="B1331" s="3" t="s">
        <v>4222</v>
      </c>
      <c r="C1331" s="3" t="s">
        <v>4223</v>
      </c>
      <c r="D1331" s="3" t="s">
        <v>232</v>
      </c>
      <c r="E1331" s="3" t="s">
        <v>46</v>
      </c>
      <c r="F1331" s="3" t="s">
        <v>3555</v>
      </c>
      <c r="G1331" s="3" t="s">
        <v>3556</v>
      </c>
      <c r="H1331" s="3" t="s">
        <v>4224</v>
      </c>
      <c r="I1331" s="3" t="str">
        <f>HYPERLINK("http://www.jccm.es/sede/tramite/KL2","SOLICITUD DE AYUDA PREPARATORIA PARA LOS GRUPOS DE ACCION LOCAL QUE ELABORARAN EDLP EN EL PERIODO 2014/2020.")</f>
        <v>SOLICITUD DE AYUDA PREPARATORIA PARA LOS GRUPOS DE ACCION LOCAL QUE ELABORARAN EDLP EN EL PERIODO 2014/2020.</v>
      </c>
      <c r="J1331" s="3" t="s">
        <v>42</v>
      </c>
      <c r="K1331" s="3" t="s">
        <v>41</v>
      </c>
      <c r="L1331" s="3" t="s">
        <v>42</v>
      </c>
      <c r="M1331" s="3" t="s">
        <v>41</v>
      </c>
    </row>
    <row r="1332" spans="1:13" ht="149.44999999999999">
      <c r="A1332" s="22" t="s">
        <v>9</v>
      </c>
      <c r="B1332" s="3" t="s">
        <v>4225</v>
      </c>
      <c r="C1332" s="3" t="s">
        <v>4226</v>
      </c>
      <c r="D1332" s="3" t="s">
        <v>232</v>
      </c>
      <c r="E1332" s="3" t="s">
        <v>46</v>
      </c>
      <c r="F1332" s="3" t="s">
        <v>3555</v>
      </c>
      <c r="G1332" s="3" t="s">
        <v>3556</v>
      </c>
      <c r="H1332" s="3" t="s">
        <v>4227</v>
      </c>
      <c r="I1332" s="3" t="str">
        <f>HYPERLINK("http://www.jccm.es/sede/tramite/KL3","SOLICITUD DE PAGO DE LA AYUDA PREPARATORIA PARA LOS GRUPOS DE ACCION LOCAL QUE ELABORARAN EDLP EN EL PERIODO 2014/2020.")</f>
        <v>SOLICITUD DE PAGO DE LA AYUDA PREPARATORIA PARA LOS GRUPOS DE ACCION LOCAL QUE ELABORARAN EDLP EN EL PERIODO 2014/2020.</v>
      </c>
      <c r="J1332" s="3" t="s">
        <v>42</v>
      </c>
      <c r="K1332" s="3" t="s">
        <v>41</v>
      </c>
      <c r="L1332" s="3" t="s">
        <v>42</v>
      </c>
      <c r="M1332" s="3" t="s">
        <v>41</v>
      </c>
    </row>
    <row r="1333" spans="1:13" ht="114.95">
      <c r="A1333" s="22" t="s">
        <v>9</v>
      </c>
      <c r="B1333" s="3" t="s">
        <v>4228</v>
      </c>
      <c r="C1333" s="3" t="s">
        <v>4229</v>
      </c>
      <c r="D1333" s="3" t="s">
        <v>45</v>
      </c>
      <c r="E1333" s="3" t="s">
        <v>46</v>
      </c>
      <c r="F1333" s="3" t="s">
        <v>3555</v>
      </c>
      <c r="G1333" s="3" t="s">
        <v>3616</v>
      </c>
      <c r="H1333" s="3" t="s">
        <v>4230</v>
      </c>
      <c r="I1333" s="3" t="str">
        <f>HYPERLINK("http://www.jccm.es/sede/tramite/KT1","JUSTIFICACION DE LAS AYUDAS PARA LA ASISTENCIA A LA FERIA AGROALIMENTARIA MEAT ATTRACTION")</f>
        <v>JUSTIFICACION DE LAS AYUDAS PARA LA ASISTENCIA A LA FERIA AGROALIMENTARIA MEAT ATTRACTION</v>
      </c>
      <c r="J1333" s="3" t="s">
        <v>42</v>
      </c>
      <c r="K1333" s="3" t="s">
        <v>41</v>
      </c>
      <c r="L1333" s="3" t="s">
        <v>42</v>
      </c>
      <c r="M1333" s="3" t="s">
        <v>41</v>
      </c>
    </row>
    <row r="1334" spans="1:13" ht="114.95">
      <c r="A1334" s="22" t="s">
        <v>9</v>
      </c>
      <c r="B1334" s="3" t="s">
        <v>4231</v>
      </c>
      <c r="C1334" s="3" t="s">
        <v>4229</v>
      </c>
      <c r="D1334" s="3" t="s">
        <v>45</v>
      </c>
      <c r="E1334" s="3" t="s">
        <v>46</v>
      </c>
      <c r="F1334" s="3" t="s">
        <v>3555</v>
      </c>
      <c r="G1334" s="3" t="s">
        <v>3616</v>
      </c>
      <c r="H1334" s="3" t="s">
        <v>4232</v>
      </c>
      <c r="I1334" s="3" t="str">
        <f>HYPERLINK("http://www.jccm.es/sede/tramite/KT2","AYUDAS PARA LA ASISTENCIA A LA FERIA AGROALIMENTARIA MEAT ATTRACTION")</f>
        <v>AYUDAS PARA LA ASISTENCIA A LA FERIA AGROALIMENTARIA MEAT ATTRACTION</v>
      </c>
      <c r="J1334" s="3" t="s">
        <v>42</v>
      </c>
      <c r="K1334" s="3" t="s">
        <v>41</v>
      </c>
      <c r="L1334" s="3" t="s">
        <v>42</v>
      </c>
      <c r="M1334" s="3" t="s">
        <v>41</v>
      </c>
    </row>
    <row r="1335" spans="1:13" ht="114.95">
      <c r="A1335" s="22" t="s">
        <v>9</v>
      </c>
      <c r="B1335" s="3" t="s">
        <v>4233</v>
      </c>
      <c r="C1335" s="3" t="s">
        <v>4234</v>
      </c>
      <c r="D1335" s="3" t="s">
        <v>45</v>
      </c>
      <c r="E1335" s="3" t="s">
        <v>46</v>
      </c>
      <c r="F1335" s="3" t="s">
        <v>3555</v>
      </c>
      <c r="G1335" s="3" t="s">
        <v>3616</v>
      </c>
      <c r="H1335" s="3" t="s">
        <v>4235</v>
      </c>
      <c r="I1335" s="3" t="str">
        <f>HYPERLINK("http://www.jccm.es/sede/tramite/LY6","ACEPTACION RESOLUCION CONCESION DE AYUDA PARA LA ASISTENCIA A LA FERIA AGROALIMENTARIA MEAT ATTRACTION")</f>
        <v>ACEPTACION RESOLUCION CONCESION DE AYUDA PARA LA ASISTENCIA A LA FERIA AGROALIMENTARIA MEAT ATTRACTION</v>
      </c>
      <c r="J1335" s="3" t="s">
        <v>42</v>
      </c>
      <c r="K1335" s="3" t="s">
        <v>41</v>
      </c>
      <c r="L1335" s="3" t="s">
        <v>42</v>
      </c>
      <c r="M1335" s="3" t="s">
        <v>41</v>
      </c>
    </row>
    <row r="1336" spans="1:13" ht="149.44999999999999">
      <c r="A1336" s="22" t="s">
        <v>9</v>
      </c>
      <c r="B1336" s="3" t="s">
        <v>4236</v>
      </c>
      <c r="C1336" s="3" t="s">
        <v>4237</v>
      </c>
      <c r="D1336" s="3" t="s">
        <v>327</v>
      </c>
      <c r="E1336" s="3" t="s">
        <v>46</v>
      </c>
      <c r="F1336" s="3" t="s">
        <v>3555</v>
      </c>
      <c r="G1336" s="3" t="s">
        <v>3616</v>
      </c>
      <c r="H1336" s="3" t="s">
        <v>4238</v>
      </c>
      <c r="I1336" s="3" t="str">
        <f>HYPERLINK("http://www.jccm.es/sede/tramite/KTB","PAGO DE LAS AYUDAS A LA CREACION DE AGRUPACIONES DE PRODUCTORES DE PRODUCTOS AGROALIMENTARIOS (APPAAS)")</f>
        <v>PAGO DE LAS AYUDAS A LA CREACION DE AGRUPACIONES DE PRODUCTORES DE PRODUCTOS AGROALIMENTARIOS (APPAAS)</v>
      </c>
      <c r="J1336" s="3" t="s">
        <v>41</v>
      </c>
      <c r="K1336" s="3" t="s">
        <v>41</v>
      </c>
      <c r="L1336" s="3" t="s">
        <v>42</v>
      </c>
      <c r="M1336" s="3" t="s">
        <v>41</v>
      </c>
    </row>
    <row r="1337" spans="1:13" ht="126.6">
      <c r="A1337" s="22" t="s">
        <v>9</v>
      </c>
      <c r="B1337" s="3" t="s">
        <v>4239</v>
      </c>
      <c r="C1337" s="3" t="s">
        <v>4240</v>
      </c>
      <c r="D1337" s="3" t="s">
        <v>327</v>
      </c>
      <c r="E1337" s="3" t="s">
        <v>46</v>
      </c>
      <c r="F1337" s="3" t="s">
        <v>3555</v>
      </c>
      <c r="G1337" s="3" t="s">
        <v>3555</v>
      </c>
      <c r="H1337" s="3" t="s">
        <v>4241</v>
      </c>
      <c r="I1337" s="3" t="str">
        <f>HYPERLINK("http://www.jccm.es/sede/tramite/LW3","SOLICITUD DE MODIFICACION DEL PLAN EMPRESARIAL DE COMERCIALIZACION CONJUNTA DE LAS APPAA")</f>
        <v>SOLICITUD DE MODIFICACION DEL PLAN EMPRESARIAL DE COMERCIALIZACION CONJUNTA DE LAS APPAA</v>
      </c>
      <c r="J1337" s="3" t="s">
        <v>41</v>
      </c>
      <c r="K1337" s="3" t="s">
        <v>41</v>
      </c>
      <c r="L1337" s="3" t="s">
        <v>42</v>
      </c>
      <c r="M1337" s="3" t="s">
        <v>41</v>
      </c>
    </row>
    <row r="1338" spans="1:13" ht="149.44999999999999">
      <c r="A1338" s="22" t="s">
        <v>9</v>
      </c>
      <c r="B1338" s="3" t="s">
        <v>4242</v>
      </c>
      <c r="C1338" s="3" t="s">
        <v>4243</v>
      </c>
      <c r="D1338" s="3" t="s">
        <v>327</v>
      </c>
      <c r="E1338" s="3" t="s">
        <v>46</v>
      </c>
      <c r="F1338" s="3" t="s">
        <v>3555</v>
      </c>
      <c r="G1338" s="3" t="s">
        <v>3616</v>
      </c>
      <c r="H1338" s="3" t="s">
        <v>4244</v>
      </c>
      <c r="I1338" s="3" t="str">
        <f>HYPERLINK("http://www.jccm.es/sede/tramite/KTA","AYUDA AL FOMENTO DE LA CREACION DE AGRUPACIONES DE PRODUCTORES DE PRODUCTOS AGROALIMENTARIOS (APPAA)")</f>
        <v>AYUDA AL FOMENTO DE LA CREACION DE AGRUPACIONES DE PRODUCTORES DE PRODUCTOS AGROALIMENTARIOS (APPAA)</v>
      </c>
      <c r="J1338" s="3" t="s">
        <v>41</v>
      </c>
      <c r="K1338" s="3" t="s">
        <v>41</v>
      </c>
      <c r="L1338" s="3" t="s">
        <v>42</v>
      </c>
      <c r="M1338" s="3" t="s">
        <v>41</v>
      </c>
    </row>
    <row r="1339" spans="1:13" ht="183.95">
      <c r="A1339" s="22" t="s">
        <v>9</v>
      </c>
      <c r="B1339" s="3" t="s">
        <v>4245</v>
      </c>
      <c r="C1339" s="3" t="s">
        <v>4246</v>
      </c>
      <c r="D1339" s="3" t="s">
        <v>4247</v>
      </c>
      <c r="E1339" s="3" t="s">
        <v>37</v>
      </c>
      <c r="F1339" s="3" t="s">
        <v>3555</v>
      </c>
      <c r="G1339" s="3" t="s">
        <v>3616</v>
      </c>
      <c r="H1339" s="3" t="s">
        <v>4248</v>
      </c>
      <c r="I1339" s="3" t="str">
        <f>HYPERLINK("http://www.jccm.es/sede/tramite/KTM","SOLICITUD DE MODIFICACION DE PROGRAMA OPERATIVO RELATIVA A ANUALIDAD NO COMENZADA")</f>
        <v>SOLICITUD DE MODIFICACION DE PROGRAMA OPERATIVO RELATIVA A ANUALIDAD NO COMENZADA</v>
      </c>
      <c r="J1339" s="3" t="s">
        <v>41</v>
      </c>
      <c r="K1339" s="3" t="s">
        <v>41</v>
      </c>
      <c r="L1339" s="3" t="s">
        <v>42</v>
      </c>
      <c r="M1339" s="3" t="s">
        <v>41</v>
      </c>
    </row>
    <row r="1340" spans="1:13" ht="183.95">
      <c r="A1340" s="22" t="s">
        <v>9</v>
      </c>
      <c r="B1340" s="3" t="s">
        <v>4249</v>
      </c>
      <c r="C1340" s="3" t="s">
        <v>4250</v>
      </c>
      <c r="D1340" s="3" t="s">
        <v>4247</v>
      </c>
      <c r="E1340" s="3" t="s">
        <v>37</v>
      </c>
      <c r="F1340" s="3" t="s">
        <v>3555</v>
      </c>
      <c r="G1340" s="3" t="s">
        <v>3616</v>
      </c>
      <c r="H1340" s="3" t="s">
        <v>4251</v>
      </c>
      <c r="I1340" s="3" t="str">
        <f>HYPERLINK("http://www.jccm.es/sede/tramite/KTL","SOLICITUD DE PRESENTACION DE NUEVO PROGRAMA OPERATIVO")</f>
        <v>SOLICITUD DE PRESENTACION DE NUEVO PROGRAMA OPERATIVO</v>
      </c>
      <c r="J1340" s="3" t="s">
        <v>41</v>
      </c>
      <c r="K1340" s="3" t="s">
        <v>41</v>
      </c>
      <c r="L1340" s="3" t="s">
        <v>42</v>
      </c>
      <c r="M1340" s="3" t="s">
        <v>41</v>
      </c>
    </row>
    <row r="1341" spans="1:13" ht="183.95">
      <c r="A1341" s="22" t="s">
        <v>9</v>
      </c>
      <c r="B1341" s="3" t="s">
        <v>4252</v>
      </c>
      <c r="C1341" s="3" t="s">
        <v>4253</v>
      </c>
      <c r="D1341" s="3" t="s">
        <v>4247</v>
      </c>
      <c r="E1341" s="3" t="s">
        <v>37</v>
      </c>
      <c r="F1341" s="3" t="s">
        <v>3555</v>
      </c>
      <c r="G1341" s="3" t="s">
        <v>3616</v>
      </c>
      <c r="H1341" s="3" t="s">
        <v>4254</v>
      </c>
      <c r="I1341" s="3" t="str">
        <f>HYPERLINK("http://www.jccm.es/sede/tramite/KTN","NOTIFICACIONES DE LAS ACCIONES DE LA MEDIDA DE PREVENCION Y GESTION DE CRISIS")</f>
        <v>NOTIFICACIONES DE LAS ACCIONES DE LA MEDIDA DE PREVENCION Y GESTION DE CRISIS</v>
      </c>
      <c r="J1341" s="3" t="s">
        <v>41</v>
      </c>
      <c r="K1341" s="3" t="s">
        <v>41</v>
      </c>
      <c r="L1341" s="3" t="s">
        <v>42</v>
      </c>
      <c r="M1341" s="3" t="s">
        <v>41</v>
      </c>
    </row>
    <row r="1342" spans="1:13" ht="114.95">
      <c r="A1342" s="22" t="s">
        <v>9</v>
      </c>
      <c r="B1342" s="3" t="s">
        <v>4255</v>
      </c>
      <c r="C1342" s="3" t="s">
        <v>4256</v>
      </c>
      <c r="D1342" s="3" t="s">
        <v>1821</v>
      </c>
      <c r="E1342" s="3" t="s">
        <v>37</v>
      </c>
      <c r="F1342" s="3" t="s">
        <v>3555</v>
      </c>
      <c r="G1342" s="3" t="s">
        <v>3616</v>
      </c>
      <c r="H1342" s="3" t="s">
        <v>4257</v>
      </c>
      <c r="I1342" s="3" t="str">
        <f>HYPERLINK("http://www.jccm.es/sede/tramite/KTO","SOLICITUD DE MODIFICACION DEL PROGRAMA OPERATIVO DURANTE LA ANUALIDAD EN CURSO")</f>
        <v>SOLICITUD DE MODIFICACION DEL PROGRAMA OPERATIVO DURANTE LA ANUALIDAD EN CURSO</v>
      </c>
      <c r="J1342" s="3" t="s">
        <v>41</v>
      </c>
      <c r="K1342" s="3" t="s">
        <v>41</v>
      </c>
      <c r="L1342" s="3" t="s">
        <v>42</v>
      </c>
      <c r="M1342" s="3" t="s">
        <v>41</v>
      </c>
    </row>
    <row r="1343" spans="1:13" ht="114.95">
      <c r="A1343" s="22" t="s">
        <v>9</v>
      </c>
      <c r="B1343" s="3" t="s">
        <v>4258</v>
      </c>
      <c r="C1343" s="3" t="s">
        <v>4259</v>
      </c>
      <c r="D1343" s="3" t="s">
        <v>1821</v>
      </c>
      <c r="E1343" s="3" t="s">
        <v>37</v>
      </c>
      <c r="F1343" s="3" t="s">
        <v>3555</v>
      </c>
      <c r="G1343" s="3" t="s">
        <v>3616</v>
      </c>
      <c r="H1343" s="3" t="s">
        <v>4260</v>
      </c>
      <c r="I1343" s="3" t="str">
        <f>HYPERLINK("http://www.jccm.es/sede/tramite/LK5","COMUNICACION EJECUCION ACCIONES MEDIOAMBIENTALES")</f>
        <v>COMUNICACION EJECUCION ACCIONES MEDIOAMBIENTALES</v>
      </c>
      <c r="J1343" s="3" t="s">
        <v>41</v>
      </c>
      <c r="K1343" s="3" t="s">
        <v>41</v>
      </c>
      <c r="L1343" s="3" t="s">
        <v>42</v>
      </c>
      <c r="M1343" s="3" t="s">
        <v>41</v>
      </c>
    </row>
    <row r="1344" spans="1:13" ht="114.95">
      <c r="A1344" s="22" t="s">
        <v>9</v>
      </c>
      <c r="B1344" s="3" t="s">
        <v>4261</v>
      </c>
      <c r="C1344" s="3" t="s">
        <v>4262</v>
      </c>
      <c r="D1344" s="3" t="s">
        <v>327</v>
      </c>
      <c r="E1344" s="3" t="s">
        <v>46</v>
      </c>
      <c r="F1344" s="3" t="s">
        <v>3555</v>
      </c>
      <c r="G1344" s="3" t="s">
        <v>3556</v>
      </c>
      <c r="H1344" s="3" t="s">
        <v>4263</v>
      </c>
      <c r="I1344" s="3" t="str">
        <f>HYPERLINK("http://www.jccm.es/sede/tramite/KVF","AYUDAS A LA MODERNIZACION Y TRANSFORMACION DE REGADIOS")</f>
        <v>AYUDAS A LA MODERNIZACION Y TRANSFORMACION DE REGADIOS</v>
      </c>
      <c r="J1344" s="3" t="s">
        <v>41</v>
      </c>
      <c r="K1344" s="3" t="s">
        <v>41</v>
      </c>
      <c r="L1344" s="3" t="s">
        <v>42</v>
      </c>
      <c r="M1344" s="3" t="s">
        <v>41</v>
      </c>
    </row>
    <row r="1345" spans="1:13" ht="114.95">
      <c r="A1345" s="22" t="s">
        <v>9</v>
      </c>
      <c r="B1345" s="3" t="s">
        <v>4264</v>
      </c>
      <c r="C1345" s="3" t="s">
        <v>4265</v>
      </c>
      <c r="D1345" s="3" t="s">
        <v>327</v>
      </c>
      <c r="E1345" s="3" t="s">
        <v>46</v>
      </c>
      <c r="F1345" s="3" t="s">
        <v>3555</v>
      </c>
      <c r="G1345" s="3" t="s">
        <v>3556</v>
      </c>
      <c r="H1345" s="3" t="s">
        <v>4266</v>
      </c>
      <c r="I1345" s="3" t="str">
        <f>HYPERLINK("http://www.jccm.es/sede/tramite/KVG","PAGO AYUDAS A LA MODERNIZACION Y TRANSFORMACION DE REGADIOS")</f>
        <v>PAGO AYUDAS A LA MODERNIZACION Y TRANSFORMACION DE REGADIOS</v>
      </c>
      <c r="J1345" s="3" t="s">
        <v>41</v>
      </c>
      <c r="K1345" s="3" t="s">
        <v>41</v>
      </c>
      <c r="L1345" s="3" t="s">
        <v>42</v>
      </c>
      <c r="M1345" s="3" t="s">
        <v>41</v>
      </c>
    </row>
    <row r="1346" spans="1:13" ht="114.95">
      <c r="A1346" s="22" t="s">
        <v>9</v>
      </c>
      <c r="B1346" s="3" t="s">
        <v>4267</v>
      </c>
      <c r="C1346" s="3" t="s">
        <v>4268</v>
      </c>
      <c r="D1346" s="3" t="s">
        <v>45</v>
      </c>
      <c r="E1346" s="3" t="s">
        <v>46</v>
      </c>
      <c r="F1346" s="3" t="s">
        <v>3555</v>
      </c>
      <c r="G1346" s="3" t="s">
        <v>3616</v>
      </c>
      <c r="H1346" s="3" t="s">
        <v>4269</v>
      </c>
      <c r="I1346" s="3" t="str">
        <f>HYPERLINK("http://www.jccm.es/sede/tramite/KW7","PRESENTACION DOCUMENTACION DEL SALDO DE LA AYUDA A LA DESTILACION DE SUBPRODUCTOS")</f>
        <v>PRESENTACION DOCUMENTACION DEL SALDO DE LA AYUDA A LA DESTILACION DE SUBPRODUCTOS</v>
      </c>
      <c r="J1346" s="3" t="s">
        <v>41</v>
      </c>
      <c r="K1346" s="3" t="s">
        <v>41</v>
      </c>
      <c r="L1346" s="3" t="s">
        <v>42</v>
      </c>
      <c r="M1346" s="3" t="s">
        <v>41</v>
      </c>
    </row>
    <row r="1347" spans="1:13" ht="114.95">
      <c r="A1347" s="22" t="s">
        <v>9</v>
      </c>
      <c r="B1347" s="3" t="s">
        <v>4270</v>
      </c>
      <c r="C1347" s="3" t="s">
        <v>4271</v>
      </c>
      <c r="D1347" s="3" t="s">
        <v>45</v>
      </c>
      <c r="E1347" s="3" t="s">
        <v>46</v>
      </c>
      <c r="F1347" s="3" t="s">
        <v>3555</v>
      </c>
      <c r="G1347" s="3" t="s">
        <v>3616</v>
      </c>
      <c r="H1347" s="3" t="s">
        <v>4272</v>
      </c>
      <c r="I1347" s="3" t="str">
        <f>HYPERLINK("http://www.jccm.es/sede/tramite/KW6","PRESENTACION SOLICITUDES DE AYUDA A LA DESTILACION DE SUBPRODUCTOS")</f>
        <v>PRESENTACION SOLICITUDES DE AYUDA A LA DESTILACION DE SUBPRODUCTOS</v>
      </c>
      <c r="J1347" s="3" t="s">
        <v>41</v>
      </c>
      <c r="K1347" s="3" t="s">
        <v>41</v>
      </c>
      <c r="L1347" s="3" t="s">
        <v>42</v>
      </c>
      <c r="M1347" s="3" t="s">
        <v>41</v>
      </c>
    </row>
    <row r="1348" spans="1:13" ht="241.5">
      <c r="A1348" s="22" t="s">
        <v>9</v>
      </c>
      <c r="B1348" s="3" t="s">
        <v>4273</v>
      </c>
      <c r="C1348" s="3" t="s">
        <v>4274</v>
      </c>
      <c r="D1348" s="3" t="s">
        <v>51</v>
      </c>
      <c r="E1348" s="3" t="s">
        <v>46</v>
      </c>
      <c r="F1348" s="3" t="s">
        <v>3555</v>
      </c>
      <c r="G1348" s="3" t="s">
        <v>3697</v>
      </c>
      <c r="H1348" s="3" t="s">
        <v>4275</v>
      </c>
      <c r="I1348" s="3" t="str">
        <f>HYPERLINK("http://www.jccm.es/sede/tramite/L07","MODIFICACION DE LA RESOLUCION DE LA AYUDA PARA ACCIONES DE CARACTER PREVENTIVO DESTINADAS A EVITAR DAÑOS OCASIONADOS POR EL LOBO IBERICO EN LA PROVINCIA DE GUADALAJARA.")</f>
        <v>MODIFICACION DE LA RESOLUCION DE LA AYUDA PARA ACCIONES DE CARACTER PREVENTIVO DESTINADAS A EVITAR DAÑOS OCASIONADOS POR EL LOBO IBERICO EN LA PROVINCIA DE GUADALAJARA.</v>
      </c>
      <c r="J1348" s="3" t="s">
        <v>42</v>
      </c>
      <c r="K1348" s="3" t="s">
        <v>41</v>
      </c>
      <c r="L1348" s="3" t="s">
        <v>42</v>
      </c>
      <c r="M1348" s="3" t="s">
        <v>41</v>
      </c>
    </row>
    <row r="1349" spans="1:13" ht="252.95">
      <c r="A1349" s="22" t="s">
        <v>9</v>
      </c>
      <c r="B1349" s="3" t="s">
        <v>4276</v>
      </c>
      <c r="C1349" s="3" t="s">
        <v>4277</v>
      </c>
      <c r="D1349" s="3" t="s">
        <v>51</v>
      </c>
      <c r="E1349" s="3" t="s">
        <v>46</v>
      </c>
      <c r="F1349" s="3" t="s">
        <v>3555</v>
      </c>
      <c r="G1349" s="3" t="s">
        <v>3697</v>
      </c>
      <c r="H1349" s="3" t="s">
        <v>4278</v>
      </c>
      <c r="I1349" s="3" t="str">
        <f>HYPERLINK("http://www.jccm.es/sede/tramite/L09","AMPLIACION DE PLAZO DE EJECUCION DE LAS AYUDAS PARA ACCIONES DE CARACTER PREVENTIVO DESTINADAS A EVITAR DAÑOS OCASIONADOS POR EL LOBO IBERICO EN LA PROVINCIA DE GUADALAJARA")</f>
        <v>AMPLIACION DE PLAZO DE EJECUCION DE LAS AYUDAS PARA ACCIONES DE CARACTER PREVENTIVO DESTINADAS A EVITAR DAÑOS OCASIONADOS POR EL LOBO IBERICO EN LA PROVINCIA DE GUADALAJARA</v>
      </c>
      <c r="J1349" s="3" t="s">
        <v>42</v>
      </c>
      <c r="K1349" s="3" t="s">
        <v>41</v>
      </c>
      <c r="L1349" s="3" t="s">
        <v>42</v>
      </c>
      <c r="M1349" s="3" t="s">
        <v>41</v>
      </c>
    </row>
    <row r="1350" spans="1:13" ht="195.6">
      <c r="A1350" s="22" t="s">
        <v>9</v>
      </c>
      <c r="B1350" s="3" t="s">
        <v>4279</v>
      </c>
      <c r="C1350" s="3" t="s">
        <v>4280</v>
      </c>
      <c r="D1350" s="3" t="s">
        <v>327</v>
      </c>
      <c r="E1350" s="3" t="s">
        <v>46</v>
      </c>
      <c r="F1350" s="3" t="s">
        <v>3555</v>
      </c>
      <c r="G1350" s="3" t="s">
        <v>3566</v>
      </c>
      <c r="H1350" s="3" t="s">
        <v>4281</v>
      </c>
      <c r="I1350" s="3" t="str">
        <f>HYPERLINK("http://www.jccm.es/sede/tramite/L0V","PAGO DE AYUDAS DESTINADAS A PROMOVER LA COOPERACION INNOVADORA MEDIANTE GRUPOS OPERATIVOS Y REALIZACION DE PROYECTOS PILOTO.")</f>
        <v>PAGO DE AYUDAS DESTINADAS A PROMOVER LA COOPERACION INNOVADORA MEDIANTE GRUPOS OPERATIVOS Y REALIZACION DE PROYECTOS PILOTO.</v>
      </c>
      <c r="J1350" s="3" t="s">
        <v>41</v>
      </c>
      <c r="K1350" s="3" t="s">
        <v>41</v>
      </c>
      <c r="L1350" s="3" t="s">
        <v>42</v>
      </c>
      <c r="M1350" s="3" t="s">
        <v>41</v>
      </c>
    </row>
    <row r="1351" spans="1:13" ht="126.6">
      <c r="A1351" s="22" t="s">
        <v>9</v>
      </c>
      <c r="B1351" s="3" t="s">
        <v>4282</v>
      </c>
      <c r="C1351" s="3" t="s">
        <v>4283</v>
      </c>
      <c r="D1351" s="3" t="s">
        <v>327</v>
      </c>
      <c r="E1351" s="3" t="s">
        <v>46</v>
      </c>
      <c r="F1351" s="3" t="s">
        <v>3555</v>
      </c>
      <c r="G1351" s="3" t="s">
        <v>3566</v>
      </c>
      <c r="H1351" s="3" t="s">
        <v>4284</v>
      </c>
      <c r="I1351" s="3" t="str">
        <f>HYPERLINK("http://www.jccm.es/sede/tramite/LKI","PAGO POR ANTICIPO.")</f>
        <v>PAGO POR ANTICIPO.</v>
      </c>
      <c r="J1351" s="3" t="s">
        <v>41</v>
      </c>
      <c r="K1351" s="3" t="s">
        <v>41</v>
      </c>
      <c r="L1351" s="3" t="s">
        <v>42</v>
      </c>
      <c r="M1351" s="3" t="s">
        <v>41</v>
      </c>
    </row>
    <row r="1352" spans="1:13" ht="252.95">
      <c r="A1352" s="22" t="s">
        <v>9</v>
      </c>
      <c r="B1352" s="3" t="s">
        <v>4285</v>
      </c>
      <c r="C1352" s="3" t="s">
        <v>4286</v>
      </c>
      <c r="D1352" s="3" t="s">
        <v>327</v>
      </c>
      <c r="E1352" s="3" t="s">
        <v>46</v>
      </c>
      <c r="F1352" s="3" t="s">
        <v>3555</v>
      </c>
      <c r="G1352" s="3" t="s">
        <v>3566</v>
      </c>
      <c r="H1352" s="3" t="s">
        <v>4287</v>
      </c>
      <c r="I1352" s="3" t="str">
        <f>HYPERLINK("http://www.jccm.es/sede/tramite/L0T","AYUDAS A LA COOPERACION INNOVADORA MEDIANTE LA CONSTITUCION DE GRUPOS OPERATIVOS DE INNOVACION Y LA REALIZACION DE PROYECTOS PILOTO INNOVADORES EN LA PRODUCCION PRIMARIA AGRICOLA Y GANADERA.")</f>
        <v>AYUDAS A LA COOPERACION INNOVADORA MEDIANTE LA CONSTITUCION DE GRUPOS OPERATIVOS DE INNOVACION Y LA REALIZACION DE PROYECTOS PILOTO INNOVADORES EN LA PRODUCCION PRIMARIA AGRICOLA Y GANADERA.</v>
      </c>
      <c r="J1352" s="3" t="s">
        <v>41</v>
      </c>
      <c r="K1352" s="3" t="s">
        <v>41</v>
      </c>
      <c r="L1352" s="3" t="s">
        <v>42</v>
      </c>
      <c r="M1352" s="3" t="s">
        <v>41</v>
      </c>
    </row>
    <row r="1353" spans="1:13" ht="126.6">
      <c r="A1353" s="22" t="s">
        <v>9</v>
      </c>
      <c r="B1353" s="3" t="s">
        <v>4288</v>
      </c>
      <c r="C1353" s="3" t="s">
        <v>4289</v>
      </c>
      <c r="D1353" s="3" t="s">
        <v>327</v>
      </c>
      <c r="E1353" s="3" t="s">
        <v>46</v>
      </c>
      <c r="F1353" s="3" t="s">
        <v>3555</v>
      </c>
      <c r="G1353" s="3" t="s">
        <v>3566</v>
      </c>
      <c r="H1353" s="3" t="s">
        <v>4290</v>
      </c>
      <c r="I1353" s="3" t="str">
        <f>HYPERLINK("http://www.jccm.es/sede/tramite/L1M","COMUNICACION PREVIA DE LA FORMACION SANITARIA.")</f>
        <v>COMUNICACION PREVIA DE LA FORMACION SANITARIA.</v>
      </c>
      <c r="J1353" s="3" t="s">
        <v>41</v>
      </c>
      <c r="K1353" s="3" t="s">
        <v>41</v>
      </c>
      <c r="L1353" s="3" t="s">
        <v>42</v>
      </c>
      <c r="M1353" s="3" t="s">
        <v>41</v>
      </c>
    </row>
    <row r="1354" spans="1:13" ht="172.5">
      <c r="A1354" s="22" t="s">
        <v>9</v>
      </c>
      <c r="B1354" s="3" t="s">
        <v>4291</v>
      </c>
      <c r="C1354" s="3" t="s">
        <v>4292</v>
      </c>
      <c r="D1354" s="3" t="s">
        <v>327</v>
      </c>
      <c r="E1354" s="3" t="s">
        <v>46</v>
      </c>
      <c r="F1354" s="3" t="s">
        <v>3555</v>
      </c>
      <c r="G1354" s="3" t="s">
        <v>3566</v>
      </c>
      <c r="H1354" s="3" t="s">
        <v>4293</v>
      </c>
      <c r="I1354" s="3" t="str">
        <f>HYPERLINK("http://www.jccm.es/sede/tramite/L1L","SOLICITUD DE AYUDA A LAS ADSG PARA LA EJECUCION DE LOS PROGRAMAS ZOOTECNICO-SANITARIO REGULADAS POR EL CAPITULO II DE LA ORDEN 29/2018.")</f>
        <v>SOLICITUD DE AYUDA A LAS ADSG PARA LA EJECUCION DE LOS PROGRAMAS ZOOTECNICO-SANITARIO REGULADAS POR EL CAPITULO II DE LA ORDEN 29/2018.</v>
      </c>
      <c r="J1354" s="3" t="s">
        <v>41</v>
      </c>
      <c r="K1354" s="3" t="s">
        <v>41</v>
      </c>
      <c r="L1354" s="3" t="s">
        <v>42</v>
      </c>
      <c r="M1354" s="3" t="s">
        <v>41</v>
      </c>
    </row>
    <row r="1355" spans="1:13" ht="126.6">
      <c r="A1355" s="22" t="s">
        <v>9</v>
      </c>
      <c r="B1355" s="3" t="s">
        <v>4294</v>
      </c>
      <c r="C1355" s="3" t="s">
        <v>4295</v>
      </c>
      <c r="D1355" s="3" t="s">
        <v>327</v>
      </c>
      <c r="E1355" s="3" t="s">
        <v>46</v>
      </c>
      <c r="F1355" s="3" t="s">
        <v>3555</v>
      </c>
      <c r="G1355" s="3" t="s">
        <v>3566</v>
      </c>
      <c r="H1355" s="3" t="s">
        <v>4296</v>
      </c>
      <c r="I1355" s="3" t="str">
        <f>HYPERLINK("http://www.jccm.es/sede/tramite/L1N","JUSTIFICACION DE LOS GASTOS DE EJECUCION DE LAS ACTIVIDADES SUBVENCIONABLES")</f>
        <v>JUSTIFICACION DE LOS GASTOS DE EJECUCION DE LAS ACTIVIDADES SUBVENCIONABLES</v>
      </c>
      <c r="J1355" s="3" t="s">
        <v>41</v>
      </c>
      <c r="K1355" s="3" t="s">
        <v>41</v>
      </c>
      <c r="L1355" s="3" t="s">
        <v>42</v>
      </c>
      <c r="M1355" s="3" t="s">
        <v>41</v>
      </c>
    </row>
    <row r="1356" spans="1:13" ht="218.45">
      <c r="A1356" s="22" t="s">
        <v>9</v>
      </c>
      <c r="B1356" s="3" t="s">
        <v>4297</v>
      </c>
      <c r="C1356" s="3" t="s">
        <v>4298</v>
      </c>
      <c r="D1356" s="3" t="s">
        <v>70</v>
      </c>
      <c r="E1356" s="3" t="s">
        <v>46</v>
      </c>
      <c r="F1356" s="3" t="s">
        <v>3555</v>
      </c>
      <c r="G1356" s="3" t="s">
        <v>3555</v>
      </c>
      <c r="H1356" s="3" t="s">
        <v>4299</v>
      </c>
      <c r="I1356" s="3" t="str">
        <f>HYPERLINK("http://www.jccm.es/sede/tramite/LRQ","PRESENTACION DEL PARTE MENSUAL DE INCIDENCIAS CON LOS RESULTADOS DE LOS CONTROLES EFECTUADOS POR PARTE DE LAS AGRUPACIONES DE SANIDAD VEGETAL DE CASTILLA-LA MANCHA")</f>
        <v>PRESENTACION DEL PARTE MENSUAL DE INCIDENCIAS CON LOS RESULTADOS DE LOS CONTROLES EFECTUADOS POR PARTE DE LAS AGRUPACIONES DE SANIDAD VEGETAL DE CASTILLA-LA MANCHA</v>
      </c>
      <c r="J1356" s="3" t="s">
        <v>41</v>
      </c>
      <c r="K1356" s="3" t="s">
        <v>41</v>
      </c>
      <c r="L1356" s="3" t="s">
        <v>42</v>
      </c>
      <c r="M1356" s="3" t="s">
        <v>41</v>
      </c>
    </row>
    <row r="1357" spans="1:13" ht="218.45">
      <c r="A1357" s="22" t="s">
        <v>9</v>
      </c>
      <c r="B1357" s="3" t="s">
        <v>4300</v>
      </c>
      <c r="C1357" s="3" t="s">
        <v>4301</v>
      </c>
      <c r="D1357" s="3" t="s">
        <v>70</v>
      </c>
      <c r="E1357" s="3" t="s">
        <v>46</v>
      </c>
      <c r="F1357" s="3" t="s">
        <v>3555</v>
      </c>
      <c r="G1357" s="3" t="s">
        <v>3566</v>
      </c>
      <c r="H1357" s="3" t="s">
        <v>4302</v>
      </c>
      <c r="I1357" s="3" t="str">
        <f>HYPERLINK("http://www.jccm.es/sede/tramite/L2L","SUBVENCIONES PARA LA PRESTACION DE SERVICIOS DE ASESORAMIENTO EN GESTION INTEGRADA DE PLAGAS POR PARTE DE LAS AGRUPACIONES DE SANIDAD VEGETAL EN CASTILLA-LA MANCHA")</f>
        <v>SUBVENCIONES PARA LA PRESTACION DE SERVICIOS DE ASESORAMIENTO EN GESTION INTEGRADA DE PLAGAS POR PARTE DE LAS AGRUPACIONES DE SANIDAD VEGETAL EN CASTILLA-LA MANCHA</v>
      </c>
      <c r="J1357" s="3" t="s">
        <v>41</v>
      </c>
      <c r="K1357" s="3" t="s">
        <v>41</v>
      </c>
      <c r="L1357" s="3" t="s">
        <v>42</v>
      </c>
      <c r="M1357" s="3" t="s">
        <v>41</v>
      </c>
    </row>
    <row r="1358" spans="1:13" ht="252.95">
      <c r="A1358" s="22" t="s">
        <v>9</v>
      </c>
      <c r="B1358" s="3" t="s">
        <v>4303</v>
      </c>
      <c r="C1358" s="3" t="s">
        <v>4304</v>
      </c>
      <c r="D1358" s="3" t="s">
        <v>327</v>
      </c>
      <c r="E1358" s="3" t="s">
        <v>46</v>
      </c>
      <c r="F1358" s="3" t="s">
        <v>3555</v>
      </c>
      <c r="G1358" s="3" t="s">
        <v>3616</v>
      </c>
      <c r="H1358" s="3" t="s">
        <v>4305</v>
      </c>
      <c r="I1358" s="3" t="str">
        <f>HYPERLINK("http://www.jccm.es/sede/tramite/L5P","SOLICITUD DEL PAGO DE LAS AYUDAS PARA LA COOPERACION ENTRE LOS AGENTES DE LA CADENA DE SUMINISTRO PARA LA CREACION Y EL DESARROLLO DE CADENAS DE DISTRIBUCION CORTAS Y MERCADOS LOCALES.")</f>
        <v>SOLICITUD DEL PAGO DE LAS AYUDAS PARA LA COOPERACION ENTRE LOS AGENTES DE LA CADENA DE SUMINISTRO PARA LA CREACION Y EL DESARROLLO DE CADENAS DE DISTRIBUCION CORTAS Y MERCADOS LOCALES.</v>
      </c>
      <c r="J1358" s="3" t="s">
        <v>41</v>
      </c>
      <c r="K1358" s="3" t="s">
        <v>41</v>
      </c>
      <c r="L1358" s="3" t="s">
        <v>42</v>
      </c>
      <c r="M1358" s="3" t="s">
        <v>41</v>
      </c>
    </row>
    <row r="1359" spans="1:13" ht="241.5">
      <c r="A1359" s="22" t="s">
        <v>9</v>
      </c>
      <c r="B1359" s="3" t="s">
        <v>4306</v>
      </c>
      <c r="C1359" s="3" t="s">
        <v>4307</v>
      </c>
      <c r="D1359" s="3" t="s">
        <v>327</v>
      </c>
      <c r="E1359" s="3" t="s">
        <v>46</v>
      </c>
      <c r="F1359" s="3" t="s">
        <v>3555</v>
      </c>
      <c r="G1359" s="3" t="s">
        <v>3616</v>
      </c>
      <c r="H1359" s="3" t="s">
        <v>4308</v>
      </c>
      <c r="I1359" s="3" t="str">
        <f>HYPERLINK("http://www.jccm.es/sede/tramite/L5O","SOLICITUD  DE LAS AYUDAS PARA LA COOPERACION ENTRE LOS AGENTES DE LA CADENA DE SUMINISTRO PARA LA CREACION Y EL DESARROLLO DE CADENAS DE DISTRIBUCION CORTAS Y MERCADOS LOCALES")</f>
        <v>SOLICITUD  DE LAS AYUDAS PARA LA COOPERACION ENTRE LOS AGENTES DE LA CADENA DE SUMINISTRO PARA LA CREACION Y EL DESARROLLO DE CADENAS DE DISTRIBUCION CORTAS Y MERCADOS LOCALES</v>
      </c>
      <c r="J1359" s="3" t="s">
        <v>41</v>
      </c>
      <c r="K1359" s="3" t="s">
        <v>41</v>
      </c>
      <c r="L1359" s="3" t="s">
        <v>42</v>
      </c>
      <c r="M1359" s="3" t="s">
        <v>41</v>
      </c>
    </row>
    <row r="1360" spans="1:13" ht="183.95">
      <c r="A1360" s="22" t="s">
        <v>9</v>
      </c>
      <c r="B1360" s="3" t="s">
        <v>4309</v>
      </c>
      <c r="C1360" s="3" t="s">
        <v>4310</v>
      </c>
      <c r="D1360" s="3" t="s">
        <v>4311</v>
      </c>
      <c r="E1360" s="3" t="s">
        <v>46</v>
      </c>
      <c r="F1360" s="3" t="s">
        <v>3555</v>
      </c>
      <c r="G1360" s="3" t="s">
        <v>3566</v>
      </c>
      <c r="H1360" s="3" t="s">
        <v>4312</v>
      </c>
      <c r="I1360" s="3" t="str">
        <f>HYPERLINK("http://www.jccm.es/sede/tramite/L64","DOCUMENTACION JUSTIFICATIVA DE LAS AYUDAS PARA EL CONTROL DE RENDIMIENTO DE LAS HEMBRAS LECHERAS EN CASTILLA-LA MANCHA")</f>
        <v>DOCUMENTACION JUSTIFICATIVA DE LAS AYUDAS PARA EL CONTROL DE RENDIMIENTO DE LAS HEMBRAS LECHERAS EN CASTILLA-LA MANCHA</v>
      </c>
      <c r="J1360" s="3" t="s">
        <v>41</v>
      </c>
      <c r="K1360" s="3" t="s">
        <v>41</v>
      </c>
      <c r="L1360" s="3" t="s">
        <v>42</v>
      </c>
      <c r="M1360" s="3" t="s">
        <v>41</v>
      </c>
    </row>
    <row r="1361" spans="1:13" ht="183.95">
      <c r="A1361" s="22" t="s">
        <v>9</v>
      </c>
      <c r="B1361" s="3" t="s">
        <v>4313</v>
      </c>
      <c r="C1361" s="3" t="s">
        <v>4314</v>
      </c>
      <c r="D1361" s="3" t="s">
        <v>4311</v>
      </c>
      <c r="E1361" s="3" t="s">
        <v>46</v>
      </c>
      <c r="F1361" s="3" t="s">
        <v>3555</v>
      </c>
      <c r="G1361" s="3" t="s">
        <v>3566</v>
      </c>
      <c r="H1361" s="3" t="s">
        <v>4315</v>
      </c>
      <c r="I1361" s="3" t="str">
        <f>HYPERLINK("http://www.jccm.es/sede/tramite/L63","SOLICITUD DE AYUDAS PARA EL CONTROL DE RENDIMIENTO DE LAS HEMBRAS LECHERAS EN CASTILLA-LA MANCHA")</f>
        <v>SOLICITUD DE AYUDAS PARA EL CONTROL DE RENDIMIENTO DE LAS HEMBRAS LECHERAS EN CASTILLA-LA MANCHA</v>
      </c>
      <c r="J1361" s="3" t="s">
        <v>41</v>
      </c>
      <c r="K1361" s="3" t="s">
        <v>41</v>
      </c>
      <c r="L1361" s="3" t="s">
        <v>42</v>
      </c>
      <c r="M1361" s="3" t="s">
        <v>41</v>
      </c>
    </row>
    <row r="1362" spans="1:13" ht="126.6">
      <c r="A1362" s="22" t="s">
        <v>9</v>
      </c>
      <c r="B1362" s="3" t="s">
        <v>4316</v>
      </c>
      <c r="C1362" s="3" t="s">
        <v>4317</v>
      </c>
      <c r="D1362" s="3" t="s">
        <v>327</v>
      </c>
      <c r="E1362" s="3" t="s">
        <v>46</v>
      </c>
      <c r="F1362" s="3" t="s">
        <v>3555</v>
      </c>
      <c r="G1362" s="3" t="s">
        <v>3697</v>
      </c>
      <c r="H1362" s="3" t="s">
        <v>4318</v>
      </c>
      <c r="I1362" s="3" t="str">
        <f>HYPERLINK("http://www.jccm.es/sede/tramite/L7Y","SOLICITUD DE AYUDAS PARA LA REFORESTACION Y CREACION DE SUPERFICIES FORESTALES.")</f>
        <v>SOLICITUD DE AYUDAS PARA LA REFORESTACION Y CREACION DE SUPERFICIES FORESTALES.</v>
      </c>
      <c r="J1362" s="3" t="s">
        <v>42</v>
      </c>
      <c r="K1362" s="3" t="s">
        <v>41</v>
      </c>
      <c r="L1362" s="3" t="s">
        <v>42</v>
      </c>
      <c r="M1362" s="3" t="s">
        <v>41</v>
      </c>
    </row>
    <row r="1363" spans="1:13" ht="276">
      <c r="A1363" s="22" t="s">
        <v>9</v>
      </c>
      <c r="B1363" s="3" t="s">
        <v>4319</v>
      </c>
      <c r="C1363" s="3" t="s">
        <v>4320</v>
      </c>
      <c r="D1363" s="3" t="s">
        <v>327</v>
      </c>
      <c r="E1363" s="3" t="s">
        <v>46</v>
      </c>
      <c r="F1363" s="3" t="s">
        <v>3555</v>
      </c>
      <c r="G1363" s="3" t="s">
        <v>3697</v>
      </c>
      <c r="H1363" s="3" t="s">
        <v>4321</v>
      </c>
      <c r="I1363" s="3" t="str">
        <f>HYPERLINK("http://www.jccm.es/sede/tramite/L7Z","COMUNICACION DE CAMBIO DE TITULARIDAD Y ACEPTACION EXPRESA POR EL NUEVO TITULAR DE LAS CONDICIONES EN LAS QUE SE CONCEDIO LA AYUDA PARA LA FORESTACION Y CREACION DE SUPERFICIES FORESTALES.")</f>
        <v>COMUNICACION DE CAMBIO DE TITULARIDAD Y ACEPTACION EXPRESA POR EL NUEVO TITULAR DE LAS CONDICIONES EN LAS QUE SE CONCEDIO LA AYUDA PARA LA FORESTACION Y CREACION DE SUPERFICIES FORESTALES.</v>
      </c>
      <c r="J1363" s="3" t="s">
        <v>42</v>
      </c>
      <c r="K1363" s="3" t="s">
        <v>41</v>
      </c>
      <c r="L1363" s="3" t="s">
        <v>42</v>
      </c>
      <c r="M1363" s="3" t="s">
        <v>41</v>
      </c>
    </row>
    <row r="1364" spans="1:13" ht="126.6">
      <c r="A1364" s="22" t="s">
        <v>9</v>
      </c>
      <c r="B1364" s="3" t="s">
        <v>4322</v>
      </c>
      <c r="C1364" s="3" t="s">
        <v>4323</v>
      </c>
      <c r="D1364" s="3" t="s">
        <v>327</v>
      </c>
      <c r="E1364" s="3" t="s">
        <v>46</v>
      </c>
      <c r="F1364" s="3" t="s">
        <v>3555</v>
      </c>
      <c r="G1364" s="3" t="s">
        <v>3697</v>
      </c>
      <c r="H1364" s="3" t="s">
        <v>4324</v>
      </c>
      <c r="I1364" s="3" t="str">
        <f>HYPERLINK("http://www.jccm.es/sede/tramite/L82","SOLICITUD DE PAGO DE LA AYUDA PARA LA REFORESTACION Y  CREACION DE SUPERFICIES FORESTALES.")</f>
        <v>SOLICITUD DE PAGO DE LA AYUDA PARA LA REFORESTACION Y  CREACION DE SUPERFICIES FORESTALES.</v>
      </c>
      <c r="J1364" s="3" t="s">
        <v>42</v>
      </c>
      <c r="K1364" s="3" t="s">
        <v>41</v>
      </c>
      <c r="L1364" s="3" t="s">
        <v>42</v>
      </c>
      <c r="M1364" s="3" t="s">
        <v>41</v>
      </c>
    </row>
    <row r="1365" spans="1:13" ht="161.1">
      <c r="A1365" s="22" t="s">
        <v>9</v>
      </c>
      <c r="B1365" s="3" t="s">
        <v>4325</v>
      </c>
      <c r="C1365" s="3" t="s">
        <v>4326</v>
      </c>
      <c r="D1365" s="3" t="s">
        <v>51</v>
      </c>
      <c r="E1365" s="3" t="s">
        <v>46</v>
      </c>
      <c r="F1365" s="3" t="s">
        <v>3555</v>
      </c>
      <c r="G1365" s="3" t="s">
        <v>3697</v>
      </c>
      <c r="H1365" s="3" t="s">
        <v>4327</v>
      </c>
      <c r="I1365" s="3" t="str">
        <f>HYPERLINK("http://www.jccm.es/sede/tramite/L80","SOLICITUD DE MODIFICACION DE LA RESOLUCION DE LA AYUDA PARA LA REFORESTACION Y CREACION DE SUPERFICIES FORESTALES")</f>
        <v>SOLICITUD DE MODIFICACION DE LA RESOLUCION DE LA AYUDA PARA LA REFORESTACION Y CREACION DE SUPERFICIES FORESTALES</v>
      </c>
      <c r="J1365" s="3" t="s">
        <v>42</v>
      </c>
      <c r="K1365" s="3" t="s">
        <v>41</v>
      </c>
      <c r="L1365" s="3" t="s">
        <v>42</v>
      </c>
      <c r="M1365" s="3" t="s">
        <v>41</v>
      </c>
    </row>
    <row r="1366" spans="1:13" ht="161.1">
      <c r="A1366" s="22" t="s">
        <v>9</v>
      </c>
      <c r="B1366" s="3" t="s">
        <v>4328</v>
      </c>
      <c r="C1366" s="3" t="s">
        <v>4329</v>
      </c>
      <c r="D1366" s="3" t="s">
        <v>51</v>
      </c>
      <c r="E1366" s="3" t="s">
        <v>46</v>
      </c>
      <c r="F1366" s="3" t="s">
        <v>3555</v>
      </c>
      <c r="G1366" s="3" t="s">
        <v>3697</v>
      </c>
      <c r="H1366" s="3" t="s">
        <v>4330</v>
      </c>
      <c r="I1366" s="3" t="str">
        <f>HYPERLINK("http://www.jccm.es/sede/tramite/L81","SOLICITUD DE PRORROGA DE EJECUCION DE AYUDAS PARA LA REFORESTACION Y CREACION DE SUPERFICIES FORESTALES")</f>
        <v>SOLICITUD DE PRORROGA DE EJECUCION DE AYUDAS PARA LA REFORESTACION Y CREACION DE SUPERFICIES FORESTALES</v>
      </c>
      <c r="J1366" s="3" t="s">
        <v>42</v>
      </c>
      <c r="K1366" s="3" t="s">
        <v>41</v>
      </c>
      <c r="L1366" s="3" t="s">
        <v>42</v>
      </c>
      <c r="M1366" s="3" t="s">
        <v>41</v>
      </c>
    </row>
    <row r="1367" spans="1:13" ht="114.95">
      <c r="A1367" s="22" t="s">
        <v>9</v>
      </c>
      <c r="B1367" s="3" t="s">
        <v>4331</v>
      </c>
      <c r="C1367" s="3" t="s">
        <v>4332</v>
      </c>
      <c r="D1367" s="3" t="s">
        <v>327</v>
      </c>
      <c r="E1367" s="3" t="s">
        <v>46</v>
      </c>
      <c r="F1367" s="3" t="s">
        <v>3555</v>
      </c>
      <c r="G1367" s="3" t="s">
        <v>3556</v>
      </c>
      <c r="H1367" s="3" t="s">
        <v>4333</v>
      </c>
      <c r="I1367" s="3" t="str">
        <f>HYPERLINK("http://www.jccm.es/sede/tramite/L87","SOLICITUD DE PAGO DE LOS SERVICIOS DE ASESORAMIENTO PRESTADOS")</f>
        <v>SOLICITUD DE PAGO DE LOS SERVICIOS DE ASESORAMIENTO PRESTADOS</v>
      </c>
      <c r="J1367" s="3" t="s">
        <v>41</v>
      </c>
      <c r="K1367" s="3" t="s">
        <v>41</v>
      </c>
      <c r="L1367" s="3" t="s">
        <v>42</v>
      </c>
      <c r="M1367" s="3" t="s">
        <v>41</v>
      </c>
    </row>
    <row r="1368" spans="1:13" ht="114.95">
      <c r="A1368" s="22" t="s">
        <v>9</v>
      </c>
      <c r="B1368" s="3" t="s">
        <v>4334</v>
      </c>
      <c r="C1368" s="3" t="s">
        <v>4335</v>
      </c>
      <c r="D1368" s="3" t="s">
        <v>327</v>
      </c>
      <c r="E1368" s="3" t="s">
        <v>46</v>
      </c>
      <c r="F1368" s="3" t="s">
        <v>3555</v>
      </c>
      <c r="G1368" s="3" t="s">
        <v>4336</v>
      </c>
      <c r="H1368" s="3" t="s">
        <v>4337</v>
      </c>
      <c r="I1368" s="3" t="str">
        <f>HYPERLINK("http://www.jccm.es/sede/tramite/L86","SOLICITUD DE AYUDA PARA LA PRESTACION DE SERVICIOS DE ASESORAMIENTO")</f>
        <v>SOLICITUD DE AYUDA PARA LA PRESTACION DE SERVICIOS DE ASESORAMIENTO</v>
      </c>
      <c r="J1368" s="3" t="s">
        <v>41</v>
      </c>
      <c r="K1368" s="3" t="s">
        <v>41</v>
      </c>
      <c r="L1368" s="3" t="s">
        <v>42</v>
      </c>
      <c r="M1368" s="3" t="s">
        <v>41</v>
      </c>
    </row>
    <row r="1369" spans="1:13" ht="183.95">
      <c r="A1369" s="22" t="s">
        <v>9</v>
      </c>
      <c r="B1369" s="3" t="s">
        <v>4338</v>
      </c>
      <c r="C1369" s="3" t="s">
        <v>4339</v>
      </c>
      <c r="D1369" s="3" t="s">
        <v>327</v>
      </c>
      <c r="E1369" s="3" t="s">
        <v>46</v>
      </c>
      <c r="F1369" s="3" t="s">
        <v>3555</v>
      </c>
      <c r="G1369" s="3" t="s">
        <v>3566</v>
      </c>
      <c r="H1369" s="3" t="s">
        <v>4340</v>
      </c>
      <c r="I1369" s="3" t="str">
        <f>HYPERLINK("http://www.jccm.es/sede/tramite/LA4","SOLICITUD DE PAGO AYUDAS DESTINADAS A LA CONSERVACION, USO Y DESARROLLO SOSTENIBLE DE LOS RECURSOS GENETICOS GANADEROS EN CASTILLA-LA MANCHA")</f>
        <v>SOLICITUD DE PAGO AYUDAS DESTINADAS A LA CONSERVACION, USO Y DESARROLLO SOSTENIBLE DE LOS RECURSOS GENETICOS GANADEROS EN CASTILLA-LA MANCHA</v>
      </c>
      <c r="J1369" s="3" t="s">
        <v>41</v>
      </c>
      <c r="K1369" s="3" t="s">
        <v>41</v>
      </c>
      <c r="L1369" s="3" t="s">
        <v>42</v>
      </c>
      <c r="M1369" s="3" t="s">
        <v>41</v>
      </c>
    </row>
    <row r="1370" spans="1:13" ht="172.5">
      <c r="A1370" s="22" t="s">
        <v>9</v>
      </c>
      <c r="B1370" s="3" t="s">
        <v>4341</v>
      </c>
      <c r="C1370" s="3" t="s">
        <v>4342</v>
      </c>
      <c r="D1370" s="3" t="s">
        <v>327</v>
      </c>
      <c r="E1370" s="3" t="s">
        <v>46</v>
      </c>
      <c r="F1370" s="3" t="s">
        <v>3555</v>
      </c>
      <c r="G1370" s="3" t="s">
        <v>3566</v>
      </c>
      <c r="H1370" s="3" t="s">
        <v>4343</v>
      </c>
      <c r="I1370" s="3" t="str">
        <f>HYPERLINK("http://www.jccm.es/sede/tramite/LA3","SOLICITUD DE AYUDAS DESTINADAS A LA CONSERVACION, USO Y DESARROLLO SOSTENIBLE DE LOS RECURSOS GENETICOS GANADEROS EN CASTILLA-LA MANCHA")</f>
        <v>SOLICITUD DE AYUDAS DESTINADAS A LA CONSERVACION, USO Y DESARROLLO SOSTENIBLE DE LOS RECURSOS GENETICOS GANADEROS EN CASTILLA-LA MANCHA</v>
      </c>
      <c r="J1370" s="3" t="s">
        <v>41</v>
      </c>
      <c r="K1370" s="3" t="s">
        <v>41</v>
      </c>
      <c r="L1370" s="3" t="s">
        <v>42</v>
      </c>
      <c r="M1370" s="3" t="s">
        <v>41</v>
      </c>
    </row>
    <row r="1371" spans="1:13" ht="161.1">
      <c r="A1371" s="22" t="s">
        <v>9</v>
      </c>
      <c r="B1371" s="3" t="s">
        <v>4344</v>
      </c>
      <c r="C1371" s="3" t="s">
        <v>4345</v>
      </c>
      <c r="D1371" s="3" t="s">
        <v>327</v>
      </c>
      <c r="E1371" s="3" t="s">
        <v>46</v>
      </c>
      <c r="F1371" s="3" t="s">
        <v>3555</v>
      </c>
      <c r="G1371" s="3" t="s">
        <v>3566</v>
      </c>
      <c r="H1371" s="3" t="s">
        <v>4346</v>
      </c>
      <c r="I1371" s="3" t="str">
        <f>HYPERLINK("http://www.jccm.es/sede/tramite/LAJ","SOLICITUD DE AYUDAS DESTINADAS A LA CONSERVACION DE RECURSOS AGRICOLAS AMENAZADOS DE EROSION GENETICA EN CASTILLA-LA MANCHA.")</f>
        <v>SOLICITUD DE AYUDAS DESTINADAS A LA CONSERVACION DE RECURSOS AGRICOLAS AMENAZADOS DE EROSION GENETICA EN CASTILLA-LA MANCHA.</v>
      </c>
      <c r="J1371" s="3" t="s">
        <v>41</v>
      </c>
      <c r="K1371" s="3" t="s">
        <v>41</v>
      </c>
      <c r="L1371" s="3" t="s">
        <v>42</v>
      </c>
      <c r="M1371" s="3" t="s">
        <v>41</v>
      </c>
    </row>
    <row r="1372" spans="1:13" ht="161.1">
      <c r="A1372" s="22" t="s">
        <v>9</v>
      </c>
      <c r="B1372" s="3" t="s">
        <v>4347</v>
      </c>
      <c r="C1372" s="3" t="s">
        <v>4348</v>
      </c>
      <c r="D1372" s="3" t="s">
        <v>4349</v>
      </c>
      <c r="E1372" s="3" t="s">
        <v>46</v>
      </c>
      <c r="F1372" s="3" t="s">
        <v>3555</v>
      </c>
      <c r="G1372" s="3" t="s">
        <v>3616</v>
      </c>
      <c r="H1372" s="3" t="s">
        <v>4350</v>
      </c>
      <c r="I1372" s="3" t="str">
        <f>HYPERLINK("http://www.jccm.es/sede/tramite/LB3","LICITACION AYUDA PARA EL ALMACENAMIENTO DE ACEITE DE OLIVA")</f>
        <v>LICITACION AYUDA PARA EL ALMACENAMIENTO DE ACEITE DE OLIVA</v>
      </c>
      <c r="J1372" s="3" t="s">
        <v>41</v>
      </c>
      <c r="K1372" s="3" t="s">
        <v>41</v>
      </c>
      <c r="L1372" s="3" t="s">
        <v>42</v>
      </c>
      <c r="M1372" s="3" t="s">
        <v>41</v>
      </c>
    </row>
    <row r="1373" spans="1:13" ht="161.1">
      <c r="A1373" s="22" t="s">
        <v>9</v>
      </c>
      <c r="B1373" s="3" t="s">
        <v>4351</v>
      </c>
      <c r="C1373" s="3" t="s">
        <v>4352</v>
      </c>
      <c r="D1373" s="3" t="s">
        <v>4349</v>
      </c>
      <c r="E1373" s="3" t="s">
        <v>46</v>
      </c>
      <c r="F1373" s="3" t="s">
        <v>3555</v>
      </c>
      <c r="G1373" s="3" t="s">
        <v>3616</v>
      </c>
      <c r="H1373" s="3" t="s">
        <v>4353</v>
      </c>
      <c r="I1373" s="3" t="str">
        <f>HYPERLINK("http://www.jccm.es/sede/tramite/LDU","SOLICITUD DE PAGO DE LA AYUDA PARA EL ALMACENAMIENTO DE ACEITE DE OLIVA")</f>
        <v>SOLICITUD DE PAGO DE LA AYUDA PARA EL ALMACENAMIENTO DE ACEITE DE OLIVA</v>
      </c>
      <c r="J1373" s="3" t="s">
        <v>41</v>
      </c>
      <c r="K1373" s="3" t="s">
        <v>41</v>
      </c>
      <c r="L1373" s="3" t="s">
        <v>42</v>
      </c>
      <c r="M1373" s="3" t="s">
        <v>41</v>
      </c>
    </row>
    <row r="1374" spans="1:13" ht="114.95">
      <c r="A1374" s="22" t="s">
        <v>9</v>
      </c>
      <c r="B1374" s="3" t="s">
        <v>4354</v>
      </c>
      <c r="C1374" s="3" t="s">
        <v>4355</v>
      </c>
      <c r="D1374" s="3" t="s">
        <v>2406</v>
      </c>
      <c r="E1374" s="3" t="s">
        <v>46</v>
      </c>
      <c r="F1374" s="3" t="s">
        <v>3555</v>
      </c>
      <c r="G1374" s="3" t="s">
        <v>3616</v>
      </c>
      <c r="H1374" s="3" t="s">
        <v>4356</v>
      </c>
      <c r="I1374" s="3" t="str">
        <f>HYPERLINK("http://www.jccm.es/sede/tramite/LC7","AYUDAS PARA LA ASISTENCIA A LA FERIA AGROALIMENTARIA ORGANIC FOOD IBERIA")</f>
        <v>AYUDAS PARA LA ASISTENCIA A LA FERIA AGROALIMENTARIA ORGANIC FOOD IBERIA</v>
      </c>
      <c r="J1374" s="3" t="s">
        <v>42</v>
      </c>
      <c r="K1374" s="3" t="s">
        <v>41</v>
      </c>
      <c r="L1374" s="3" t="s">
        <v>42</v>
      </c>
      <c r="M1374" s="3" t="s">
        <v>41</v>
      </c>
    </row>
    <row r="1375" spans="1:13" ht="114.95">
      <c r="A1375" s="22" t="s">
        <v>9</v>
      </c>
      <c r="B1375" s="3" t="s">
        <v>4357</v>
      </c>
      <c r="C1375" s="3" t="s">
        <v>4358</v>
      </c>
      <c r="D1375" s="3" t="s">
        <v>2406</v>
      </c>
      <c r="E1375" s="3" t="s">
        <v>46</v>
      </c>
      <c r="F1375" s="3" t="s">
        <v>3555</v>
      </c>
      <c r="G1375" s="3" t="s">
        <v>3616</v>
      </c>
      <c r="H1375" s="3" t="s">
        <v>4359</v>
      </c>
      <c r="I1375" s="3" t="str">
        <f>HYPERLINK("http://www.jccm.es/sede/tramite/LC8","JUSTIFICACION DE LAS AYUDAS PARA LA ASISTENCIA A LA FERIA AGROALIMENTARIA ORGANIC FOOD IBERIA")</f>
        <v>JUSTIFICACION DE LAS AYUDAS PARA LA ASISTENCIA A LA FERIA AGROALIMENTARIA ORGANIC FOOD IBERIA</v>
      </c>
      <c r="J1375" s="3" t="s">
        <v>42</v>
      </c>
      <c r="K1375" s="3" t="s">
        <v>41</v>
      </c>
      <c r="L1375" s="3" t="s">
        <v>42</v>
      </c>
      <c r="M1375" s="3" t="s">
        <v>41</v>
      </c>
    </row>
    <row r="1376" spans="1:13" ht="126.6">
      <c r="A1376" s="22" t="s">
        <v>9</v>
      </c>
      <c r="B1376" s="3" t="s">
        <v>4360</v>
      </c>
      <c r="C1376" s="3" t="s">
        <v>4361</v>
      </c>
      <c r="D1376" s="3" t="s">
        <v>2026</v>
      </c>
      <c r="E1376" s="3" t="s">
        <v>46</v>
      </c>
      <c r="F1376" s="3" t="s">
        <v>3555</v>
      </c>
      <c r="G1376" s="3" t="s">
        <v>3566</v>
      </c>
      <c r="H1376" s="3" t="s">
        <v>4362</v>
      </c>
      <c r="I1376" s="3" t="str">
        <f>HYPERLINK("http://www.jccm.es/sede/tramite/LE7","AYUDA  COSECHA EN VERDE")</f>
        <v>AYUDA  COSECHA EN VERDE</v>
      </c>
      <c r="J1376" s="3" t="s">
        <v>41</v>
      </c>
      <c r="K1376" s="3" t="s">
        <v>41</v>
      </c>
      <c r="L1376" s="3" t="s">
        <v>42</v>
      </c>
      <c r="M1376" s="3" t="s">
        <v>41</v>
      </c>
    </row>
    <row r="1377" spans="1:13" ht="126.6">
      <c r="A1377" s="22" t="s">
        <v>9</v>
      </c>
      <c r="B1377" s="3" t="s">
        <v>4363</v>
      </c>
      <c r="C1377" s="3" t="s">
        <v>4364</v>
      </c>
      <c r="D1377" s="3" t="s">
        <v>2026</v>
      </c>
      <c r="E1377" s="3" t="s">
        <v>46</v>
      </c>
      <c r="F1377" s="3" t="s">
        <v>3555</v>
      </c>
      <c r="G1377" s="3" t="s">
        <v>3566</v>
      </c>
      <c r="H1377" s="3" t="s">
        <v>4365</v>
      </c>
      <c r="I1377" s="3" t="str">
        <f>HYPERLINK("http://www.jccm.es/sede/tramite/LE8","COMUNICACION EJECUCION Y PAGO DE LA AYUDA COSECHA EN VERDE")</f>
        <v>COMUNICACION EJECUCION Y PAGO DE LA AYUDA COSECHA EN VERDE</v>
      </c>
      <c r="J1377" s="3" t="s">
        <v>41</v>
      </c>
      <c r="K1377" s="3" t="s">
        <v>41</v>
      </c>
      <c r="L1377" s="3" t="s">
        <v>42</v>
      </c>
      <c r="M1377" s="3" t="s">
        <v>41</v>
      </c>
    </row>
    <row r="1378" spans="1:13" ht="161.1">
      <c r="A1378" s="22" t="s">
        <v>9</v>
      </c>
      <c r="B1378" s="3" t="s">
        <v>4366</v>
      </c>
      <c r="C1378" s="3" t="s">
        <v>4367</v>
      </c>
      <c r="D1378" s="3" t="s">
        <v>232</v>
      </c>
      <c r="E1378" s="3" t="s">
        <v>46</v>
      </c>
      <c r="F1378" s="3" t="s">
        <v>3555</v>
      </c>
      <c r="G1378" s="3" t="s">
        <v>3556</v>
      </c>
      <c r="H1378" s="3" t="s">
        <v>4368</v>
      </c>
      <c r="I1378" s="3" t="str">
        <f>HYPERLINK("http://www.jccm.es/sede/tramite/LLC","SOLICITUD DE PAGO PARA LA REALIZACION DE ACTUACIONES DE EFICIENCIA ENERGETICA EN EXPLOTACIONES AGROPECUARIAS.")</f>
        <v>SOLICITUD DE PAGO PARA LA REALIZACION DE ACTUACIONES DE EFICIENCIA ENERGETICA EN EXPLOTACIONES AGROPECUARIAS.</v>
      </c>
      <c r="J1378" s="3" t="s">
        <v>42</v>
      </c>
      <c r="K1378" s="3" t="s">
        <v>41</v>
      </c>
      <c r="L1378" s="3" t="s">
        <v>42</v>
      </c>
      <c r="M1378" s="3" t="s">
        <v>41</v>
      </c>
    </row>
    <row r="1379" spans="1:13" ht="161.1">
      <c r="A1379" s="22" t="s">
        <v>9</v>
      </c>
      <c r="B1379" s="3" t="s">
        <v>4369</v>
      </c>
      <c r="C1379" s="3" t="s">
        <v>4370</v>
      </c>
      <c r="D1379" s="3" t="s">
        <v>232</v>
      </c>
      <c r="E1379" s="3" t="s">
        <v>46</v>
      </c>
      <c r="F1379" s="3" t="s">
        <v>3555</v>
      </c>
      <c r="G1379" s="3" t="s">
        <v>3556</v>
      </c>
      <c r="H1379" s="3" t="s">
        <v>4371</v>
      </c>
      <c r="I1379" s="3" t="str">
        <f>HYPERLINK("http://www.jccm.es/sede/tramite/LLB","SOLICITUD DE AYUDA PARA LA REALIZACION DE ACTUACIONES DE EFICIENCIA ENERGETICA EN EXPLOTACIONES AGROPECUARIAS.")</f>
        <v>SOLICITUD DE AYUDA PARA LA REALIZACION DE ACTUACIONES DE EFICIENCIA ENERGETICA EN EXPLOTACIONES AGROPECUARIAS.</v>
      </c>
      <c r="J1379" s="3" t="s">
        <v>42</v>
      </c>
      <c r="K1379" s="3" t="s">
        <v>41</v>
      </c>
      <c r="L1379" s="3" t="s">
        <v>42</v>
      </c>
      <c r="M1379" s="3" t="s">
        <v>41</v>
      </c>
    </row>
    <row r="1380" spans="1:13" ht="114.95">
      <c r="A1380" s="22" t="s">
        <v>9</v>
      </c>
      <c r="B1380" s="3" t="s">
        <v>4372</v>
      </c>
      <c r="C1380" s="3" t="s">
        <v>4373</v>
      </c>
      <c r="D1380" s="3" t="s">
        <v>232</v>
      </c>
      <c r="E1380" s="3" t="s">
        <v>46</v>
      </c>
      <c r="F1380" s="3" t="s">
        <v>3555</v>
      </c>
      <c r="G1380" s="3" t="s">
        <v>3556</v>
      </c>
      <c r="H1380" s="3" t="s">
        <v>4374</v>
      </c>
      <c r="I1380" s="3" t="str">
        <f>HYPERLINK("http://www.jccm.es/sede/tramite/LLQ","SOLICITUD DE PAGO DE AYUDA A INVERSIONES EN EXPLOTACIONES AGRICOLAS Y GANADERAS.")</f>
        <v>SOLICITUD DE PAGO DE AYUDA A INVERSIONES EN EXPLOTACIONES AGRICOLAS Y GANADERAS.</v>
      </c>
      <c r="J1380" s="3" t="s">
        <v>41</v>
      </c>
      <c r="K1380" s="3" t="s">
        <v>41</v>
      </c>
      <c r="L1380" s="3" t="s">
        <v>42</v>
      </c>
      <c r="M1380" s="3" t="s">
        <v>41</v>
      </c>
    </row>
    <row r="1381" spans="1:13" ht="114.95">
      <c r="A1381" s="22" t="s">
        <v>9</v>
      </c>
      <c r="B1381" s="3" t="s">
        <v>4375</v>
      </c>
      <c r="C1381" s="3" t="s">
        <v>4376</v>
      </c>
      <c r="D1381" s="3" t="s">
        <v>232</v>
      </c>
      <c r="E1381" s="3" t="s">
        <v>46</v>
      </c>
      <c r="F1381" s="3" t="s">
        <v>3555</v>
      </c>
      <c r="G1381" s="3" t="s">
        <v>3556</v>
      </c>
      <c r="H1381" s="3" t="s">
        <v>4377</v>
      </c>
      <c r="I1381" s="3" t="str">
        <f>HYPERLINK("http://www.jccm.es/sede/tramite/LLP","SOLICITUD DE AYUDA A INVERSIONES EN EXPLOTACIONES AGRICOLAS Y GANADERAS.")</f>
        <v>SOLICITUD DE AYUDA A INVERSIONES EN EXPLOTACIONES AGRICOLAS Y GANADERAS.</v>
      </c>
      <c r="J1381" s="3" t="s">
        <v>41</v>
      </c>
      <c r="K1381" s="3" t="s">
        <v>41</v>
      </c>
      <c r="L1381" s="3" t="s">
        <v>42</v>
      </c>
      <c r="M1381" s="3" t="s">
        <v>41</v>
      </c>
    </row>
    <row r="1382" spans="1:13" ht="161.1">
      <c r="A1382" s="22" t="s">
        <v>9</v>
      </c>
      <c r="B1382" s="3" t="s">
        <v>4378</v>
      </c>
      <c r="C1382" s="3" t="s">
        <v>4379</v>
      </c>
      <c r="D1382" s="3" t="s">
        <v>327</v>
      </c>
      <c r="E1382" s="3" t="s">
        <v>46</v>
      </c>
      <c r="F1382" s="3" t="s">
        <v>3555</v>
      </c>
      <c r="G1382" s="3" t="s">
        <v>3566</v>
      </c>
      <c r="H1382" s="3" t="s">
        <v>4380</v>
      </c>
      <c r="I1382" s="3" t="str">
        <f>HYPERLINK("http://www.jccm.es/sede/tramite/LOC","SOLICITUD AYUDA RECUPERACION DE POTENCIAL PRODUCTIVO DEL OLIVAR AFECTADO POR EL TEMPORAL FILOMENA EN CASTILLA-LA MANCHA")</f>
        <v>SOLICITUD AYUDA RECUPERACION DE POTENCIAL PRODUCTIVO DEL OLIVAR AFECTADO POR EL TEMPORAL FILOMENA EN CASTILLA-LA MANCHA</v>
      </c>
      <c r="J1382" s="3" t="s">
        <v>41</v>
      </c>
      <c r="K1382" s="3" t="s">
        <v>41</v>
      </c>
      <c r="L1382" s="3" t="s">
        <v>42</v>
      </c>
      <c r="M1382" s="3" t="s">
        <v>41</v>
      </c>
    </row>
    <row r="1383" spans="1:13" ht="126.6">
      <c r="A1383" s="22" t="s">
        <v>9</v>
      </c>
      <c r="B1383" s="3" t="s">
        <v>4381</v>
      </c>
      <c r="C1383" s="3" t="s">
        <v>4382</v>
      </c>
      <c r="D1383" s="3" t="s">
        <v>327</v>
      </c>
      <c r="E1383" s="3" t="s">
        <v>46</v>
      </c>
      <c r="F1383" s="3" t="s">
        <v>3555</v>
      </c>
      <c r="G1383" s="3" t="s">
        <v>3566</v>
      </c>
      <c r="H1383" s="3" t="s">
        <v>4383</v>
      </c>
      <c r="I1383" s="3" t="str">
        <f>HYPERLINK("http://www.jccm.es/sede/tramite/LOD","DECLARACION DE FIN DE ACTUACIONES")</f>
        <v>DECLARACION DE FIN DE ACTUACIONES</v>
      </c>
      <c r="J1383" s="3" t="s">
        <v>41</v>
      </c>
      <c r="K1383" s="3" t="s">
        <v>41</v>
      </c>
      <c r="L1383" s="3" t="s">
        <v>42</v>
      </c>
      <c r="M1383" s="3" t="s">
        <v>41</v>
      </c>
    </row>
    <row r="1384" spans="1:13" ht="241.5">
      <c r="A1384" s="22" t="s">
        <v>9</v>
      </c>
      <c r="B1384" s="3" t="s">
        <v>4384</v>
      </c>
      <c r="C1384" s="3" t="s">
        <v>4385</v>
      </c>
      <c r="D1384" s="3" t="s">
        <v>232</v>
      </c>
      <c r="E1384" s="3" t="s">
        <v>46</v>
      </c>
      <c r="F1384" s="3" t="s">
        <v>3555</v>
      </c>
      <c r="G1384" s="3" t="s">
        <v>3616</v>
      </c>
      <c r="H1384" s="3" t="s">
        <v>4386</v>
      </c>
      <c r="I1384" s="3" t="str">
        <f>HYPERLINK("http://www.jccm.es/sede/tramite/LS8","AYUDAS A INVERSIONES EN ACTIVIDADES DE TRANSFORMACION DE PRODUCTOS DE LA PESCA Y DE LA ACUICULTURA PARA EL PERIODO 2014-2020, FINANCIADAS POR EL FONDO EUROPEO MARITIMO Y DE LA PESCA (FEMP)")</f>
        <v>AYUDAS A INVERSIONES EN ACTIVIDADES DE TRANSFORMACION DE PRODUCTOS DE LA PESCA Y DE LA ACUICULTURA PARA EL PERIODO 2014-2020, FINANCIADAS POR EL FONDO EUROPEO MARITIMO Y DE LA PESCA (FEMP)</v>
      </c>
      <c r="J1384" s="3" t="s">
        <v>41</v>
      </c>
      <c r="K1384" s="3" t="s">
        <v>41</v>
      </c>
      <c r="L1384" s="3" t="s">
        <v>42</v>
      </c>
      <c r="M1384" s="3" t="s">
        <v>41</v>
      </c>
    </row>
    <row r="1385" spans="1:13" ht="241.5">
      <c r="A1385" s="22" t="s">
        <v>9</v>
      </c>
      <c r="B1385" s="3" t="s">
        <v>4387</v>
      </c>
      <c r="C1385" s="3" t="s">
        <v>4388</v>
      </c>
      <c r="D1385" s="3" t="s">
        <v>232</v>
      </c>
      <c r="E1385" s="3" t="s">
        <v>46</v>
      </c>
      <c r="F1385" s="3" t="s">
        <v>3555</v>
      </c>
      <c r="G1385" s="3" t="s">
        <v>3616</v>
      </c>
      <c r="H1385" s="3" t="s">
        <v>4389</v>
      </c>
      <c r="I1385" s="3" t="str">
        <f>HYPERLINK("http://www.jccm.es/sede/tramite/LS6","MODIFICACION DE LA RESOLUCION DE CONCESION DE AYUDAS A INVERSIONES EN ACTIVIDADES DE TRANSFORMACION DE PRODUCTOS DE LA PESCA Y DE LA ACUICULTURA PARA EL PERIODO 2014-2020, FINANCIADAS POR FEMP.")</f>
        <v>MODIFICACION DE LA RESOLUCION DE CONCESION DE AYUDAS A INVERSIONES EN ACTIVIDADES DE TRANSFORMACION DE PRODUCTOS DE LA PESCA Y DE LA ACUICULTURA PARA EL PERIODO 2014-2020, FINANCIADAS POR FEMP.</v>
      </c>
      <c r="J1385" s="3" t="s">
        <v>41</v>
      </c>
      <c r="K1385" s="3" t="s">
        <v>41</v>
      </c>
      <c r="L1385" s="3" t="s">
        <v>42</v>
      </c>
      <c r="M1385" s="3" t="s">
        <v>41</v>
      </c>
    </row>
    <row r="1386" spans="1:13" ht="241.5">
      <c r="A1386" s="22" t="s">
        <v>9</v>
      </c>
      <c r="B1386" s="3" t="s">
        <v>4390</v>
      </c>
      <c r="C1386" s="3" t="s">
        <v>4391</v>
      </c>
      <c r="D1386" s="3" t="s">
        <v>232</v>
      </c>
      <c r="E1386" s="3" t="s">
        <v>46</v>
      </c>
      <c r="F1386" s="3" t="s">
        <v>3555</v>
      </c>
      <c r="G1386" s="3" t="s">
        <v>3616</v>
      </c>
      <c r="H1386" s="3" t="s">
        <v>4392</v>
      </c>
      <c r="I1386" s="3" t="str">
        <f>HYPERLINK("http://www.jccm.es/sede/tramite/LS7","ACEPTACION DE LA RESOLUCION DE CONCESION DE AYUDAS A INVERSIONES EN ACTIVIDADES DE TRANSFORMACION DE PRODUCTOS DE LA PESCA Y DE LA ACUICULTURA PARA EL PERIODO 2014-2020, FINANCIADAS POR FEMP")</f>
        <v>ACEPTACION DE LA RESOLUCION DE CONCESION DE AYUDAS A INVERSIONES EN ACTIVIDADES DE TRANSFORMACION DE PRODUCTOS DE LA PESCA Y DE LA ACUICULTURA PARA EL PERIODO 2014-2020, FINANCIADAS POR FEMP</v>
      </c>
      <c r="J1386" s="3" t="s">
        <v>41</v>
      </c>
      <c r="K1386" s="3" t="s">
        <v>41</v>
      </c>
      <c r="L1386" s="3" t="s">
        <v>42</v>
      </c>
      <c r="M1386" s="3" t="s">
        <v>41</v>
      </c>
    </row>
    <row r="1387" spans="1:13" ht="230.1">
      <c r="A1387" s="22" t="s">
        <v>9</v>
      </c>
      <c r="B1387" s="3" t="s">
        <v>4393</v>
      </c>
      <c r="C1387" s="3" t="s">
        <v>4394</v>
      </c>
      <c r="D1387" s="3" t="s">
        <v>232</v>
      </c>
      <c r="E1387" s="3" t="s">
        <v>46</v>
      </c>
      <c r="F1387" s="3" t="s">
        <v>3555</v>
      </c>
      <c r="G1387" s="3" t="s">
        <v>3616</v>
      </c>
      <c r="H1387" s="3" t="s">
        <v>4395</v>
      </c>
      <c r="I1387" s="3" t="str">
        <f>HYPERLINK("http://www.jccm.es/sede/tramite/LS9","SOLICITUD DE PAGO DE LAS AYUDAS A INVERSIONES EN ACTIVIDADES DE TRANSFORMACION DE PRODUCTOS DE LA PESCA Y DE LA ACUICULTURA PARA EL PERIODO 2014-2020, FINANCIADAS POR EL FEMP")</f>
        <v>SOLICITUD DE PAGO DE LAS AYUDAS A INVERSIONES EN ACTIVIDADES DE TRANSFORMACION DE PRODUCTOS DE LA PESCA Y DE LA ACUICULTURA PARA EL PERIODO 2014-2020, FINANCIADAS POR EL FEMP</v>
      </c>
      <c r="J1387" s="3" t="s">
        <v>41</v>
      </c>
      <c r="K1387" s="3" t="s">
        <v>41</v>
      </c>
      <c r="L1387" s="3" t="s">
        <v>42</v>
      </c>
      <c r="M1387" s="3" t="s">
        <v>41</v>
      </c>
    </row>
    <row r="1388" spans="1:13" ht="183.95">
      <c r="A1388" s="22" t="s">
        <v>9</v>
      </c>
      <c r="B1388" s="3" t="s">
        <v>4396</v>
      </c>
      <c r="C1388" s="3" t="s">
        <v>4397</v>
      </c>
      <c r="D1388" s="3" t="s">
        <v>4398</v>
      </c>
      <c r="E1388" s="3" t="s">
        <v>46</v>
      </c>
      <c r="F1388" s="3" t="s">
        <v>3555</v>
      </c>
      <c r="G1388" s="3" t="s">
        <v>3616</v>
      </c>
      <c r="H1388" s="3" t="s">
        <v>4399</v>
      </c>
      <c r="I1388" s="3" t="str">
        <f>HYPERLINK("http://www.jccm.es/sede/tramite/LTX","AYUDAS AL ALMACENAMIENTO PRIVADO DE CARNE DE PORCINO")</f>
        <v>AYUDAS AL ALMACENAMIENTO PRIVADO DE CARNE DE PORCINO</v>
      </c>
      <c r="J1388" s="3" t="s">
        <v>41</v>
      </c>
      <c r="K1388" s="3" t="s">
        <v>41</v>
      </c>
      <c r="L1388" s="3" t="s">
        <v>42</v>
      </c>
      <c r="M1388" s="3" t="s">
        <v>41</v>
      </c>
    </row>
    <row r="1389" spans="1:13" ht="183.95">
      <c r="A1389" s="22" t="s">
        <v>9</v>
      </c>
      <c r="B1389" s="3" t="s">
        <v>4400</v>
      </c>
      <c r="C1389" s="3" t="s">
        <v>4401</v>
      </c>
      <c r="D1389" s="3" t="s">
        <v>4398</v>
      </c>
      <c r="E1389" s="3" t="s">
        <v>46</v>
      </c>
      <c r="F1389" s="3" t="s">
        <v>3555</v>
      </c>
      <c r="G1389" s="3" t="s">
        <v>3616</v>
      </c>
      <c r="H1389" s="3" t="s">
        <v>4402</v>
      </c>
      <c r="I1389" s="3" t="str">
        <f>HYPERLINK("http://www.jccm.es/sede/tramite/LUC","SOLICITUD DE PAGO DE LA AYUDA PARA EL ALMACENAMIENTO DE CARNE DE PORCINO")</f>
        <v>SOLICITUD DE PAGO DE LA AYUDA PARA EL ALMACENAMIENTO DE CARNE DE PORCINO</v>
      </c>
      <c r="J1389" s="3" t="s">
        <v>41</v>
      </c>
      <c r="K1389" s="3" t="s">
        <v>41</v>
      </c>
      <c r="L1389" s="3" t="s">
        <v>42</v>
      </c>
      <c r="M1389" s="3" t="s">
        <v>41</v>
      </c>
    </row>
    <row r="1390" spans="1:13" ht="252.95">
      <c r="A1390" s="22" t="s">
        <v>9</v>
      </c>
      <c r="B1390" s="3" t="s">
        <v>4403</v>
      </c>
      <c r="C1390" s="3" t="s">
        <v>4404</v>
      </c>
      <c r="D1390" s="3" t="s">
        <v>327</v>
      </c>
      <c r="E1390" s="3" t="s">
        <v>46</v>
      </c>
      <c r="F1390" s="3" t="s">
        <v>3555</v>
      </c>
      <c r="G1390" s="3" t="s">
        <v>3566</v>
      </c>
      <c r="H1390" s="3" t="s">
        <v>4405</v>
      </c>
      <c r="I1390" s="3" t="str">
        <f>HYPERLINK("http://www.jccm.es/sede/tramite/LUD","SOLICITUD DE AYUDA PARA INVERSIONES EN MATERIA DE BIOSEGURIDAD PARA LA MEJORA O CONSTRUCCION DE CENTROS DE LIMPIEZA Y DESINFECCION DE VEHICULOS DE TRANSPORTE POR CARRETERA DE GANADO")</f>
        <v>SOLICITUD DE AYUDA PARA INVERSIONES EN MATERIA DE BIOSEGURIDAD PARA LA MEJORA O CONSTRUCCION DE CENTROS DE LIMPIEZA Y DESINFECCION DE VEHICULOS DE TRANSPORTE POR CARRETERA DE GANADO</v>
      </c>
      <c r="J1390" s="3" t="s">
        <v>41</v>
      </c>
      <c r="K1390" s="3" t="s">
        <v>41</v>
      </c>
      <c r="L1390" s="3" t="s">
        <v>42</v>
      </c>
      <c r="M1390" s="3" t="s">
        <v>41</v>
      </c>
    </row>
    <row r="1391" spans="1:13" ht="252.95">
      <c r="A1391" s="22" t="s">
        <v>9</v>
      </c>
      <c r="B1391" s="3" t="s">
        <v>4406</v>
      </c>
      <c r="C1391" s="3" t="s">
        <v>4407</v>
      </c>
      <c r="D1391" s="3" t="s">
        <v>327</v>
      </c>
      <c r="E1391" s="3" t="s">
        <v>46</v>
      </c>
      <c r="F1391" s="3" t="s">
        <v>3555</v>
      </c>
      <c r="G1391" s="3" t="s">
        <v>3566</v>
      </c>
      <c r="H1391" s="3" t="s">
        <v>4408</v>
      </c>
      <c r="I1391" s="3" t="str">
        <f>HYPERLINK("http://www.jccm.es/sede/tramite/LUE","SOLICITUD DE PAGO PARA INVERSIONES EN MATERIA DE BIOSEGURIDAD PARA LA MEJORA O CONSTRUCCION DE CENTROS DE LIMPIEZA Y DESINFECCION DE VEHICULOS DE TRANSPORTE POR CARRETERA DE GANADO")</f>
        <v>SOLICITUD DE PAGO PARA INVERSIONES EN MATERIA DE BIOSEGURIDAD PARA LA MEJORA O CONSTRUCCION DE CENTROS DE LIMPIEZA Y DESINFECCION DE VEHICULOS DE TRANSPORTE POR CARRETERA DE GANADO</v>
      </c>
      <c r="J1391" s="3" t="s">
        <v>41</v>
      </c>
      <c r="K1391" s="3" t="s">
        <v>41</v>
      </c>
      <c r="L1391" s="3" t="s">
        <v>42</v>
      </c>
      <c r="M1391" s="3" t="s">
        <v>41</v>
      </c>
    </row>
    <row r="1392" spans="1:13" ht="264.60000000000002">
      <c r="A1392" s="22" t="s">
        <v>9</v>
      </c>
      <c r="B1392" s="3" t="s">
        <v>4409</v>
      </c>
      <c r="C1392" s="3" t="s">
        <v>4410</v>
      </c>
      <c r="D1392" s="3" t="s">
        <v>327</v>
      </c>
      <c r="E1392" s="3" t="s">
        <v>46</v>
      </c>
      <c r="F1392" s="3" t="s">
        <v>3555</v>
      </c>
      <c r="G1392" s="3" t="s">
        <v>3555</v>
      </c>
      <c r="H1392" s="3" t="s">
        <v>4411</v>
      </c>
      <c r="I1392" s="3" t="str">
        <f>HYPERLINK("http://www.jccm.es/sede/tramite/LUI","SOLICITUD AYUDAS A INVERSIONES PARA LA SOSTENIBILIDAD Y COMPETITIVIDAD DE EXPLOTACIONES AGRICOLAS Y GANADERAS:AGRICULTURA DE PRECISION, EFICIENCIA ENERGETICA, GESTION ESTIERCOLES E INVERNADEROS.")</f>
        <v>SOLICITUD AYUDAS A INVERSIONES PARA LA SOSTENIBILIDAD Y COMPETITIVIDAD DE EXPLOTACIONES AGRICOLAS Y GANADERAS:AGRICULTURA DE PRECISION, EFICIENCIA ENERGETICA, GESTION ESTIERCOLES E INVERNADEROS.</v>
      </c>
      <c r="J1392" s="3" t="s">
        <v>41</v>
      </c>
      <c r="K1392" s="3" t="s">
        <v>41</v>
      </c>
      <c r="L1392" s="3" t="s">
        <v>42</v>
      </c>
      <c r="M1392" s="3" t="s">
        <v>41</v>
      </c>
    </row>
    <row r="1393" spans="1:13" ht="218.45">
      <c r="A1393" s="22" t="s">
        <v>9</v>
      </c>
      <c r="B1393" s="3" t="s">
        <v>4412</v>
      </c>
      <c r="C1393" s="3" t="s">
        <v>4301</v>
      </c>
      <c r="D1393" s="3" t="s">
        <v>4413</v>
      </c>
      <c r="E1393" s="3" t="s">
        <v>46</v>
      </c>
      <c r="F1393" s="3" t="s">
        <v>3555</v>
      </c>
      <c r="G1393" s="3" t="s">
        <v>3566</v>
      </c>
      <c r="H1393" s="3" t="s">
        <v>4414</v>
      </c>
      <c r="I1393" s="3" t="str">
        <f>HYPERLINK("http://www.jccm.es/sede/tramite/LVU","SUBVENCIONES PARA LA PRESTACION DE SERVICIOS DE ASESORAMIENTO EN GESTION INTEGRADA DE PLAGAS POR PARTE DE LAS AGRUPACIONES DE SANIDAD VEGETAL EN CASTILLA-LA MANCHA")</f>
        <v>SUBVENCIONES PARA LA PRESTACION DE SERVICIOS DE ASESORAMIENTO EN GESTION INTEGRADA DE PLAGAS POR PARTE DE LAS AGRUPACIONES DE SANIDAD VEGETAL EN CASTILLA-LA MANCHA</v>
      </c>
      <c r="J1393" s="3" t="s">
        <v>41</v>
      </c>
      <c r="K1393" s="3" t="s">
        <v>41</v>
      </c>
      <c r="L1393" s="3" t="s">
        <v>42</v>
      </c>
      <c r="M1393" s="3" t="s">
        <v>41</v>
      </c>
    </row>
    <row r="1394" spans="1:13" ht="183.95">
      <c r="A1394" s="22" t="s">
        <v>9</v>
      </c>
      <c r="B1394" s="3" t="s">
        <v>4415</v>
      </c>
      <c r="C1394" s="3" t="s">
        <v>4416</v>
      </c>
      <c r="D1394" s="3" t="s">
        <v>327</v>
      </c>
      <c r="E1394" s="3" t="s">
        <v>46</v>
      </c>
      <c r="F1394" s="3" t="s">
        <v>3555</v>
      </c>
      <c r="G1394" s="3" t="s">
        <v>3616</v>
      </c>
      <c r="H1394" s="3" t="s">
        <v>4417</v>
      </c>
      <c r="I1394" s="3" t="str">
        <f>HYPERLINK("http://www.jccm.es/sede/tramite/JHS","INSCRIPCION EN LOS REGISTROS COMUNITARIOS DE LAS DENOMINACIONES DE ORIGEN PROTEGIDAS Y DE LAS INDICACIONES GEOGRAFICAS PROTEGIDAS.")</f>
        <v>INSCRIPCION EN LOS REGISTROS COMUNITARIOS DE LAS DENOMINACIONES DE ORIGEN PROTEGIDAS Y DE LAS INDICACIONES GEOGRAFICAS PROTEGIDAS.</v>
      </c>
      <c r="J1394" s="3" t="s">
        <v>41</v>
      </c>
      <c r="K1394" s="3" t="s">
        <v>41</v>
      </c>
      <c r="L1394" s="3" t="s">
        <v>42</v>
      </c>
      <c r="M1394" s="3" t="s">
        <v>41</v>
      </c>
    </row>
    <row r="1395" spans="1:13" ht="126.6">
      <c r="A1395" s="22" t="s">
        <v>9</v>
      </c>
      <c r="B1395" s="3" t="s">
        <v>4418</v>
      </c>
      <c r="C1395" s="3" t="s">
        <v>4419</v>
      </c>
      <c r="D1395" s="3" t="s">
        <v>45</v>
      </c>
      <c r="E1395" s="3" t="s">
        <v>37</v>
      </c>
      <c r="F1395" s="3" t="s">
        <v>3555</v>
      </c>
      <c r="G1395" s="3" t="s">
        <v>3566</v>
      </c>
      <c r="H1395" s="3" t="s">
        <v>4420</v>
      </c>
      <c r="I1395" s="3" t="str">
        <f>HYPERLINK("http://www.jccm.es/sede/tramite/323","EXPEDICION O DUPLICADO DE CARNE DE MANIPULADOR DE PRODUCTOS FITOSANITARIOS")</f>
        <v>EXPEDICION O DUPLICADO DE CARNE DE MANIPULADOR DE PRODUCTOS FITOSANITARIOS</v>
      </c>
      <c r="J1395" s="3" t="s">
        <v>42</v>
      </c>
      <c r="K1395" s="3" t="s">
        <v>41</v>
      </c>
      <c r="L1395" s="3" t="s">
        <v>42</v>
      </c>
      <c r="M1395" s="3" t="s">
        <v>42</v>
      </c>
    </row>
    <row r="1396" spans="1:13" ht="126.6">
      <c r="A1396" s="22" t="s">
        <v>9</v>
      </c>
      <c r="B1396" s="3" t="s">
        <v>4421</v>
      </c>
      <c r="C1396" s="3" t="s">
        <v>4422</v>
      </c>
      <c r="D1396" s="3" t="s">
        <v>45</v>
      </c>
      <c r="E1396" s="3" t="s">
        <v>37</v>
      </c>
      <c r="F1396" s="3" t="s">
        <v>3555</v>
      </c>
      <c r="G1396" s="3" t="s">
        <v>3566</v>
      </c>
      <c r="H1396" s="3" t="s">
        <v>4423</v>
      </c>
      <c r="I1396" s="3" t="str">
        <f>HYPERLINK("http://www.jccm.es/sede/tramite/J2M","EXPEDICION DE RENOVACION DE CARNE DE MANIPULADOR DE PRODUCTOS FITOSANITARIOS")</f>
        <v>EXPEDICION DE RENOVACION DE CARNE DE MANIPULADOR DE PRODUCTOS FITOSANITARIOS</v>
      </c>
      <c r="J1396" s="3" t="s">
        <v>42</v>
      </c>
      <c r="K1396" s="3" t="s">
        <v>41</v>
      </c>
      <c r="L1396" s="3" t="s">
        <v>42</v>
      </c>
      <c r="M1396" s="3" t="s">
        <v>41</v>
      </c>
    </row>
    <row r="1397" spans="1:13" ht="114.95">
      <c r="A1397" s="22" t="s">
        <v>9</v>
      </c>
      <c r="B1397" s="3" t="s">
        <v>4424</v>
      </c>
      <c r="C1397" s="3" t="s">
        <v>4425</v>
      </c>
      <c r="D1397" s="3" t="s">
        <v>70</v>
      </c>
      <c r="E1397" s="3" t="s">
        <v>37</v>
      </c>
      <c r="F1397" s="3" t="s">
        <v>3555</v>
      </c>
      <c r="G1397" s="3" t="s">
        <v>3616</v>
      </c>
      <c r="H1397" s="3" t="s">
        <v>4426</v>
      </c>
      <c r="I1397" s="3" t="str">
        <f>HYPERLINK("http://www.jccm.es/sede/tramite/JBX","AUTORIZACION, CERTIFICACION Y CONTROL DE LOS VINOS VARIETALES")</f>
        <v>AUTORIZACION, CERTIFICACION Y CONTROL DE LOS VINOS VARIETALES</v>
      </c>
      <c r="J1397" s="3" t="s">
        <v>42</v>
      </c>
      <c r="K1397" s="3" t="s">
        <v>41</v>
      </c>
      <c r="L1397" s="3" t="s">
        <v>42</v>
      </c>
      <c r="M1397" s="3" t="s">
        <v>41</v>
      </c>
    </row>
    <row r="1398" spans="1:13" ht="114.95">
      <c r="A1398" s="22" t="s">
        <v>9</v>
      </c>
      <c r="B1398" s="3" t="s">
        <v>4427</v>
      </c>
      <c r="C1398" s="3" t="s">
        <v>4428</v>
      </c>
      <c r="D1398" s="3" t="s">
        <v>62</v>
      </c>
      <c r="E1398" s="3" t="s">
        <v>46</v>
      </c>
      <c r="F1398" s="3" t="s">
        <v>3555</v>
      </c>
      <c r="G1398" s="3" t="s">
        <v>3616</v>
      </c>
      <c r="H1398" s="3" t="s">
        <v>4429</v>
      </c>
      <c r="I1398" s="3" t="str">
        <f>HYPERLINK("http://www.jccm.es/sede/tramite/JHB","REGIMEN GENERAL DE CONTROL DE LOS VINOS CON DENOMINACION DE ORIGEN PROTEGIDA.")</f>
        <v>REGIMEN GENERAL DE CONTROL DE LOS VINOS CON DENOMINACION DE ORIGEN PROTEGIDA.</v>
      </c>
      <c r="J1398" s="3" t="s">
        <v>42</v>
      </c>
      <c r="K1398" s="3" t="s">
        <v>41</v>
      </c>
      <c r="L1398" s="3" t="s">
        <v>42</v>
      </c>
      <c r="M1398" s="3" t="s">
        <v>41</v>
      </c>
    </row>
    <row r="1399" spans="1:13" ht="149.44999999999999">
      <c r="A1399" s="22" t="s">
        <v>9</v>
      </c>
      <c r="B1399" s="3" t="s">
        <v>4430</v>
      </c>
      <c r="C1399" s="3" t="s">
        <v>4431</v>
      </c>
      <c r="D1399" s="3" t="s">
        <v>4432</v>
      </c>
      <c r="E1399" s="3" t="s">
        <v>37</v>
      </c>
      <c r="F1399" s="3" t="s">
        <v>3555</v>
      </c>
      <c r="G1399" s="3" t="s">
        <v>3616</v>
      </c>
      <c r="H1399" s="3" t="s">
        <v>4433</v>
      </c>
      <c r="I1399" s="3" t="str">
        <f>HYPERLINK("http://www.jccm.es/sede/tramite/JHT","RECONOCIMIENTO DE MARCAS COLECTIVAS Y DE GARANTIAS COMO FIGURAS DE CALIDAD AGROALIMENTARIA DE CASTILLA-LA MANCHA.")</f>
        <v>RECONOCIMIENTO DE MARCAS COLECTIVAS Y DE GARANTIAS COMO FIGURAS DE CALIDAD AGROALIMENTARIA DE CASTILLA-LA MANCHA.</v>
      </c>
      <c r="J1399" s="3" t="s">
        <v>41</v>
      </c>
      <c r="K1399" s="3" t="s">
        <v>41</v>
      </c>
      <c r="L1399" s="3" t="s">
        <v>42</v>
      </c>
      <c r="M1399" s="3" t="s">
        <v>41</v>
      </c>
    </row>
    <row r="1400" spans="1:13" ht="114.95">
      <c r="A1400" s="22" t="s">
        <v>9</v>
      </c>
      <c r="B1400" s="3" t="s">
        <v>4434</v>
      </c>
      <c r="C1400" s="3" t="s">
        <v>4435</v>
      </c>
      <c r="D1400" s="3" t="s">
        <v>45</v>
      </c>
      <c r="E1400" s="3" t="s">
        <v>37</v>
      </c>
      <c r="F1400" s="3" t="s">
        <v>3555</v>
      </c>
      <c r="G1400" s="3" t="s">
        <v>3616</v>
      </c>
      <c r="H1400" s="3" t="s">
        <v>4436</v>
      </c>
      <c r="I1400" s="3" t="str">
        <f>HYPERLINK("http://www.jccm.es/sede/tramite/JI0","DECLARACION DE LOS OPERADORES, CERTIFICACION Y CONTROL DE LOS VINOS CON IGP")</f>
        <v>DECLARACION DE LOS OPERADORES, CERTIFICACION Y CONTROL DE LOS VINOS CON IGP</v>
      </c>
      <c r="J1400" s="3" t="s">
        <v>42</v>
      </c>
      <c r="K1400" s="3" t="s">
        <v>41</v>
      </c>
      <c r="L1400" s="3" t="s">
        <v>42</v>
      </c>
      <c r="M1400" s="3" t="s">
        <v>41</v>
      </c>
    </row>
    <row r="1401" spans="1:13" ht="126.6">
      <c r="A1401" s="22" t="s">
        <v>9</v>
      </c>
      <c r="B1401" s="3" t="s">
        <v>4437</v>
      </c>
      <c r="C1401" s="3" t="s">
        <v>4438</v>
      </c>
      <c r="D1401" s="3" t="s">
        <v>45</v>
      </c>
      <c r="E1401" s="3" t="s">
        <v>37</v>
      </c>
      <c r="F1401" s="3" t="s">
        <v>3555</v>
      </c>
      <c r="G1401" s="3" t="s">
        <v>3566</v>
      </c>
      <c r="H1401" s="3" t="s">
        <v>4439</v>
      </c>
      <c r="I1401" s="3" t="str">
        <f>HYPERLINK("http://www.jccm.es/sede/tramite/JGI","CERTIFICACION DE SEMILLAS")</f>
        <v>CERTIFICACION DE SEMILLAS</v>
      </c>
      <c r="J1401" s="3" t="s">
        <v>42</v>
      </c>
      <c r="K1401" s="3" t="s">
        <v>41</v>
      </c>
      <c r="L1401" s="3" t="s">
        <v>42</v>
      </c>
      <c r="M1401" s="3" t="s">
        <v>41</v>
      </c>
    </row>
    <row r="1402" spans="1:13" ht="126.6">
      <c r="A1402" s="22" t="s">
        <v>9</v>
      </c>
      <c r="B1402" s="3" t="s">
        <v>4440</v>
      </c>
      <c r="C1402" s="3" t="s">
        <v>4441</v>
      </c>
      <c r="D1402" s="3" t="s">
        <v>45</v>
      </c>
      <c r="E1402" s="3" t="s">
        <v>37</v>
      </c>
      <c r="F1402" s="3" t="s">
        <v>3555</v>
      </c>
      <c r="G1402" s="3" t="s">
        <v>3566</v>
      </c>
      <c r="H1402" s="3" t="s">
        <v>4442</v>
      </c>
      <c r="I1402" s="3" t="str">
        <f>HYPERLINK("http://www.jccm.es/sede/tramite/JGJ","CERTIFICACION DE PLANTAS DE VIVERO")</f>
        <v>CERTIFICACION DE PLANTAS DE VIVERO</v>
      </c>
      <c r="J1402" s="3" t="s">
        <v>42</v>
      </c>
      <c r="K1402" s="3" t="s">
        <v>41</v>
      </c>
      <c r="L1402" s="3" t="s">
        <v>42</v>
      </c>
      <c r="M1402" s="3" t="s">
        <v>41</v>
      </c>
    </row>
    <row r="1403" spans="1:13" ht="126.6">
      <c r="A1403" s="22" t="s">
        <v>9</v>
      </c>
      <c r="B1403" s="3" t="s">
        <v>4443</v>
      </c>
      <c r="C1403" s="3" t="s">
        <v>4444</v>
      </c>
      <c r="D1403" s="3" t="s">
        <v>45</v>
      </c>
      <c r="E1403" s="3" t="s">
        <v>37</v>
      </c>
      <c r="F1403" s="3" t="s">
        <v>3555</v>
      </c>
      <c r="G1403" s="3" t="s">
        <v>3566</v>
      </c>
      <c r="H1403" s="3" t="s">
        <v>4445</v>
      </c>
      <c r="I1403" s="3" t="str">
        <f>HYPERLINK("http://www.jccm.es/sede/tramite/JGK","CERTIFICADO PATRON DE MATERIALES FORESTALES DE REPRODUCCION DE ESPECIES REGULADAS")</f>
        <v>CERTIFICADO PATRON DE MATERIALES FORESTALES DE REPRODUCCION DE ESPECIES REGULADAS</v>
      </c>
      <c r="J1403" s="3" t="s">
        <v>42</v>
      </c>
      <c r="K1403" s="3" t="s">
        <v>41</v>
      </c>
      <c r="L1403" s="3" t="s">
        <v>42</v>
      </c>
      <c r="M1403" s="3" t="s">
        <v>41</v>
      </c>
    </row>
    <row r="1404" spans="1:13" ht="138">
      <c r="A1404" s="22" t="s">
        <v>9</v>
      </c>
      <c r="B1404" s="3" t="s">
        <v>4446</v>
      </c>
      <c r="C1404" s="3" t="s">
        <v>4447</v>
      </c>
      <c r="D1404" s="3" t="s">
        <v>4448</v>
      </c>
      <c r="E1404" s="3" t="s">
        <v>37</v>
      </c>
      <c r="F1404" s="3" t="s">
        <v>3555</v>
      </c>
      <c r="G1404" s="3" t="s">
        <v>3643</v>
      </c>
      <c r="H1404" s="3" t="s">
        <v>4449</v>
      </c>
      <c r="I1404" s="3" t="str">
        <f>HYPERLINK("http://www.jccm.es/sede/tramite/JLP","SOLICITUD DE CARTOGRAFIA")</f>
        <v>SOLICITUD DE CARTOGRAFIA</v>
      </c>
      <c r="J1404" s="3" t="s">
        <v>42</v>
      </c>
      <c r="K1404" s="3" t="s">
        <v>41</v>
      </c>
      <c r="L1404" s="3" t="s">
        <v>42</v>
      </c>
      <c r="M1404" s="3" t="s">
        <v>41</v>
      </c>
    </row>
    <row r="1405" spans="1:13" ht="138">
      <c r="A1405" s="22" t="s">
        <v>9</v>
      </c>
      <c r="B1405" s="3" t="s">
        <v>4450</v>
      </c>
      <c r="C1405" s="3" t="s">
        <v>4451</v>
      </c>
      <c r="D1405" s="3" t="s">
        <v>327</v>
      </c>
      <c r="E1405" s="3" t="s">
        <v>37</v>
      </c>
      <c r="F1405" s="3" t="s">
        <v>3555</v>
      </c>
      <c r="G1405" s="3" t="s">
        <v>3566</v>
      </c>
      <c r="H1405" s="3" t="s">
        <v>4452</v>
      </c>
      <c r="I1405" s="3" t="str">
        <f>HYPERLINK("http://www.jccm.es/sede/tramite/JWW","RECONOCIMIENTO OFICIAL DE LAS ORGANIZACIONES O ASOCIACIONES DE CRIADORES DE PERROS DE RAZA PURA.")</f>
        <v>RECONOCIMIENTO OFICIAL DE LAS ORGANIZACIONES O ASOCIACIONES DE CRIADORES DE PERROS DE RAZA PURA.</v>
      </c>
      <c r="J1405" s="3" t="s">
        <v>42</v>
      </c>
      <c r="K1405" s="3" t="s">
        <v>41</v>
      </c>
      <c r="L1405" s="3" t="s">
        <v>42</v>
      </c>
      <c r="M1405" s="3" t="s">
        <v>41</v>
      </c>
    </row>
    <row r="1406" spans="1:13" ht="126.6">
      <c r="A1406" s="22" t="s">
        <v>9</v>
      </c>
      <c r="B1406" s="3" t="s">
        <v>4453</v>
      </c>
      <c r="C1406" s="3" t="s">
        <v>4454</v>
      </c>
      <c r="D1406" s="3" t="s">
        <v>70</v>
      </c>
      <c r="E1406" s="3" t="s">
        <v>37</v>
      </c>
      <c r="F1406" s="3" t="s">
        <v>3555</v>
      </c>
      <c r="G1406" s="3" t="s">
        <v>3566</v>
      </c>
      <c r="H1406" s="3" t="s">
        <v>4455</v>
      </c>
      <c r="I1406" s="3" t="str">
        <f>HYPERLINK("http://www.jccm.es/sede/tramite/K3P","CONVALIDACION DE CARNE DE MANIPULADOR DE PRODUCTOS FITOSANITARIOS")</f>
        <v>CONVALIDACION DE CARNE DE MANIPULADOR DE PRODUCTOS FITOSANITARIOS</v>
      </c>
      <c r="J1406" s="3" t="s">
        <v>42</v>
      </c>
      <c r="K1406" s="3" t="s">
        <v>41</v>
      </c>
      <c r="L1406" s="3" t="s">
        <v>42</v>
      </c>
      <c r="M1406" s="3" t="s">
        <v>41</v>
      </c>
    </row>
    <row r="1407" spans="1:13" ht="126.6">
      <c r="A1407" s="22" t="s">
        <v>9</v>
      </c>
      <c r="B1407" s="3" t="s">
        <v>4456</v>
      </c>
      <c r="C1407" s="3" t="s">
        <v>3646</v>
      </c>
      <c r="D1407" s="3" t="s">
        <v>95</v>
      </c>
      <c r="E1407" s="3" t="s">
        <v>95</v>
      </c>
      <c r="F1407" s="3" t="s">
        <v>3555</v>
      </c>
      <c r="G1407" s="3" t="s">
        <v>3566</v>
      </c>
      <c r="H1407" s="3" t="s">
        <v>4457</v>
      </c>
      <c r="I1407" s="3" t="str">
        <f>HYPERLINK("http://www.jccm.es/sede/tramite/K5Q","SOLICITUD DE CERTIFICACION DE OPERACIONES Y PAGO DE LA AYUDA")</f>
        <v>SOLICITUD DE CERTIFICACION DE OPERACIONES Y PAGO DE LA AYUDA</v>
      </c>
      <c r="J1407" s="3" t="s">
        <v>41</v>
      </c>
      <c r="K1407" s="3" t="s">
        <v>41</v>
      </c>
      <c r="L1407" s="3" t="s">
        <v>42</v>
      </c>
      <c r="M1407" s="3" t="s">
        <v>41</v>
      </c>
    </row>
    <row r="1408" spans="1:13" ht="126.6">
      <c r="A1408" s="22" t="s">
        <v>9</v>
      </c>
      <c r="B1408" s="3" t="s">
        <v>4458</v>
      </c>
      <c r="C1408" s="3" t="s">
        <v>4459</v>
      </c>
      <c r="D1408" s="3" t="s">
        <v>45</v>
      </c>
      <c r="E1408" s="3" t="s">
        <v>46</v>
      </c>
      <c r="F1408" s="3" t="s">
        <v>3555</v>
      </c>
      <c r="G1408" s="3" t="s">
        <v>3566</v>
      </c>
      <c r="H1408" s="3" t="s">
        <v>4460</v>
      </c>
      <c r="I1408" s="3" t="str">
        <f>HYPERLINK("http://www.jccm.es/sede/tramite/KC7","CALIFICACION DE EXPLOTACIONES PARA MOVIMIENTOS INTRACOMUNITARIOS DE OVINOS Y CAPRINOS EN RELACION A LA TEMBLADERA CLASICA")</f>
        <v>CALIFICACION DE EXPLOTACIONES PARA MOVIMIENTOS INTRACOMUNITARIOS DE OVINOS Y CAPRINOS EN RELACION A LA TEMBLADERA CLASICA</v>
      </c>
      <c r="J1408" s="3" t="s">
        <v>42</v>
      </c>
      <c r="K1408" s="3" t="s">
        <v>41</v>
      </c>
      <c r="L1408" s="3" t="s">
        <v>42</v>
      </c>
      <c r="M1408" s="3" t="s">
        <v>41</v>
      </c>
    </row>
    <row r="1409" spans="1:13" ht="161.1">
      <c r="A1409" s="22" t="s">
        <v>9</v>
      </c>
      <c r="B1409" s="3" t="s">
        <v>4461</v>
      </c>
      <c r="C1409" s="3" t="s">
        <v>4462</v>
      </c>
      <c r="D1409" s="3" t="s">
        <v>70</v>
      </c>
      <c r="E1409" s="3" t="s">
        <v>37</v>
      </c>
      <c r="F1409" s="3" t="s">
        <v>3555</v>
      </c>
      <c r="G1409" s="3" t="s">
        <v>3566</v>
      </c>
      <c r="H1409" s="3" t="s">
        <v>4463</v>
      </c>
      <c r="I1409" s="3" t="str">
        <f>HYPERLINK("http://www.jccm.es/sede/tramite/KFF","AUTORIZACION COMO ENTIDAD DE FORMACION PARA LA IMPARTICION DE CURSOS DE BIENESTAR ANIMAL, BIOSEGURIDAD, HIGIENE Y SANIDAD ANIMAL.")</f>
        <v>AUTORIZACION COMO ENTIDAD DE FORMACION PARA LA IMPARTICION DE CURSOS DE BIENESTAR ANIMAL, BIOSEGURIDAD, HIGIENE Y SANIDAD ANIMAL.</v>
      </c>
      <c r="J1409" s="3" t="s">
        <v>41</v>
      </c>
      <c r="K1409" s="3" t="s">
        <v>41</v>
      </c>
      <c r="L1409" s="3" t="s">
        <v>42</v>
      </c>
      <c r="M1409" s="3" t="s">
        <v>41</v>
      </c>
    </row>
    <row r="1410" spans="1:13" ht="126.6">
      <c r="A1410" s="22" t="s">
        <v>9</v>
      </c>
      <c r="B1410" s="3" t="s">
        <v>4464</v>
      </c>
      <c r="C1410" s="3" t="s">
        <v>4465</v>
      </c>
      <c r="D1410" s="3" t="s">
        <v>95</v>
      </c>
      <c r="E1410" s="3" t="s">
        <v>95</v>
      </c>
      <c r="F1410" s="3" t="s">
        <v>3555</v>
      </c>
      <c r="G1410" s="3" t="s">
        <v>3566</v>
      </c>
      <c r="H1410" s="3" t="s">
        <v>4466</v>
      </c>
      <c r="I1410" s="3" t="str">
        <f>HYPERLINK("http://www.jccm.es/sede/tramite/KHW","SOLICITUD DE CERTIFICADO SANITARIO PARA  INTERCAMBIOS INTRACOMUNITARIOS")</f>
        <v>SOLICITUD DE CERTIFICADO SANITARIO PARA  INTERCAMBIOS INTRACOMUNITARIOS</v>
      </c>
      <c r="J1410" s="3" t="s">
        <v>42</v>
      </c>
      <c r="K1410" s="3" t="s">
        <v>41</v>
      </c>
      <c r="L1410" s="3" t="s">
        <v>42</v>
      </c>
      <c r="M1410" s="3" t="s">
        <v>41</v>
      </c>
    </row>
    <row r="1411" spans="1:13" ht="172.5">
      <c r="A1411" s="22" t="s">
        <v>9</v>
      </c>
      <c r="B1411" s="3" t="s">
        <v>4467</v>
      </c>
      <c r="C1411" s="3" t="s">
        <v>4468</v>
      </c>
      <c r="D1411" s="3" t="s">
        <v>95</v>
      </c>
      <c r="E1411" s="3" t="s">
        <v>95</v>
      </c>
      <c r="F1411" s="3" t="s">
        <v>3555</v>
      </c>
      <c r="G1411" s="3" t="s">
        <v>3566</v>
      </c>
      <c r="H1411" s="3" t="s">
        <v>4469</v>
      </c>
      <c r="I1411" s="3" t="str">
        <f>HYPERLINK("http://www.jccm.es/sede/tramite/KPL","SOLICITUD DE EMISION DE DECLARACION VETERINARIA RESPONSABLE (DVR) PARA LA EXPORTACION DE PRODUCTOS DE ORIGEN ANIMAL DESTINADOS AL CONSUMO HUMANO")</f>
        <v>SOLICITUD DE EMISION DE DECLARACION VETERINARIA RESPONSABLE (DVR) PARA LA EXPORTACION DE PRODUCTOS DE ORIGEN ANIMAL DESTINADOS AL CONSUMO HUMANO</v>
      </c>
      <c r="J1411" s="3" t="s">
        <v>42</v>
      </c>
      <c r="K1411" s="3" t="s">
        <v>41</v>
      </c>
      <c r="L1411" s="3" t="s">
        <v>42</v>
      </c>
      <c r="M1411" s="3" t="s">
        <v>41</v>
      </c>
    </row>
    <row r="1412" spans="1:13" ht="126.6">
      <c r="A1412" s="22" t="s">
        <v>9</v>
      </c>
      <c r="B1412" s="3" t="s">
        <v>4470</v>
      </c>
      <c r="C1412" s="3" t="s">
        <v>4471</v>
      </c>
      <c r="D1412" s="3" t="s">
        <v>95</v>
      </c>
      <c r="E1412" s="3" t="s">
        <v>95</v>
      </c>
      <c r="F1412" s="3" t="s">
        <v>3555</v>
      </c>
      <c r="G1412" s="3" t="s">
        <v>3566</v>
      </c>
      <c r="H1412" s="3" t="s">
        <v>4472</v>
      </c>
      <c r="I1412" s="3" t="str">
        <f>HYPERLINK("http://www.jccm.es/sede/tramite/LC0","INFORMES FITOSANITARIOS")</f>
        <v>INFORMES FITOSANITARIOS</v>
      </c>
      <c r="J1412" s="3" t="s">
        <v>42</v>
      </c>
      <c r="K1412" s="3" t="s">
        <v>41</v>
      </c>
      <c r="L1412" s="3" t="s">
        <v>42</v>
      </c>
      <c r="M1412" s="3" t="s">
        <v>41</v>
      </c>
    </row>
    <row r="1413" spans="1:13" ht="230.1">
      <c r="A1413" s="22" t="s">
        <v>9</v>
      </c>
      <c r="B1413" s="3" t="s">
        <v>4473</v>
      </c>
      <c r="C1413" s="3" t="s">
        <v>4474</v>
      </c>
      <c r="D1413" s="3" t="s">
        <v>95</v>
      </c>
      <c r="E1413" s="3" t="s">
        <v>95</v>
      </c>
      <c r="F1413" s="3" t="s">
        <v>3555</v>
      </c>
      <c r="G1413" s="3" t="s">
        <v>3616</v>
      </c>
      <c r="H1413" s="3" t="s">
        <v>4475</v>
      </c>
      <c r="I1413" s="3" t="str">
        <f>HYPERLINK("http://www.jccm.es/sede/tramite/LG6","DECLARACION RESPONSABLE INICIO DE ACTIVIDAD, BAJA Y MODIFICACION EN EL REGISTRO DE VENTA DIRECTA DE PRODUCTOS LIGADOS A LA ACTIVIDAD AGRARIA (P. PRIMARIOS) Y TRANSFORMADOS CON RGSEAA")</f>
        <v>DECLARACION RESPONSABLE INICIO DE ACTIVIDAD, BAJA Y MODIFICACION EN EL REGISTRO DE VENTA DIRECTA DE PRODUCTOS LIGADOS A LA ACTIVIDAD AGRARIA (P. PRIMARIOS) Y TRANSFORMADOS CON RGSEAA</v>
      </c>
      <c r="J1413" s="3" t="s">
        <v>42</v>
      </c>
      <c r="K1413" s="3" t="s">
        <v>41</v>
      </c>
      <c r="L1413" s="3" t="s">
        <v>42</v>
      </c>
      <c r="M1413" s="3" t="s">
        <v>41</v>
      </c>
    </row>
    <row r="1414" spans="1:13" ht="114.95">
      <c r="A1414" s="22" t="s">
        <v>9</v>
      </c>
      <c r="B1414" s="3" t="s">
        <v>4476</v>
      </c>
      <c r="C1414" s="3" t="s">
        <v>4477</v>
      </c>
      <c r="D1414" s="3" t="s">
        <v>45</v>
      </c>
      <c r="E1414" s="3" t="s">
        <v>37</v>
      </c>
      <c r="F1414" s="3" t="s">
        <v>3555</v>
      </c>
      <c r="G1414" s="3" t="s">
        <v>3556</v>
      </c>
      <c r="H1414" s="3" t="s">
        <v>4478</v>
      </c>
      <c r="I1414" s="3" t="str">
        <f>HYPERLINK("http://www.jccm.es/sede/tramite/LPF","CERTIFICADO DE EXCLUSION DE FINCAS EN CONCENTRACION PARCELARIA Y/O ZONA REGABLE")</f>
        <v>CERTIFICADO DE EXCLUSION DE FINCAS EN CONCENTRACION PARCELARIA Y/O ZONA REGABLE</v>
      </c>
      <c r="J1414" s="3" t="s">
        <v>42</v>
      </c>
      <c r="K1414" s="3" t="s">
        <v>41</v>
      </c>
      <c r="L1414" s="3" t="s">
        <v>42</v>
      </c>
      <c r="M1414" s="3" t="s">
        <v>41</v>
      </c>
    </row>
    <row r="1415" spans="1:13" ht="126.6">
      <c r="A1415" s="22" t="s">
        <v>9</v>
      </c>
      <c r="B1415" s="3" t="s">
        <v>4479</v>
      </c>
      <c r="C1415" s="3" t="s">
        <v>4480</v>
      </c>
      <c r="D1415" s="3" t="s">
        <v>45</v>
      </c>
      <c r="E1415" s="3" t="s">
        <v>46</v>
      </c>
      <c r="F1415" s="3" t="s">
        <v>3555</v>
      </c>
      <c r="G1415" s="3" t="s">
        <v>3566</v>
      </c>
      <c r="H1415" s="3" t="s">
        <v>4481</v>
      </c>
      <c r="I1415" s="3" t="str">
        <f>HYPERLINK("http://www.jccm.es/sede/tramite/LQ8","CERTIFICADO DE RENTA AGRARIA PARA LA OBTENCION DE FINANCIACION PREFERENTE")</f>
        <v>CERTIFICADO DE RENTA AGRARIA PARA LA OBTENCION DE FINANCIACION PREFERENTE</v>
      </c>
      <c r="J1415" s="3" t="s">
        <v>42</v>
      </c>
      <c r="K1415" s="3" t="s">
        <v>41</v>
      </c>
      <c r="L1415" s="3" t="s">
        <v>42</v>
      </c>
      <c r="M1415" s="3" t="s">
        <v>41</v>
      </c>
    </row>
    <row r="1416" spans="1:13" ht="138">
      <c r="A1416" s="22" t="s">
        <v>9</v>
      </c>
      <c r="B1416" s="3" t="s">
        <v>4482</v>
      </c>
      <c r="C1416" s="3" t="s">
        <v>4483</v>
      </c>
      <c r="D1416" s="3" t="s">
        <v>45</v>
      </c>
      <c r="E1416" s="3" t="s">
        <v>37</v>
      </c>
      <c r="F1416" s="3" t="s">
        <v>3555</v>
      </c>
      <c r="G1416" s="3" t="s">
        <v>3555</v>
      </c>
      <c r="H1416" s="3" t="s">
        <v>4484</v>
      </c>
      <c r="I1416" s="3" t="str">
        <f>HYPERLINK("http://www.jccm.es/sede/tramite/LRJ","EXPEDICION DE CERTIFICADO DE CAPACITACION DEL PERSONAL QUE UTILICE ANIMALES CON FINES EXPERIMENTALES")</f>
        <v>EXPEDICION DE CERTIFICADO DE CAPACITACION DEL PERSONAL QUE UTILICE ANIMALES CON FINES EXPERIMENTALES</v>
      </c>
      <c r="J1416" s="3" t="s">
        <v>42</v>
      </c>
      <c r="K1416" s="3" t="s">
        <v>41</v>
      </c>
      <c r="L1416" s="3" t="s">
        <v>42</v>
      </c>
      <c r="M1416" s="3" t="s">
        <v>41</v>
      </c>
    </row>
    <row r="1417" spans="1:13" ht="161.1">
      <c r="A1417" s="22" t="s">
        <v>9</v>
      </c>
      <c r="B1417" s="3" t="s">
        <v>4485</v>
      </c>
      <c r="C1417" s="3" t="s">
        <v>4486</v>
      </c>
      <c r="D1417" s="3" t="s">
        <v>327</v>
      </c>
      <c r="E1417" s="3" t="s">
        <v>37</v>
      </c>
      <c r="F1417" s="3" t="s">
        <v>3555</v>
      </c>
      <c r="G1417" s="3" t="s">
        <v>3555</v>
      </c>
      <c r="H1417" s="3" t="s">
        <v>4487</v>
      </c>
      <c r="I1417" s="3" t="str">
        <f>HYPERLINK("http://www.jccm.es/sede/tramite/LYY","SOLICITUD DE CERTIFICADOS/DOCUMENTACION DEL REGISTRO DE SOCIEDADES AGRARIAS DE TRANSFORMACION (S.A.T.)")</f>
        <v>SOLICITUD DE CERTIFICADOS/DOCUMENTACION DEL REGISTRO DE SOCIEDADES AGRARIAS DE TRANSFORMACION (S.A.T.)</v>
      </c>
      <c r="J1417" s="3" t="s">
        <v>42</v>
      </c>
      <c r="K1417" s="3" t="s">
        <v>41</v>
      </c>
      <c r="L1417" s="3" t="s">
        <v>42</v>
      </c>
      <c r="M1417" s="3" t="s">
        <v>41</v>
      </c>
    </row>
    <row r="1418" spans="1:13" ht="149.44999999999999">
      <c r="A1418" s="22" t="s">
        <v>9</v>
      </c>
      <c r="B1418" s="3" t="s">
        <v>4488</v>
      </c>
      <c r="C1418" s="3" t="s">
        <v>4489</v>
      </c>
      <c r="D1418" s="3" t="s">
        <v>51</v>
      </c>
      <c r="E1418" s="3" t="s">
        <v>37</v>
      </c>
      <c r="F1418" s="3" t="s">
        <v>3555</v>
      </c>
      <c r="G1418" s="3" t="s">
        <v>3566</v>
      </c>
      <c r="H1418" s="3" t="s">
        <v>4490</v>
      </c>
      <c r="I1418" s="3" t="str">
        <f>HYPERLINK("http://www.jccm.es/sede/tramite/G48","SOLICITUD DE RECONOCIMIENTO E INSCRIPCION EN EL REGISTRO REGIONAL DE AGRUPACION DE DEFENSA SANITARIA GANADERA")</f>
        <v>SOLICITUD DE RECONOCIMIENTO E INSCRIPCION EN EL REGISTRO REGIONAL DE AGRUPACION DE DEFENSA SANITARIA GANADERA</v>
      </c>
      <c r="J1418" s="3" t="s">
        <v>42</v>
      </c>
      <c r="K1418" s="3" t="s">
        <v>41</v>
      </c>
      <c r="L1418" s="3" t="s">
        <v>42</v>
      </c>
      <c r="M1418" s="3" t="s">
        <v>41</v>
      </c>
    </row>
    <row r="1419" spans="1:13" ht="126.6">
      <c r="A1419" s="22" t="s">
        <v>9</v>
      </c>
      <c r="B1419" s="3" t="s">
        <v>4491</v>
      </c>
      <c r="C1419" s="3" t="s">
        <v>4492</v>
      </c>
      <c r="D1419" s="3" t="s">
        <v>51</v>
      </c>
      <c r="E1419" s="3" t="s">
        <v>37</v>
      </c>
      <c r="F1419" s="3" t="s">
        <v>3555</v>
      </c>
      <c r="G1419" s="3" t="s">
        <v>3566</v>
      </c>
      <c r="H1419" s="3" t="s">
        <v>4493</v>
      </c>
      <c r="I1419" s="3" t="str">
        <f>HYPERLINK("http://www.jccm.es/sede/tramite/L6O","SOLICITUD DE FUSION DE AGRUPACIONES DE DEFENSA SANITARIA GANADERA")</f>
        <v>SOLICITUD DE FUSION DE AGRUPACIONES DE DEFENSA SANITARIA GANADERA</v>
      </c>
      <c r="J1419" s="3" t="s">
        <v>41</v>
      </c>
      <c r="K1419" s="3" t="s">
        <v>41</v>
      </c>
      <c r="L1419" s="3" t="s">
        <v>42</v>
      </c>
      <c r="M1419" s="3" t="s">
        <v>41</v>
      </c>
    </row>
    <row r="1420" spans="1:13" ht="138">
      <c r="A1420" s="22" t="s">
        <v>9</v>
      </c>
      <c r="B1420" s="3" t="s">
        <v>4494</v>
      </c>
      <c r="C1420" s="3" t="s">
        <v>4495</v>
      </c>
      <c r="D1420" s="3" t="s">
        <v>45</v>
      </c>
      <c r="E1420" s="3" t="s">
        <v>37</v>
      </c>
      <c r="F1420" s="3" t="s">
        <v>3555</v>
      </c>
      <c r="G1420" s="3" t="s">
        <v>3566</v>
      </c>
      <c r="H1420" s="3" t="s">
        <v>4496</v>
      </c>
      <c r="I1420" s="3" t="str">
        <f>HYPERLINK("http://www.jccm.es/sede/tramite/IFY","SOLICITUD DE RECONOCIMIENTO Y REGISTRO DE LAS AGRUPACIONES DE SANIDAD VEGETAL EN CASTILLA-LA MANCHA")</f>
        <v>SOLICITUD DE RECONOCIMIENTO Y REGISTRO DE LAS AGRUPACIONES DE SANIDAD VEGETAL EN CASTILLA-LA MANCHA</v>
      </c>
      <c r="J1420" s="3" t="s">
        <v>41</v>
      </c>
      <c r="K1420" s="3" t="s">
        <v>41</v>
      </c>
      <c r="L1420" s="3" t="s">
        <v>42</v>
      </c>
      <c r="M1420" s="3" t="s">
        <v>41</v>
      </c>
    </row>
    <row r="1421" spans="1:13" ht="126.6">
      <c r="A1421" s="22" t="s">
        <v>9</v>
      </c>
      <c r="B1421" s="3" t="s">
        <v>4497</v>
      </c>
      <c r="C1421" s="3" t="s">
        <v>4498</v>
      </c>
      <c r="D1421" s="3" t="s">
        <v>45</v>
      </c>
      <c r="E1421" s="3" t="s">
        <v>37</v>
      </c>
      <c r="F1421" s="3" t="s">
        <v>3555</v>
      </c>
      <c r="G1421" s="3" t="s">
        <v>3566</v>
      </c>
      <c r="H1421" s="3" t="s">
        <v>4499</v>
      </c>
      <c r="I1421" s="3" t="str">
        <f>HYPERLINK("http://www.jccm.es/sede/tramite/KFT","TRANSFERENCIA DE RECONOCIMIENTO DE LAS AGRUPACIONES DE SANIDAD VEGETAL EN CASTILLA-LA MANCHA")</f>
        <v>TRANSFERENCIA DE RECONOCIMIENTO DE LAS AGRUPACIONES DE SANIDAD VEGETAL EN CASTILLA-LA MANCHA</v>
      </c>
      <c r="J1421" s="3" t="s">
        <v>41</v>
      </c>
      <c r="K1421" s="3" t="s">
        <v>41</v>
      </c>
      <c r="L1421" s="3" t="s">
        <v>42</v>
      </c>
      <c r="M1421" s="3" t="s">
        <v>41</v>
      </c>
    </row>
    <row r="1422" spans="1:13" ht="126.6">
      <c r="A1422" s="22" t="s">
        <v>9</v>
      </c>
      <c r="B1422" s="3" t="s">
        <v>4500</v>
      </c>
      <c r="C1422" s="3" t="s">
        <v>4501</v>
      </c>
      <c r="D1422" s="3" t="s">
        <v>45</v>
      </c>
      <c r="E1422" s="3" t="s">
        <v>37</v>
      </c>
      <c r="F1422" s="3" t="s">
        <v>3555</v>
      </c>
      <c r="G1422" s="3" t="s">
        <v>3566</v>
      </c>
      <c r="H1422" s="3" t="s">
        <v>4502</v>
      </c>
      <c r="I1422" s="3" t="str">
        <f>HYPERLINK("http://www.jccm.es/sede/tramite/KFS","MODIFICACION DE RECONOCIMIENTO DE LAS AGRUPACIONES DE SANIDAD VEGETAL EN CASTILLA-LA MANCHA")</f>
        <v>MODIFICACION DE RECONOCIMIENTO DE LAS AGRUPACIONES DE SANIDAD VEGETAL EN CASTILLA-LA MANCHA</v>
      </c>
      <c r="J1422" s="3" t="s">
        <v>41</v>
      </c>
      <c r="K1422" s="3" t="s">
        <v>41</v>
      </c>
      <c r="L1422" s="3" t="s">
        <v>42</v>
      </c>
      <c r="M1422" s="3" t="s">
        <v>41</v>
      </c>
    </row>
    <row r="1423" spans="1:13" ht="126.6">
      <c r="A1423" s="22" t="s">
        <v>9</v>
      </c>
      <c r="B1423" s="3" t="s">
        <v>4503</v>
      </c>
      <c r="C1423" s="3" t="s">
        <v>4504</v>
      </c>
      <c r="D1423" s="3" t="s">
        <v>95</v>
      </c>
      <c r="E1423" s="3" t="s">
        <v>95</v>
      </c>
      <c r="F1423" s="3" t="s">
        <v>3555</v>
      </c>
      <c r="G1423" s="3" t="s">
        <v>3566</v>
      </c>
      <c r="H1423" s="3" t="s">
        <v>4505</v>
      </c>
      <c r="I1423" s="3" t="str">
        <f>HYPERLINK("http://www.jccm.es/sede/tramite/K2I","DECLARACIONES DE COSECHA DE PARCELAS ILEGALES.")</f>
        <v>DECLARACIONES DE COSECHA DE PARCELAS ILEGALES.</v>
      </c>
      <c r="J1423" s="3" t="s">
        <v>41</v>
      </c>
      <c r="K1423" s="3" t="s">
        <v>41</v>
      </c>
      <c r="L1423" s="3" t="s">
        <v>42</v>
      </c>
      <c r="M1423" s="3" t="s">
        <v>41</v>
      </c>
    </row>
    <row r="1424" spans="1:13" ht="126.6">
      <c r="A1424" s="22" t="s">
        <v>9</v>
      </c>
      <c r="B1424" s="3" t="s">
        <v>4506</v>
      </c>
      <c r="C1424" s="3" t="s">
        <v>4507</v>
      </c>
      <c r="D1424" s="3" t="s">
        <v>95</v>
      </c>
      <c r="E1424" s="3" t="s">
        <v>95</v>
      </c>
      <c r="F1424" s="3" t="s">
        <v>3555</v>
      </c>
      <c r="G1424" s="3" t="s">
        <v>3566</v>
      </c>
      <c r="H1424" s="3" t="s">
        <v>4508</v>
      </c>
      <c r="I1424" s="3" t="str">
        <f>HYPERLINK("http://www.jccm.es/sede/tramite/K2K","DECLARACION DE NO VENDIMINA")</f>
        <v>DECLARACION DE NO VENDIMINA</v>
      </c>
      <c r="J1424" s="3" t="s">
        <v>42</v>
      </c>
      <c r="K1424" s="3" t="s">
        <v>41</v>
      </c>
      <c r="L1424" s="3" t="s">
        <v>42</v>
      </c>
      <c r="M1424" s="3" t="s">
        <v>41</v>
      </c>
    </row>
    <row r="1425" spans="1:13" ht="126.6">
      <c r="A1425" s="22" t="s">
        <v>9</v>
      </c>
      <c r="B1425" s="3" t="s">
        <v>4509</v>
      </c>
      <c r="C1425" s="3" t="s">
        <v>4510</v>
      </c>
      <c r="D1425" s="3" t="s">
        <v>95</v>
      </c>
      <c r="E1425" s="3" t="s">
        <v>95</v>
      </c>
      <c r="F1425" s="3" t="s">
        <v>3555</v>
      </c>
      <c r="G1425" s="3" t="s">
        <v>3566</v>
      </c>
      <c r="H1425" s="3" t="s">
        <v>4511</v>
      </c>
      <c r="I1425" s="3" t="str">
        <f>HYPERLINK("http://www.jccm.es/sede/tramite/K2J","CERTIFICADO DE DESTILACION")</f>
        <v>CERTIFICADO DE DESTILACION</v>
      </c>
      <c r="J1425" s="3" t="s">
        <v>42</v>
      </c>
      <c r="K1425" s="3" t="s">
        <v>41</v>
      </c>
      <c r="L1425" s="3" t="s">
        <v>42</v>
      </c>
      <c r="M1425" s="3" t="s">
        <v>41</v>
      </c>
    </row>
    <row r="1426" spans="1:13" ht="126.6">
      <c r="A1426" s="22" t="s">
        <v>9</v>
      </c>
      <c r="B1426" s="3" t="s">
        <v>4512</v>
      </c>
      <c r="C1426" s="3" t="s">
        <v>4513</v>
      </c>
      <c r="D1426" s="3" t="s">
        <v>95</v>
      </c>
      <c r="E1426" s="3" t="s">
        <v>95</v>
      </c>
      <c r="F1426" s="3" t="s">
        <v>3555</v>
      </c>
      <c r="G1426" s="3" t="s">
        <v>3566</v>
      </c>
      <c r="H1426" s="3" t="s">
        <v>4514</v>
      </c>
      <c r="I1426" s="3" t="str">
        <f>HYPERLINK("http://www.jccm.es/sede/tramite/JIK","DECLARACION DE COSECHA DE UVA Y DECLARACION DE COSECHA POR PARCELA.")</f>
        <v>DECLARACION DE COSECHA DE UVA Y DECLARACION DE COSECHA POR PARCELA.</v>
      </c>
      <c r="J1426" s="3" t="s">
        <v>41</v>
      </c>
      <c r="K1426" s="3" t="s">
        <v>41</v>
      </c>
      <c r="L1426" s="3" t="s">
        <v>42</v>
      </c>
      <c r="M1426" s="3" t="s">
        <v>41</v>
      </c>
    </row>
    <row r="1427" spans="1:13" ht="126.6">
      <c r="A1427" s="22" t="s">
        <v>9</v>
      </c>
      <c r="B1427" s="3" t="s">
        <v>4515</v>
      </c>
      <c r="C1427" s="3" t="s">
        <v>4516</v>
      </c>
      <c r="D1427" s="3" t="s">
        <v>95</v>
      </c>
      <c r="E1427" s="3" t="s">
        <v>95</v>
      </c>
      <c r="F1427" s="3" t="s">
        <v>3555</v>
      </c>
      <c r="G1427" s="3" t="s">
        <v>3616</v>
      </c>
      <c r="H1427" s="3" t="s">
        <v>4517</v>
      </c>
      <c r="I1427" s="3" t="str">
        <f>HYPERLINK("http://www.jccm.es/sede/tramite/JIN","RELACION DE PROVEEDORES Y JUSTIFICANTE DE COMPRA-VENTA DE PRODUCTOS VITIVINICOLAS")</f>
        <v>RELACION DE PROVEEDORES Y JUSTIFICANTE DE COMPRA-VENTA DE PRODUCTOS VITIVINICOLAS</v>
      </c>
      <c r="J1427" s="3" t="s">
        <v>41</v>
      </c>
      <c r="K1427" s="3" t="s">
        <v>41</v>
      </c>
      <c r="L1427" s="3" t="s">
        <v>42</v>
      </c>
      <c r="M1427" s="3" t="s">
        <v>41</v>
      </c>
    </row>
    <row r="1428" spans="1:13" ht="172.5">
      <c r="A1428" s="22" t="s">
        <v>9</v>
      </c>
      <c r="B1428" s="3" t="s">
        <v>4518</v>
      </c>
      <c r="C1428" s="3" t="s">
        <v>4519</v>
      </c>
      <c r="D1428" s="3" t="s">
        <v>327</v>
      </c>
      <c r="E1428" s="3" t="s">
        <v>46</v>
      </c>
      <c r="F1428" s="3" t="s">
        <v>3555</v>
      </c>
      <c r="G1428" s="3" t="s">
        <v>3566</v>
      </c>
      <c r="H1428" s="3" t="s">
        <v>4520</v>
      </c>
      <c r="I1428" s="3" t="str">
        <f>HYPERLINK("http://www.jccm.es/sede/tramite/JWL","CALIFICACION SANITARIA DE LAS EXPLOTACIONES DE GANADO BOVINO, OVINO, CAPRINO Y PORCINO EN LA COMUNIDAD AUTONOMA DE CASTILLA-LA MANCHA.")</f>
        <v>CALIFICACION SANITARIA DE LAS EXPLOTACIONES DE GANADO BOVINO, OVINO, CAPRINO Y PORCINO EN LA COMUNIDAD AUTONOMA DE CASTILLA-LA MANCHA.</v>
      </c>
      <c r="J1428" s="3" t="s">
        <v>42</v>
      </c>
      <c r="K1428" s="3" t="s">
        <v>41</v>
      </c>
      <c r="L1428" s="3" t="s">
        <v>41</v>
      </c>
      <c r="M1428" s="3" t="s">
        <v>41</v>
      </c>
    </row>
    <row r="1429" spans="1:13" ht="149.44999999999999">
      <c r="A1429" s="22" t="s">
        <v>9</v>
      </c>
      <c r="B1429" s="3" t="s">
        <v>4521</v>
      </c>
      <c r="C1429" s="3" t="s">
        <v>4522</v>
      </c>
      <c r="D1429" s="3" t="s">
        <v>327</v>
      </c>
      <c r="E1429" s="3" t="s">
        <v>46</v>
      </c>
      <c r="F1429" s="3" t="s">
        <v>3555</v>
      </c>
      <c r="G1429" s="3" t="s">
        <v>3566</v>
      </c>
      <c r="H1429" s="3" t="s">
        <v>4523</v>
      </c>
      <c r="I1429" s="3" t="str">
        <f>HYPERLINK("http://www.jccm.es/sede/tramite/953","CALIFICACION SANITARIA FRENTE A LA BRUCELOSIS BOVINA EN EXPLOTACIONES DE ENGORDE EN LA COMUNIDAD AUTONOMA DE CASTILLA-LA MANCHA")</f>
        <v>CALIFICACION SANITARIA FRENTE A LA BRUCELOSIS BOVINA EN EXPLOTACIONES DE ENGORDE EN LA COMUNIDAD AUTONOMA DE CASTILLA-LA MANCHA</v>
      </c>
      <c r="J1429" s="3" t="s">
        <v>42</v>
      </c>
      <c r="K1429" s="3" t="s">
        <v>41</v>
      </c>
      <c r="L1429" s="3" t="s">
        <v>42</v>
      </c>
      <c r="M1429" s="3" t="s">
        <v>41</v>
      </c>
    </row>
    <row r="1430" spans="1:13" ht="161.1">
      <c r="A1430" s="22" t="s">
        <v>9</v>
      </c>
      <c r="B1430" s="3" t="s">
        <v>4524</v>
      </c>
      <c r="C1430" s="3" t="s">
        <v>4525</v>
      </c>
      <c r="D1430" s="3" t="s">
        <v>327</v>
      </c>
      <c r="E1430" s="3" t="s">
        <v>46</v>
      </c>
      <c r="F1430" s="3" t="s">
        <v>3555</v>
      </c>
      <c r="G1430" s="3" t="s">
        <v>3566</v>
      </c>
      <c r="H1430" s="3" t="s">
        <v>4526</v>
      </c>
      <c r="I1430" s="3" t="str">
        <f>HYPERLINK("http://www.jccm.es/sede/tramite/K1N","CALIFICACION SANITARIA FRENTE A TUBERCULOSIS BOVINA EN EXPLOTACIONES DE ENGORDE EN LA COMUNIDAD AUTONOMA DE CASTILLA-LA MANCHA.")</f>
        <v>CALIFICACION SANITARIA FRENTE A TUBERCULOSIS BOVINA EN EXPLOTACIONES DE ENGORDE EN LA COMUNIDAD AUTONOMA DE CASTILLA-LA MANCHA.</v>
      </c>
      <c r="J1430" s="3" t="s">
        <v>42</v>
      </c>
      <c r="K1430" s="3" t="s">
        <v>41</v>
      </c>
      <c r="L1430" s="3" t="s">
        <v>42</v>
      </c>
      <c r="M1430" s="3" t="s">
        <v>41</v>
      </c>
    </row>
    <row r="1431" spans="1:13" ht="161.1">
      <c r="A1431" s="22" t="s">
        <v>9</v>
      </c>
      <c r="B1431" s="3" t="s">
        <v>4527</v>
      </c>
      <c r="C1431" s="3" t="s">
        <v>4528</v>
      </c>
      <c r="D1431" s="3" t="s">
        <v>327</v>
      </c>
      <c r="E1431" s="3" t="s">
        <v>46</v>
      </c>
      <c r="F1431" s="3" t="s">
        <v>3555</v>
      </c>
      <c r="G1431" s="3" t="s">
        <v>3566</v>
      </c>
      <c r="H1431" s="3" t="s">
        <v>4529</v>
      </c>
      <c r="I1431" s="3" t="str">
        <f>HYPERLINK("http://www.jccm.es/sede/tramite/K22","CALIFICACION SANITARIA FRENTE A BRUCELOSIS OVINA/CAPRINA EN EXPLOTACIONES DE ENGORDE EN LA COMUNIDAD AUTONOMA DE CASTILLA-LA MANCHA.")</f>
        <v>CALIFICACION SANITARIA FRENTE A BRUCELOSIS OVINA/CAPRINA EN EXPLOTACIONES DE ENGORDE EN LA COMUNIDAD AUTONOMA DE CASTILLA-LA MANCHA.</v>
      </c>
      <c r="J1431" s="3" t="s">
        <v>42</v>
      </c>
      <c r="K1431" s="3" t="s">
        <v>41</v>
      </c>
      <c r="L1431" s="3" t="s">
        <v>42</v>
      </c>
      <c r="M1431" s="3" t="s">
        <v>41</v>
      </c>
    </row>
    <row r="1432" spans="1:13" ht="114.95">
      <c r="A1432" s="22" t="s">
        <v>9</v>
      </c>
      <c r="B1432" s="3" t="s">
        <v>4530</v>
      </c>
      <c r="C1432" s="3" t="s">
        <v>4531</v>
      </c>
      <c r="D1432" s="3" t="s">
        <v>95</v>
      </c>
      <c r="E1432" s="3" t="s">
        <v>95</v>
      </c>
      <c r="F1432" s="3" t="s">
        <v>3555</v>
      </c>
      <c r="G1432" s="3" t="s">
        <v>3616</v>
      </c>
      <c r="H1432" s="3" t="s">
        <v>4532</v>
      </c>
      <c r="I1432" s="3" t="str">
        <f>HYPERLINK("http://www.jccm.es/sede/tramite/LJM","DOCUMENTO DE ACOMPAÑAMIENTO PRODUCTOS VITIVINICOLAS.")</f>
        <v>DOCUMENTO DE ACOMPAÑAMIENTO PRODUCTOS VITIVINICOLAS.</v>
      </c>
      <c r="J1432" s="3" t="s">
        <v>41</v>
      </c>
      <c r="K1432" s="3" t="s">
        <v>41</v>
      </c>
      <c r="L1432" s="3" t="s">
        <v>42</v>
      </c>
      <c r="M1432" s="3" t="s">
        <v>41</v>
      </c>
    </row>
    <row r="1433" spans="1:13" ht="114.95">
      <c r="A1433" s="22" t="s">
        <v>9</v>
      </c>
      <c r="B1433" s="3" t="s">
        <v>4533</v>
      </c>
      <c r="C1433" s="3" t="s">
        <v>4534</v>
      </c>
      <c r="D1433" s="3" t="s">
        <v>95</v>
      </c>
      <c r="E1433" s="3" t="s">
        <v>95</v>
      </c>
      <c r="F1433" s="3" t="s">
        <v>3555</v>
      </c>
      <c r="G1433" s="3" t="s">
        <v>3616</v>
      </c>
      <c r="H1433" s="3" t="s">
        <v>4535</v>
      </c>
      <c r="I1433" s="3" t="str">
        <f>HYPERLINK("http://www.jccm.es/sede/tramite/K2H","SOLICITUD ALTA DE LA TASA EN GELIBO WEB")</f>
        <v>SOLICITUD ALTA DE LA TASA EN GELIBO WEB</v>
      </c>
      <c r="J1433" s="3" t="s">
        <v>42</v>
      </c>
      <c r="K1433" s="3" t="s">
        <v>41</v>
      </c>
      <c r="L1433" s="3" t="s">
        <v>42</v>
      </c>
      <c r="M1433" s="3" t="s">
        <v>41</v>
      </c>
    </row>
    <row r="1434" spans="1:13" ht="114.95">
      <c r="A1434" s="22" t="s">
        <v>9</v>
      </c>
      <c r="B1434" s="3" t="s">
        <v>4536</v>
      </c>
      <c r="C1434" s="3" t="s">
        <v>4537</v>
      </c>
      <c r="D1434" s="3" t="s">
        <v>51</v>
      </c>
      <c r="E1434" s="3" t="s">
        <v>37</v>
      </c>
      <c r="F1434" s="3" t="s">
        <v>3555</v>
      </c>
      <c r="G1434" s="3" t="s">
        <v>3556</v>
      </c>
      <c r="H1434" s="3" t="s">
        <v>4538</v>
      </c>
      <c r="I1434" s="3" t="str">
        <f>HYPERLINK("http://www.jccm.es/sede/tramite/J5K","INFORME PREVIO DE SUBVENCIONALIDAD LEADER 2014/2020")</f>
        <v>INFORME PREVIO DE SUBVENCIONALIDAD LEADER 2014/2020</v>
      </c>
      <c r="J1434" s="3" t="s">
        <v>41</v>
      </c>
      <c r="K1434" s="3" t="s">
        <v>41</v>
      </c>
      <c r="L1434" s="3" t="s">
        <v>42</v>
      </c>
      <c r="M1434" s="3" t="s">
        <v>41</v>
      </c>
    </row>
    <row r="1435" spans="1:13" ht="126.6">
      <c r="A1435" s="22" t="s">
        <v>9</v>
      </c>
      <c r="B1435" s="3" t="s">
        <v>4539</v>
      </c>
      <c r="C1435" s="3" t="s">
        <v>4540</v>
      </c>
      <c r="D1435" s="3" t="s">
        <v>95</v>
      </c>
      <c r="E1435" s="3" t="s">
        <v>95</v>
      </c>
      <c r="F1435" s="3" t="s">
        <v>3555</v>
      </c>
      <c r="G1435" s="3" t="s">
        <v>3566</v>
      </c>
      <c r="H1435" s="3" t="s">
        <v>4541</v>
      </c>
      <c r="I1435" s="3" t="str">
        <f>HYPERLINK("http://www.jccm.es/sede/tramite/K5P","DECLARACION DE ACCIONES")</f>
        <v>DECLARACION DE ACCIONES</v>
      </c>
      <c r="J1435" s="3" t="s">
        <v>41</v>
      </c>
      <c r="K1435" s="3" t="s">
        <v>41</v>
      </c>
      <c r="L1435" s="3" t="s">
        <v>42</v>
      </c>
      <c r="M1435" s="3" t="s">
        <v>41</v>
      </c>
    </row>
    <row r="1436" spans="1:13" ht="126.6">
      <c r="A1436" s="22" t="s">
        <v>9</v>
      </c>
      <c r="B1436" s="3" t="s">
        <v>4542</v>
      </c>
      <c r="C1436" s="3" t="s">
        <v>4543</v>
      </c>
      <c r="D1436" s="3" t="s">
        <v>95</v>
      </c>
      <c r="E1436" s="3" t="s">
        <v>95</v>
      </c>
      <c r="F1436" s="3" t="s">
        <v>3555</v>
      </c>
      <c r="G1436" s="3" t="s">
        <v>3566</v>
      </c>
      <c r="H1436" s="3" t="s">
        <v>4544</v>
      </c>
      <c r="I1436" s="3" t="str">
        <f>HYPERLINK("http://www.jccm.es/sede/tramite/K5R","DECLARACION DE PLANTACION")</f>
        <v>DECLARACION DE PLANTACION</v>
      </c>
      <c r="J1436" s="3" t="s">
        <v>41</v>
      </c>
      <c r="K1436" s="3" t="s">
        <v>41</v>
      </c>
      <c r="L1436" s="3" t="s">
        <v>42</v>
      </c>
      <c r="M1436" s="3" t="s">
        <v>41</v>
      </c>
    </row>
    <row r="1437" spans="1:13" ht="114.95">
      <c r="A1437" s="22" t="s">
        <v>9</v>
      </c>
      <c r="B1437" s="3" t="s">
        <v>4545</v>
      </c>
      <c r="C1437" s="3" t="s">
        <v>4546</v>
      </c>
      <c r="D1437" s="3" t="s">
        <v>95</v>
      </c>
      <c r="E1437" s="3" t="s">
        <v>95</v>
      </c>
      <c r="F1437" s="3" t="s">
        <v>3555</v>
      </c>
      <c r="G1437" s="3" t="s">
        <v>3616</v>
      </c>
      <c r="H1437" s="3" t="s">
        <v>4547</v>
      </c>
      <c r="I1437" s="3" t="str">
        <f>HYPERLINK("http://www.jccm.es/sede/tramite/K8J","PRESTACION DEL SERVICIO ANALITICO POR EL LABORATORIO REGIONAL AGROALIMENTARIO Y AMBIENTAL DE CASTILLA-LA MANCHA.")</f>
        <v>PRESTACION DEL SERVICIO ANALITICO POR EL LABORATORIO REGIONAL AGROALIMENTARIO Y AMBIENTAL DE CASTILLA-LA MANCHA.</v>
      </c>
      <c r="J1437" s="3" t="s">
        <v>42</v>
      </c>
      <c r="K1437" s="3" t="s">
        <v>41</v>
      </c>
      <c r="L1437" s="3" t="s">
        <v>42</v>
      </c>
      <c r="M1437" s="3" t="s">
        <v>41</v>
      </c>
    </row>
    <row r="1438" spans="1:13" ht="138">
      <c r="A1438" s="22" t="s">
        <v>9</v>
      </c>
      <c r="B1438" s="3" t="s">
        <v>4548</v>
      </c>
      <c r="C1438" s="3" t="s">
        <v>4549</v>
      </c>
      <c r="D1438" s="3" t="s">
        <v>4550</v>
      </c>
      <c r="E1438" s="3" t="s">
        <v>46</v>
      </c>
      <c r="F1438" s="3" t="s">
        <v>3555</v>
      </c>
      <c r="G1438" s="3" t="s">
        <v>3643</v>
      </c>
      <c r="H1438" s="3" t="s">
        <v>4551</v>
      </c>
      <c r="I1438" s="3" t="str">
        <f>HYPERLINK("http://www.jccm.es/sede/tramite/LTI","PROCEDIMIENTO DE RESPONSABILIDAD PATRIMONIAL CONSEJERIA DE AGRICULTURA, AGUA Y DESARROLLO RURAL")</f>
        <v>PROCEDIMIENTO DE RESPONSABILIDAD PATRIMONIAL CONSEJERIA DE AGRICULTURA, AGUA Y DESARROLLO RURAL</v>
      </c>
      <c r="J1438" s="3" t="s">
        <v>42</v>
      </c>
      <c r="K1438" s="3" t="s">
        <v>41</v>
      </c>
      <c r="L1438" s="3" t="s">
        <v>42</v>
      </c>
      <c r="M1438" s="3" t="s">
        <v>41</v>
      </c>
    </row>
    <row r="1439" spans="1:13" ht="183.95">
      <c r="A1439" s="22" t="s">
        <v>9</v>
      </c>
      <c r="B1439" s="3" t="s">
        <v>4552</v>
      </c>
      <c r="C1439" s="3" t="s">
        <v>4553</v>
      </c>
      <c r="D1439" s="3" t="s">
        <v>2140</v>
      </c>
      <c r="E1439" s="3" t="s">
        <v>37</v>
      </c>
      <c r="F1439" s="3" t="s">
        <v>3555</v>
      </c>
      <c r="G1439" s="3" t="s">
        <v>3566</v>
      </c>
      <c r="H1439" s="3" t="s">
        <v>4554</v>
      </c>
      <c r="I1439" s="3" t="str">
        <f>HYPERLINK("http://www.jccm.es/sede/tramite/LFH","SELECCION DE ENTIDADES COLABORADORAS PARA LA GESTION DEL POTENCIAL VITICOLA.")</f>
        <v>SELECCION DE ENTIDADES COLABORADORAS PARA LA GESTION DEL POTENCIAL VITICOLA.</v>
      </c>
      <c r="J1439" s="3" t="s">
        <v>41</v>
      </c>
      <c r="K1439" s="3" t="s">
        <v>41</v>
      </c>
      <c r="L1439" s="3" t="s">
        <v>42</v>
      </c>
      <c r="M1439" s="3" t="s">
        <v>41</v>
      </c>
    </row>
    <row r="1440" spans="1:13" ht="230.1">
      <c r="A1440" s="22" t="s">
        <v>9</v>
      </c>
      <c r="B1440" s="3" t="s">
        <v>4555</v>
      </c>
      <c r="C1440" s="3" t="s">
        <v>4556</v>
      </c>
      <c r="D1440" s="3" t="s">
        <v>374</v>
      </c>
      <c r="E1440" s="3" t="s">
        <v>95</v>
      </c>
      <c r="F1440" s="3" t="s">
        <v>3555</v>
      </c>
      <c r="G1440" s="3" t="s">
        <v>3643</v>
      </c>
      <c r="H1440" s="3" t="s">
        <v>4557</v>
      </c>
      <c r="I1440" s="3" t="str">
        <f>HYPERLINK("http://www.jccm.es/sede/tramite/LHQ","RECONOCIMIENTO DE ENTIDADES AGRARIAS DE COLABORACION EN EL AMBITO DE LA SOLICITUD UNICA Y EN EL AMBITO DE AYUDAS A LA CREACION E INVERSION EN EXPLOTACIONES AGRARIAS")</f>
        <v>RECONOCIMIENTO DE ENTIDADES AGRARIAS DE COLABORACION EN EL AMBITO DE LA SOLICITUD UNICA Y EN EL AMBITO DE AYUDAS A LA CREACION E INVERSION EN EXPLOTACIONES AGRARIAS</v>
      </c>
      <c r="J1440" s="3" t="s">
        <v>41</v>
      </c>
      <c r="K1440" s="3" t="s">
        <v>41</v>
      </c>
      <c r="L1440" s="3" t="s">
        <v>42</v>
      </c>
      <c r="M1440" s="3" t="s">
        <v>41</v>
      </c>
    </row>
    <row r="1441" spans="1:13" ht="207">
      <c r="A1441" s="22" t="s">
        <v>9</v>
      </c>
      <c r="B1441" s="3" t="s">
        <v>4558</v>
      </c>
      <c r="C1441" s="3" t="s">
        <v>4559</v>
      </c>
      <c r="D1441" s="3" t="s">
        <v>192</v>
      </c>
      <c r="E1441" s="3" t="s">
        <v>46</v>
      </c>
      <c r="F1441" s="3" t="s">
        <v>3555</v>
      </c>
      <c r="G1441" s="3" t="s">
        <v>3643</v>
      </c>
      <c r="H1441" s="3" t="s">
        <v>4560</v>
      </c>
      <c r="I1441" s="3" t="str">
        <f>HYPERLINK("http://www.jccm.es/sede/tramite/JXH","PROVISION, POR EL PROCEDIMIENTO DE LIBRE DESIGNACION,  DE PUESTOS DE TRABAJO VACANTES EN LA ADMINISTRACION DE LA JUNTA DE COMUNIDADES DE CASTILLA-LA MANCHA.")</f>
        <v>PROVISION, POR EL PROCEDIMIENTO DE LIBRE DESIGNACION,  DE PUESTOS DE TRABAJO VACANTES EN LA ADMINISTRACION DE LA JUNTA DE COMUNIDADES DE CASTILLA-LA MANCHA.</v>
      </c>
      <c r="J1441" s="3" t="s">
        <v>41</v>
      </c>
      <c r="K1441" s="3" t="s">
        <v>41</v>
      </c>
      <c r="L1441" s="3" t="s">
        <v>42</v>
      </c>
      <c r="M1441" s="3" t="s">
        <v>41</v>
      </c>
    </row>
    <row r="1442" spans="1:13" ht="218.45">
      <c r="A1442" s="22" t="s">
        <v>9</v>
      </c>
      <c r="B1442" s="3" t="s">
        <v>4561</v>
      </c>
      <c r="C1442" s="3" t="s">
        <v>4562</v>
      </c>
      <c r="D1442" s="3" t="s">
        <v>36</v>
      </c>
      <c r="E1442" s="3" t="s">
        <v>46</v>
      </c>
      <c r="F1442" s="3" t="s">
        <v>3555</v>
      </c>
      <c r="G1442" s="3" t="s">
        <v>3643</v>
      </c>
      <c r="H1442" s="3" t="s">
        <v>4563</v>
      </c>
      <c r="I1442" s="3" t="str">
        <f>HYPERLINK("http://www.jccm.es/sede/tramite/LXF","PROVISION, MEDIANTE CONCURSO SINGULARIZADO DE MERITOS (CSM AGADR 2/2022, DE PUESTOS DE TRABAJO VACANTES EN LA ADMINISTRACION DE LA JUNTA DE COMUNIDADES DE CASTILLA-LA MANCHA")</f>
        <v>PROVISION, MEDIANTE CONCURSO SINGULARIZADO DE MERITOS (CSM AGADR 2/2022, DE PUESTOS DE TRABAJO VACANTES EN LA ADMINISTRACION DE LA JUNTA DE COMUNIDADES DE CASTILLA-LA MANCHA</v>
      </c>
      <c r="J1442" s="3" t="s">
        <v>41</v>
      </c>
      <c r="K1442" s="3" t="s">
        <v>41</v>
      </c>
      <c r="L1442" s="3" t="s">
        <v>42</v>
      </c>
      <c r="M1442" s="3" t="s">
        <v>41</v>
      </c>
    </row>
    <row r="1443" spans="1:13" ht="161.1">
      <c r="A1443" s="22" t="s">
        <v>9</v>
      </c>
      <c r="B1443" s="3" t="s">
        <v>4564</v>
      </c>
      <c r="C1443" s="3" t="s">
        <v>4565</v>
      </c>
      <c r="D1443" s="3" t="s">
        <v>4566</v>
      </c>
      <c r="E1443" s="3" t="s">
        <v>95</v>
      </c>
      <c r="F1443" s="3" t="s">
        <v>3555</v>
      </c>
      <c r="G1443" s="3" t="s">
        <v>3566</v>
      </c>
      <c r="H1443" s="3" t="s">
        <v>4567</v>
      </c>
      <c r="I1443" s="3" t="str">
        <f>HYPERLINK("http://www.jccm.es/sede/tramite/KQ7","SELECCION DE LAS OPERADORAS ENCARGADAS DEL SERVICIO DE RETIRADA Y DESTRUCCION DE LOS ANIMALES MUERTOS EN LAS EXPLOTACIONES GANADERAS DENTRO DEL MARCO DEL SEGURO AGRARIO")</f>
        <v>SELECCION DE LAS OPERADORAS ENCARGADAS DEL SERVICIO DE RETIRADA Y DESTRUCCION DE LOS ANIMALES MUERTOS EN LAS EXPLOTACIONES GANADERAS DENTRO DEL MARCO DEL SEGURO AGRARIO</v>
      </c>
      <c r="J1443" s="3" t="s">
        <v>42</v>
      </c>
      <c r="K1443" s="3" t="s">
        <v>41</v>
      </c>
      <c r="L1443" s="3" t="s">
        <v>42</v>
      </c>
      <c r="M1443" s="3" t="s">
        <v>41</v>
      </c>
    </row>
    <row r="1444" spans="1:13" ht="126.6">
      <c r="A1444" s="22" t="s">
        <v>20</v>
      </c>
      <c r="B1444" s="3" t="s">
        <v>4568</v>
      </c>
      <c r="C1444" s="3" t="s">
        <v>4569</v>
      </c>
      <c r="D1444" s="3" t="s">
        <v>70</v>
      </c>
      <c r="E1444" s="3" t="s">
        <v>46</v>
      </c>
      <c r="F1444" s="3" t="s">
        <v>4570</v>
      </c>
      <c r="G1444" s="3" t="s">
        <v>4570</v>
      </c>
      <c r="H1444" s="3" t="s">
        <v>4571</v>
      </c>
      <c r="I1444" s="3" t="str">
        <f>HYPERLINK("http://www.jccm.es/sede/tramite/KNN","CONVOCATORIA CONTRATACION 2 PLAZAS DE DOCTORES PARA PROYECTOS DE  INVESTIGACION EN EL IVICAM DE TOMELLOSO (CR) Y EL CIAPA DE MARCHAMALO (GU)")</f>
        <v>CONVOCATORIA CONTRATACION 2 PLAZAS DE DOCTORES PARA PROYECTOS DE  INVESTIGACION EN EL IVICAM DE TOMELLOSO (CR) Y EL CIAPA DE MARCHAMALO (GU)</v>
      </c>
      <c r="J1444" s="3" t="s">
        <v>41</v>
      </c>
      <c r="K1444" s="3" t="s">
        <v>41</v>
      </c>
      <c r="L1444" s="3" t="s">
        <v>42</v>
      </c>
      <c r="M1444" s="3" t="s">
        <v>41</v>
      </c>
    </row>
    <row r="1445" spans="1:13" ht="207">
      <c r="A1445" s="22" t="s">
        <v>20</v>
      </c>
      <c r="B1445" s="3" t="s">
        <v>4572</v>
      </c>
      <c r="C1445" s="3" t="s">
        <v>4559</v>
      </c>
      <c r="D1445" s="3" t="s">
        <v>192</v>
      </c>
      <c r="E1445" s="3" t="s">
        <v>46</v>
      </c>
      <c r="F1445" s="3" t="s">
        <v>4570</v>
      </c>
      <c r="G1445" s="3" t="s">
        <v>4570</v>
      </c>
      <c r="H1445" s="3" t="s">
        <v>4573</v>
      </c>
      <c r="I1445" s="3" t="str">
        <f>HYPERLINK("http://www.jccm.es/sede/tramite/KLE","PROVISION, POR EL PROCEDIMIENTO DE LIBRE DESIGNACION (LD.IRIAF.L1/2021), DE UN PUESTO DE TRABAJO DE LA CATEGORIA DE CONDUCTOR/A RESERVADO A PERSONAL LABORAL.")</f>
        <v>PROVISION, POR EL PROCEDIMIENTO DE LIBRE DESIGNACION (LD.IRIAF.L1/2021), DE UN PUESTO DE TRABAJO DE LA CATEGORIA DE CONDUCTOR/A RESERVADO A PERSONAL LABORAL.</v>
      </c>
      <c r="J1445" s="3" t="s">
        <v>41</v>
      </c>
      <c r="K1445" s="3" t="s">
        <v>41</v>
      </c>
      <c r="L1445" s="3" t="s">
        <v>42</v>
      </c>
      <c r="M1445" s="3" t="s">
        <v>41</v>
      </c>
    </row>
    <row r="1446" spans="1:13" ht="230.1">
      <c r="A1446" s="22" t="s">
        <v>20</v>
      </c>
      <c r="B1446" s="3" t="s">
        <v>4574</v>
      </c>
      <c r="C1446" s="3" t="s">
        <v>4575</v>
      </c>
      <c r="D1446" s="3" t="s">
        <v>36</v>
      </c>
      <c r="E1446" s="3" t="s">
        <v>46</v>
      </c>
      <c r="F1446" s="3" t="s">
        <v>4570</v>
      </c>
      <c r="G1446" s="3" t="s">
        <v>4570</v>
      </c>
      <c r="H1446" s="3" t="s">
        <v>4576</v>
      </c>
      <c r="I1446" s="3" t="str">
        <f>HYPERLINK("http://www.jccm.es/sede/tramite/LDR","PROVISION, MEDIANTE CONCURSO SINGULARIZADO DE MERITOS (CSM AAD 1/2022, DE TRES PUESTOS DE TRABAJO VACANTE EN LA ADMINISTRACION DE LA JUNTA DE COMUNIDADES DE CASTILLA-LA MANCHA")</f>
        <v>PROVISION, MEDIANTE CONCURSO SINGULARIZADO DE MERITOS (CSM AAD 1/2022, DE TRES PUESTOS DE TRABAJO VACANTE EN LA ADMINISTRACION DE LA JUNTA DE COMUNIDADES DE CASTILLA-LA MANCHA</v>
      </c>
      <c r="J1446" s="3" t="s">
        <v>41</v>
      </c>
      <c r="K1446" s="3" t="s">
        <v>41</v>
      </c>
      <c r="L1446" s="3" t="s">
        <v>42</v>
      </c>
      <c r="M1446" s="3" t="s">
        <v>41</v>
      </c>
    </row>
    <row r="1447" spans="1:13" ht="114.95">
      <c r="A1447" s="22" t="s">
        <v>20</v>
      </c>
      <c r="B1447" s="3" t="s">
        <v>4577</v>
      </c>
      <c r="C1447" s="3" t="s">
        <v>4578</v>
      </c>
      <c r="D1447" s="3" t="s">
        <v>327</v>
      </c>
      <c r="E1447" s="3" t="s">
        <v>46</v>
      </c>
      <c r="F1447" s="3" t="s">
        <v>4570</v>
      </c>
      <c r="G1447" s="3" t="s">
        <v>4570</v>
      </c>
      <c r="H1447" s="3" t="s">
        <v>4579</v>
      </c>
      <c r="I1447" s="3" t="str">
        <f>HYPERLINK("http://www.jccm.es/sede/tramite/KRJ","SUMINISTRO DE VARETAS DE MATERIAL INICIAL DE PISTACHERO.")</f>
        <v>SUMINISTRO DE VARETAS DE MATERIAL INICIAL DE PISTACHERO.</v>
      </c>
      <c r="J1447" s="3" t="s">
        <v>42</v>
      </c>
      <c r="K1447" s="3" t="s">
        <v>41</v>
      </c>
      <c r="L1447" s="3" t="s">
        <v>42</v>
      </c>
      <c r="M1447" s="3" t="s">
        <v>41</v>
      </c>
    </row>
    <row r="1448" spans="1:13" ht="161.1">
      <c r="A1448" s="22" t="s">
        <v>14</v>
      </c>
      <c r="B1448" s="3" t="s">
        <v>4580</v>
      </c>
      <c r="C1448" s="3" t="s">
        <v>4581</v>
      </c>
      <c r="D1448" s="3" t="s">
        <v>3755</v>
      </c>
      <c r="E1448" s="3" t="s">
        <v>46</v>
      </c>
      <c r="F1448" s="3" t="s">
        <v>4582</v>
      </c>
      <c r="G1448" s="3" t="s">
        <v>4583</v>
      </c>
      <c r="H1448" s="3" t="s">
        <v>4584</v>
      </c>
      <c r="I1448" s="3" t="str">
        <f>HYPERLINK("http://www.jccm.es/sede/tramite/IDD","REGULACION DE USO DE LOS ALBERGUES Y CAMPAMENTOS PERTENECIENTES A LA RED DE ALBERGUES JUVENILES DE CASTILLA-LA MANCHA")</f>
        <v>REGULACION DE USO DE LOS ALBERGUES Y CAMPAMENTOS PERTENECIENTES A LA RED DE ALBERGUES JUVENILES DE CASTILLA-LA MANCHA</v>
      </c>
      <c r="J1448" s="3" t="s">
        <v>41</v>
      </c>
      <c r="K1448" s="3" t="s">
        <v>41</v>
      </c>
      <c r="L1448" s="3" t="s">
        <v>42</v>
      </c>
      <c r="M1448" s="3" t="s">
        <v>41</v>
      </c>
    </row>
    <row r="1449" spans="1:13" ht="183.95">
      <c r="A1449" s="22" t="s">
        <v>14</v>
      </c>
      <c r="B1449" s="3" t="s">
        <v>4585</v>
      </c>
      <c r="C1449" s="3" t="s">
        <v>4586</v>
      </c>
      <c r="D1449" s="3" t="s">
        <v>36</v>
      </c>
      <c r="E1449" s="3" t="s">
        <v>37</v>
      </c>
      <c r="F1449" s="3" t="s">
        <v>4582</v>
      </c>
      <c r="G1449" s="3" t="s">
        <v>4587</v>
      </c>
      <c r="H1449" s="3" t="s">
        <v>4588</v>
      </c>
      <c r="I1449" s="3" t="str">
        <f>HYPERLINK("http://www.jccm.es/sede/tramite/IIU","AUTORIZACION DE APERTURA Y FUNCIONAMIENTO DE ESCUELAS DE MUSICA Y DANZA E INSRIPCION EN EL REGISTRO DE CENTROS DOCENTES DE CASTILLA-LA MANCHA")</f>
        <v>AUTORIZACION DE APERTURA Y FUNCIONAMIENTO DE ESCUELAS DE MUSICA Y DANZA E INSRIPCION EN EL REGISTRO DE CENTROS DOCENTES DE CASTILLA-LA MANCHA</v>
      </c>
      <c r="J1449" s="3" t="s">
        <v>42</v>
      </c>
      <c r="K1449" s="3" t="s">
        <v>41</v>
      </c>
      <c r="L1449" s="3" t="s">
        <v>42</v>
      </c>
      <c r="M1449" s="3" t="s">
        <v>42</v>
      </c>
    </row>
    <row r="1450" spans="1:13" ht="230.1">
      <c r="A1450" s="22" t="s">
        <v>14</v>
      </c>
      <c r="B1450" s="3" t="s">
        <v>4589</v>
      </c>
      <c r="C1450" s="3" t="s">
        <v>4590</v>
      </c>
      <c r="D1450" s="3" t="s">
        <v>45</v>
      </c>
      <c r="E1450" s="3" t="s">
        <v>46</v>
      </c>
      <c r="F1450" s="3" t="s">
        <v>4582</v>
      </c>
      <c r="G1450" s="3" t="s">
        <v>4591</v>
      </c>
      <c r="H1450" s="3" t="s">
        <v>4592</v>
      </c>
      <c r="I1450" s="3" t="str">
        <f>HYPERLINK("http://www.jccm.es/sede/tramite/IO7","AUTORIZACION DE APERTURA Y FUNCIONAMIENTO DE LOS CENTROS PRIVADOS QUE IMPARTAN LAS ENSEÑANZAS DE TECNICOS DEPORTIVOS EN LA COMUNIDAD AUTONOMA DE CASTILLA-LA MANCHA")</f>
        <v>AUTORIZACION DE APERTURA Y FUNCIONAMIENTO DE LOS CENTROS PRIVADOS QUE IMPARTAN LAS ENSEÑANZAS DE TECNICOS DEPORTIVOS EN LA COMUNIDAD AUTONOMA DE CASTILLA-LA MANCHA</v>
      </c>
      <c r="J1450" s="3" t="s">
        <v>42</v>
      </c>
      <c r="K1450" s="3" t="s">
        <v>41</v>
      </c>
      <c r="L1450" s="3" t="s">
        <v>42</v>
      </c>
      <c r="M1450" s="3" t="s">
        <v>41</v>
      </c>
    </row>
    <row r="1451" spans="1:13" ht="183.95">
      <c r="A1451" s="22" t="s">
        <v>14</v>
      </c>
      <c r="B1451" s="3" t="s">
        <v>4593</v>
      </c>
      <c r="C1451" s="3" t="s">
        <v>4594</v>
      </c>
      <c r="D1451" s="3" t="s">
        <v>45</v>
      </c>
      <c r="E1451" s="3" t="s">
        <v>46</v>
      </c>
      <c r="F1451" s="3" t="s">
        <v>4582</v>
      </c>
      <c r="G1451" s="3" t="s">
        <v>4591</v>
      </c>
      <c r="H1451" s="3" t="s">
        <v>4595</v>
      </c>
      <c r="I1451" s="3" t="str">
        <f>HYPERLINK("http://www.jccm.es/sede/tramite/I8B","AUTORIZACION DE APERTURA Y FUNCIONAMIENTO DE CENTROS DOCENTES E INSCRIPCION EN EL REGISTRO DE CENTROS DOCENTES DE CASTILLA-LA MANCHA (VUDS)")</f>
        <v>AUTORIZACION DE APERTURA Y FUNCIONAMIENTO DE CENTROS DOCENTES E INSCRIPCION EN EL REGISTRO DE CENTROS DOCENTES DE CASTILLA-LA MANCHA (VUDS)</v>
      </c>
      <c r="J1451" s="3" t="s">
        <v>42</v>
      </c>
      <c r="K1451" s="3" t="s">
        <v>41</v>
      </c>
      <c r="L1451" s="3" t="s">
        <v>42</v>
      </c>
      <c r="M1451" s="3" t="s">
        <v>42</v>
      </c>
    </row>
    <row r="1452" spans="1:13" ht="126.6">
      <c r="A1452" s="22" t="s">
        <v>14</v>
      </c>
      <c r="B1452" s="3" t="s">
        <v>4596</v>
      </c>
      <c r="C1452" s="3" t="s">
        <v>4597</v>
      </c>
      <c r="D1452" s="3" t="s">
        <v>4598</v>
      </c>
      <c r="E1452" s="3" t="s">
        <v>95</v>
      </c>
      <c r="F1452" s="3" t="s">
        <v>4582</v>
      </c>
      <c r="G1452" s="3" t="s">
        <v>4591</v>
      </c>
      <c r="H1452" s="3" t="s">
        <v>4599</v>
      </c>
      <c r="I1452" s="3" t="str">
        <f>HYPERLINK("http://www.jccm.es/sede/tramite/JBJ","PROCEDIMIENTO PARA PERMITIR LA SIMULTANEIDAD DE ESTUDIOS NO UNIVERSITARIOS EN C-LM")</f>
        <v>PROCEDIMIENTO PARA PERMITIR LA SIMULTANEIDAD DE ESTUDIOS NO UNIVERSITARIOS EN C-LM</v>
      </c>
      <c r="J1452" s="3" t="s">
        <v>42</v>
      </c>
      <c r="K1452" s="3" t="s">
        <v>41</v>
      </c>
      <c r="L1452" s="3" t="s">
        <v>42</v>
      </c>
      <c r="M1452" s="3" t="s">
        <v>41</v>
      </c>
    </row>
    <row r="1453" spans="1:13" ht="218.45">
      <c r="A1453" s="22" t="s">
        <v>14</v>
      </c>
      <c r="B1453" s="3" t="s">
        <v>4600</v>
      </c>
      <c r="C1453" s="3" t="s">
        <v>4601</v>
      </c>
      <c r="D1453" s="3" t="s">
        <v>4602</v>
      </c>
      <c r="E1453" s="3" t="s">
        <v>95</v>
      </c>
      <c r="F1453" s="3" t="s">
        <v>4582</v>
      </c>
      <c r="G1453" s="3" t="s">
        <v>4603</v>
      </c>
      <c r="H1453" s="3" t="s">
        <v>4604</v>
      </c>
      <c r="I1453" s="3" t="str">
        <f>HYPERLINK("http://www.jccm.es/sede/tramite/IPT","APERTURA Y FUNCIONAMIENTO DEL SERVICIO DE COMEDOR ESCOLAR EN  CENTROS PUBLICOS DE EDUCACION INFANTIL, PRIMARIA, EDUCACION ESPECIAL Y NO UNIVERSITARIOS CON SERVICIO DE RESIDENCIA")</f>
        <v>APERTURA Y FUNCIONAMIENTO DEL SERVICIO DE COMEDOR ESCOLAR EN  CENTROS PUBLICOS DE EDUCACION INFANTIL, PRIMARIA, EDUCACION ESPECIAL Y NO UNIVERSITARIOS CON SERVICIO DE RESIDENCIA</v>
      </c>
      <c r="J1453" s="3" t="s">
        <v>42</v>
      </c>
      <c r="K1453" s="3" t="s">
        <v>41</v>
      </c>
      <c r="L1453" s="3" t="s">
        <v>42</v>
      </c>
      <c r="M1453" s="3" t="s">
        <v>41</v>
      </c>
    </row>
    <row r="1454" spans="1:13" ht="114.95">
      <c r="A1454" s="22" t="s">
        <v>14</v>
      </c>
      <c r="B1454" s="3" t="s">
        <v>4605</v>
      </c>
      <c r="C1454" s="3" t="s">
        <v>4606</v>
      </c>
      <c r="D1454" s="3" t="s">
        <v>45</v>
      </c>
      <c r="E1454" s="3" t="s">
        <v>37</v>
      </c>
      <c r="F1454" s="3" t="s">
        <v>4582</v>
      </c>
      <c r="G1454" s="3" t="s">
        <v>4583</v>
      </c>
      <c r="H1454" s="3" t="s">
        <v>4607</v>
      </c>
      <c r="I1454" s="3" t="str">
        <f>HYPERLINK("http://www.jccm.es/sede/tramite/JT6","RECONOCIMIENTO OFICIAL DE ALBERGUES JUVENILES")</f>
        <v>RECONOCIMIENTO OFICIAL DE ALBERGUES JUVENILES</v>
      </c>
      <c r="J1454" s="3" t="s">
        <v>42</v>
      </c>
      <c r="K1454" s="3" t="s">
        <v>41</v>
      </c>
      <c r="L1454" s="3" t="s">
        <v>42</v>
      </c>
      <c r="M1454" s="3" t="s">
        <v>41</v>
      </c>
    </row>
    <row r="1455" spans="1:13" ht="126.6">
      <c r="A1455" s="22" t="s">
        <v>14</v>
      </c>
      <c r="B1455" s="3" t="s">
        <v>4608</v>
      </c>
      <c r="C1455" s="3" t="s">
        <v>4609</v>
      </c>
      <c r="D1455" s="3" t="s">
        <v>70</v>
      </c>
      <c r="E1455" s="3" t="s">
        <v>46</v>
      </c>
      <c r="F1455" s="3" t="s">
        <v>4582</v>
      </c>
      <c r="G1455" s="3" t="s">
        <v>4610</v>
      </c>
      <c r="H1455" s="3" t="s">
        <v>4611</v>
      </c>
      <c r="I1455" s="3" t="str">
        <f>HYPERLINK("http://www.jccm.es/sede/tramite/JQW","AUTORIZACION DE INTERVENCIONES EN BIENES INMUEBLES DEL PATRIMONIO CULTURAL DE CASTILLA - LA MANCHA.")</f>
        <v>AUTORIZACION DE INTERVENCIONES EN BIENES INMUEBLES DEL PATRIMONIO CULTURAL DE CASTILLA - LA MANCHA.</v>
      </c>
      <c r="J1455" s="3" t="s">
        <v>42</v>
      </c>
      <c r="K1455" s="3" t="s">
        <v>41</v>
      </c>
      <c r="L1455" s="3" t="s">
        <v>42</v>
      </c>
      <c r="M1455" s="3" t="s">
        <v>41</v>
      </c>
    </row>
    <row r="1456" spans="1:13" ht="114.95">
      <c r="A1456" s="22" t="s">
        <v>14</v>
      </c>
      <c r="B1456" s="3" t="s">
        <v>4612</v>
      </c>
      <c r="C1456" s="3" t="s">
        <v>4613</v>
      </c>
      <c r="D1456" s="3" t="s">
        <v>70</v>
      </c>
      <c r="E1456" s="3" t="s">
        <v>46</v>
      </c>
      <c r="F1456" s="3" t="s">
        <v>4582</v>
      </c>
      <c r="G1456" s="3" t="s">
        <v>4614</v>
      </c>
      <c r="H1456" s="3" t="s">
        <v>4615</v>
      </c>
      <c r="I1456" s="3" t="str">
        <f>HYPERLINK("http://www.jccm.es/sede/tramite/K1Q","AUTORIZACION DE PROYECTOS DE FORMACION PROFESIONAL DUAL.")</f>
        <v>AUTORIZACION DE PROYECTOS DE FORMACION PROFESIONAL DUAL.</v>
      </c>
      <c r="J1456" s="3" t="s">
        <v>41</v>
      </c>
      <c r="K1456" s="3" t="s">
        <v>41</v>
      </c>
      <c r="L1456" s="3" t="s">
        <v>42</v>
      </c>
      <c r="M1456" s="3" t="s">
        <v>41</v>
      </c>
    </row>
    <row r="1457" spans="1:13" ht="264.60000000000002">
      <c r="A1457" s="22" t="s">
        <v>14</v>
      </c>
      <c r="B1457" s="3" t="s">
        <v>4616</v>
      </c>
      <c r="C1457" s="3" t="s">
        <v>4617</v>
      </c>
      <c r="D1457" s="3" t="s">
        <v>45</v>
      </c>
      <c r="E1457" s="3" t="s">
        <v>46</v>
      </c>
      <c r="F1457" s="3" t="s">
        <v>4582</v>
      </c>
      <c r="G1457" s="3" t="s">
        <v>4587</v>
      </c>
      <c r="H1457" s="3" t="s">
        <v>4618</v>
      </c>
      <c r="I1457" s="3" t="str">
        <f>HYPERLINK("http://www.jccm.es/sede/tramite/IV4","PROCEDIMIENTO DE INCORPORACION, MODIFICACION, ABANDONO Y CONTINUIDAD DE PROYECTOS BILINGUES Y PLURILINGUES EN CENTROS EDUCATIVOS NO UNIVERSITARIOS SOSTENIDOS CON FONDOS PUBLICOS DE CLM")</f>
        <v>PROCEDIMIENTO DE INCORPORACION, MODIFICACION, ABANDONO Y CONTINUIDAD DE PROYECTOS BILINGUES Y PLURILINGUES EN CENTROS EDUCATIVOS NO UNIVERSITARIOS SOSTENIDOS CON FONDOS PUBLICOS DE CLM</v>
      </c>
      <c r="J1457" s="3" t="s">
        <v>41</v>
      </c>
      <c r="K1457" s="3" t="s">
        <v>41</v>
      </c>
      <c r="L1457" s="3" t="s">
        <v>42</v>
      </c>
      <c r="M1457" s="3" t="s">
        <v>41</v>
      </c>
    </row>
    <row r="1458" spans="1:13" ht="138">
      <c r="A1458" s="22" t="s">
        <v>14</v>
      </c>
      <c r="B1458" s="3" t="s">
        <v>4619</v>
      </c>
      <c r="C1458" s="3" t="s">
        <v>4620</v>
      </c>
      <c r="D1458" s="3" t="s">
        <v>51</v>
      </c>
      <c r="E1458" s="3" t="s">
        <v>46</v>
      </c>
      <c r="F1458" s="3" t="s">
        <v>4582</v>
      </c>
      <c r="G1458" s="3" t="s">
        <v>4587</v>
      </c>
      <c r="H1458" s="3" t="s">
        <v>4621</v>
      </c>
      <c r="I1458" s="3" t="str">
        <f>HYPERLINK("http://www.jccm.es/sede/tramite/K2U","SOLICITUD PROGRAMA BACHIBAC")</f>
        <v>SOLICITUD PROGRAMA BACHIBAC</v>
      </c>
      <c r="J1458" s="3" t="s">
        <v>41</v>
      </c>
      <c r="K1458" s="3" t="s">
        <v>41</v>
      </c>
      <c r="L1458" s="3" t="s">
        <v>42</v>
      </c>
      <c r="M1458" s="3" t="s">
        <v>41</v>
      </c>
    </row>
    <row r="1459" spans="1:13" ht="138">
      <c r="A1459" s="22" t="s">
        <v>14</v>
      </c>
      <c r="B1459" s="3" t="s">
        <v>4622</v>
      </c>
      <c r="C1459" s="3" t="s">
        <v>4623</v>
      </c>
      <c r="D1459" s="3" t="s">
        <v>926</v>
      </c>
      <c r="E1459" s="3" t="s">
        <v>46</v>
      </c>
      <c r="F1459" s="3" t="s">
        <v>4582</v>
      </c>
      <c r="G1459" s="3" t="s">
        <v>4587</v>
      </c>
      <c r="H1459" s="3" t="s">
        <v>4624</v>
      </c>
      <c r="I1459" s="3" t="str">
        <f>HYPERLINK("http://www.jccm.es/sede/tramite/KMX","CONVOCATORIA PARA LA INCORPORACION A LA RED DE CENTROS COMUNIDADES DE APRENDIZAJE, RECONOCIMIENTO Y CONTINUIDAD.")</f>
        <v>CONVOCATORIA PARA LA INCORPORACION A LA RED DE CENTROS COMUNIDADES DE APRENDIZAJE, RECONOCIMIENTO Y CONTINUIDAD.</v>
      </c>
      <c r="J1459" s="3" t="s">
        <v>41</v>
      </c>
      <c r="K1459" s="3" t="s">
        <v>41</v>
      </c>
      <c r="L1459" s="3" t="s">
        <v>42</v>
      </c>
      <c r="M1459" s="3" t="s">
        <v>41</v>
      </c>
    </row>
    <row r="1460" spans="1:13" ht="218.45">
      <c r="A1460" s="22" t="s">
        <v>14</v>
      </c>
      <c r="B1460" s="3" t="s">
        <v>4625</v>
      </c>
      <c r="C1460" s="3" t="s">
        <v>4626</v>
      </c>
      <c r="D1460" s="3" t="s">
        <v>4627</v>
      </c>
      <c r="E1460" s="3" t="s">
        <v>46</v>
      </c>
      <c r="F1460" s="3" t="s">
        <v>4582</v>
      </c>
      <c r="G1460" s="3" t="s">
        <v>4587</v>
      </c>
      <c r="H1460" s="3" t="s">
        <v>4628</v>
      </c>
      <c r="I1460" s="3" t="str">
        <f>HYPERLINK("http://www.jccm.es/sede/tramite/KP1","SOLICITUD DE IMPLANTACION DE UNA SEGUNDA LENGUA EXTRANJERA EN LOS CENTROS DE EDUCACION INFANTIL Y PRIMARIA SOSTENIDOS CON FONDOS PUBLICOS DE CASTILLA-LA MANCHA.")</f>
        <v>SOLICITUD DE IMPLANTACION DE UNA SEGUNDA LENGUA EXTRANJERA EN LOS CENTROS DE EDUCACION INFANTIL Y PRIMARIA SOSTENIDOS CON FONDOS PUBLICOS DE CASTILLA-LA MANCHA.</v>
      </c>
      <c r="J1460" s="3" t="s">
        <v>41</v>
      </c>
      <c r="K1460" s="3" t="s">
        <v>41</v>
      </c>
      <c r="L1460" s="3" t="s">
        <v>42</v>
      </c>
      <c r="M1460" s="3" t="s">
        <v>41</v>
      </c>
    </row>
    <row r="1461" spans="1:13" ht="172.5">
      <c r="A1461" s="22" t="s">
        <v>14</v>
      </c>
      <c r="B1461" s="3" t="s">
        <v>4629</v>
      </c>
      <c r="C1461" s="3" t="s">
        <v>4630</v>
      </c>
      <c r="D1461" s="3" t="s">
        <v>327</v>
      </c>
      <c r="E1461" s="3" t="s">
        <v>46</v>
      </c>
      <c r="F1461" s="3" t="s">
        <v>4582</v>
      </c>
      <c r="G1461" s="3" t="s">
        <v>4591</v>
      </c>
      <c r="H1461" s="3" t="s">
        <v>4631</v>
      </c>
      <c r="I1461" s="3" t="str">
        <f>HYPERLINK("http://www.jccm.es/sede/tramite/LLG","EXPEDICION DE LOS TITULOS ACADEMICOS Y DE LOS SUPLEMENTOS EUROPEOS AL TITULO DE LAS ENSEÑANZAS ESTABLECIDAS EN LA LOE.")</f>
        <v>EXPEDICION DE LOS TITULOS ACADEMICOS Y DE LOS SUPLEMENTOS EUROPEOS AL TITULO DE LAS ENSEÑANZAS ESTABLECIDAS EN LA LOE.</v>
      </c>
      <c r="J1461" s="3" t="s">
        <v>42</v>
      </c>
      <c r="K1461" s="3" t="s">
        <v>41</v>
      </c>
      <c r="L1461" s="3" t="s">
        <v>42</v>
      </c>
      <c r="M1461" s="3" t="s">
        <v>41</v>
      </c>
    </row>
    <row r="1462" spans="1:13" ht="183.95">
      <c r="A1462" s="22" t="s">
        <v>14</v>
      </c>
      <c r="B1462" s="3" t="s">
        <v>4632</v>
      </c>
      <c r="C1462" s="3" t="s">
        <v>4633</v>
      </c>
      <c r="D1462" s="3" t="s">
        <v>62</v>
      </c>
      <c r="E1462" s="3" t="s">
        <v>46</v>
      </c>
      <c r="F1462" s="3" t="s">
        <v>4582</v>
      </c>
      <c r="G1462" s="3" t="s">
        <v>4591</v>
      </c>
      <c r="H1462" s="3" t="s">
        <v>4634</v>
      </c>
      <c r="I1462" s="3" t="str">
        <f>HYPERLINK("http://www.jccm.es/sede/tramite/LOM","PROCEDIMIENTO DE SOLICITUD DE PARTICIPACION EN EL DESARROLLO DEL PLAN DE IGUALDAD Y PREVENCION DE LA VIOLENCIA DE GENERO. CURSO 2021/22.")</f>
        <v>PROCEDIMIENTO DE SOLICITUD DE PARTICIPACION EN EL DESARROLLO DEL PLAN DE IGUALDAD Y PREVENCION DE LA VIOLENCIA DE GENERO. CURSO 2021/22.</v>
      </c>
      <c r="J1462" s="3" t="s">
        <v>41</v>
      </c>
      <c r="K1462" s="3" t="s">
        <v>41</v>
      </c>
      <c r="L1462" s="3" t="s">
        <v>42</v>
      </c>
      <c r="M1462" s="3" t="s">
        <v>41</v>
      </c>
    </row>
    <row r="1463" spans="1:13" ht="149.44999999999999">
      <c r="A1463" s="22" t="s">
        <v>14</v>
      </c>
      <c r="B1463" s="3" t="s">
        <v>4635</v>
      </c>
      <c r="C1463" s="3" t="s">
        <v>4636</v>
      </c>
      <c r="D1463" s="3" t="s">
        <v>62</v>
      </c>
      <c r="E1463" s="3" t="s">
        <v>46</v>
      </c>
      <c r="F1463" s="3" t="s">
        <v>4582</v>
      </c>
      <c r="G1463" s="3" t="s">
        <v>4591</v>
      </c>
      <c r="H1463" s="3" t="s">
        <v>4637</v>
      </c>
      <c r="I1463" s="3" t="str">
        <f>HYPERLINK("http://www.jccm.es/sede/tramite/LON","JUSTIFICACION DEL CENTRO EDUCATIVO DEL DESARROLLO DEL PLAN DE IGUALDAD Y PREVENCION DE LA VIOLENCIA DE GENERO.")</f>
        <v>JUSTIFICACION DEL CENTRO EDUCATIVO DEL DESARROLLO DEL PLAN DE IGUALDAD Y PREVENCION DE LA VIOLENCIA DE GENERO.</v>
      </c>
      <c r="J1463" s="3" t="s">
        <v>41</v>
      </c>
      <c r="K1463" s="3" t="s">
        <v>41</v>
      </c>
      <c r="L1463" s="3" t="s">
        <v>42</v>
      </c>
      <c r="M1463" s="3" t="s">
        <v>41</v>
      </c>
    </row>
    <row r="1464" spans="1:13" ht="149.44999999999999">
      <c r="A1464" s="22" t="s">
        <v>14</v>
      </c>
      <c r="B1464" s="3" t="s">
        <v>4638</v>
      </c>
      <c r="C1464" s="3" t="s">
        <v>4639</v>
      </c>
      <c r="D1464" s="3" t="s">
        <v>51</v>
      </c>
      <c r="E1464" s="3" t="s">
        <v>37</v>
      </c>
      <c r="F1464" s="3" t="s">
        <v>4582</v>
      </c>
      <c r="G1464" s="3" t="s">
        <v>4591</v>
      </c>
      <c r="H1464" s="3" t="s">
        <v>4640</v>
      </c>
      <c r="I1464" s="3" t="str">
        <f>HYPERLINK("http://www.jccm.es/sede/tramite/J1A","REGISTRO CENTRAL DE ASOCIACIONES DE ALUMNOS Y ALUMNAS DE CENTROS DOCENTES NO UNIVERSITARIOS DE CASTILLA-LA MANCHA")</f>
        <v>REGISTRO CENTRAL DE ASOCIACIONES DE ALUMNOS Y ALUMNAS DE CENTROS DOCENTES NO UNIVERSITARIOS DE CASTILLA-LA MANCHA</v>
      </c>
      <c r="J1464" s="3" t="s">
        <v>42</v>
      </c>
      <c r="K1464" s="3" t="s">
        <v>41</v>
      </c>
      <c r="L1464" s="3" t="s">
        <v>42</v>
      </c>
      <c r="M1464" s="3" t="s">
        <v>41</v>
      </c>
    </row>
    <row r="1465" spans="1:13" ht="161.1">
      <c r="A1465" s="22" t="s">
        <v>14</v>
      </c>
      <c r="B1465" s="3" t="s">
        <v>4641</v>
      </c>
      <c r="C1465" s="3" t="s">
        <v>4642</v>
      </c>
      <c r="D1465" s="3" t="s">
        <v>51</v>
      </c>
      <c r="E1465" s="3" t="s">
        <v>37</v>
      </c>
      <c r="F1465" s="3" t="s">
        <v>4582</v>
      </c>
      <c r="G1465" s="3" t="s">
        <v>4591</v>
      </c>
      <c r="H1465" s="3" t="s">
        <v>4643</v>
      </c>
      <c r="I1465" s="3" t="str">
        <f>HYPERLINK("http://www.jccm.es/sede/tramite/J19","REGISTRO CENTRAL DE ASOCIACIONES DE PADRES Y MADRES DE ALUMNOS DE CENTROS DOCENTES NO UNIVERSITARIOS DE CASTILLA-LA MANCHA")</f>
        <v>REGISTRO CENTRAL DE ASOCIACIONES DE PADRES Y MADRES DE ALUMNOS DE CENTROS DOCENTES NO UNIVERSITARIOS DE CASTILLA-LA MANCHA</v>
      </c>
      <c r="J1465" s="3" t="s">
        <v>42</v>
      </c>
      <c r="K1465" s="3" t="s">
        <v>41</v>
      </c>
      <c r="L1465" s="3" t="s">
        <v>42</v>
      </c>
      <c r="M1465" s="3" t="s">
        <v>41</v>
      </c>
    </row>
    <row r="1466" spans="1:13" ht="114.95">
      <c r="A1466" s="22" t="s">
        <v>14</v>
      </c>
      <c r="B1466" s="3" t="s">
        <v>4644</v>
      </c>
      <c r="C1466" s="3" t="s">
        <v>4645</v>
      </c>
      <c r="D1466" s="3" t="s">
        <v>45</v>
      </c>
      <c r="E1466" s="3" t="s">
        <v>37</v>
      </c>
      <c r="F1466" s="3" t="s">
        <v>4582</v>
      </c>
      <c r="G1466" s="3" t="s">
        <v>4583</v>
      </c>
      <c r="H1466" s="3" t="s">
        <v>4646</v>
      </c>
      <c r="I1466" s="3" t="str">
        <f>HYPERLINK("http://www.jccm.es/sede/tramite/IE3","REGISTRO DE ENTIDADES DEPORTIVAS")</f>
        <v>REGISTRO DE ENTIDADES DEPORTIVAS</v>
      </c>
      <c r="J1466" s="3" t="s">
        <v>42</v>
      </c>
      <c r="K1466" s="3" t="s">
        <v>41</v>
      </c>
      <c r="L1466" s="3" t="s">
        <v>42</v>
      </c>
      <c r="M1466" s="3" t="s">
        <v>41</v>
      </c>
    </row>
    <row r="1467" spans="1:13" ht="114.95">
      <c r="A1467" s="22" t="s">
        <v>14</v>
      </c>
      <c r="B1467" s="3" t="s">
        <v>4647</v>
      </c>
      <c r="C1467" s="3" t="s">
        <v>4648</v>
      </c>
      <c r="D1467" s="3" t="s">
        <v>4649</v>
      </c>
      <c r="E1467" s="3" t="s">
        <v>37</v>
      </c>
      <c r="F1467" s="3" t="s">
        <v>4582</v>
      </c>
      <c r="G1467" s="3" t="s">
        <v>4603</v>
      </c>
      <c r="H1467" s="3" t="s">
        <v>4650</v>
      </c>
      <c r="I1467" s="3" t="str">
        <f>HYPERLINK("http://www.jccm.es/sede/tramite/IUW","REGISTRO DE MATERIALES CURRICULARES.")</f>
        <v>REGISTRO DE MATERIALES CURRICULARES.</v>
      </c>
      <c r="J1467" s="3" t="s">
        <v>42</v>
      </c>
      <c r="K1467" s="3" t="s">
        <v>41</v>
      </c>
      <c r="L1467" s="3" t="s">
        <v>42</v>
      </c>
      <c r="M1467" s="3" t="s">
        <v>41</v>
      </c>
    </row>
    <row r="1468" spans="1:13" ht="138">
      <c r="A1468" s="22" t="s">
        <v>14</v>
      </c>
      <c r="B1468" s="3" t="s">
        <v>4651</v>
      </c>
      <c r="C1468" s="3" t="s">
        <v>4652</v>
      </c>
      <c r="D1468" s="3" t="s">
        <v>45</v>
      </c>
      <c r="E1468" s="3" t="s">
        <v>46</v>
      </c>
      <c r="F1468" s="3" t="s">
        <v>4582</v>
      </c>
      <c r="G1468" s="3" t="s">
        <v>4610</v>
      </c>
      <c r="H1468" s="3" t="s">
        <v>4653</v>
      </c>
      <c r="I1468" s="3" t="str">
        <f>HYPERLINK("http://www.jccm.es/sede/tramite/J36","PRESENTACION DE PROPUESTAS DE ESPECTACULOS PARA LA FERIA DE LAS ARTES ESCENICAS Y MUSICALES DE CASTILLA-LA MANCHA.")</f>
        <v>PRESENTACION DE PROPUESTAS DE ESPECTACULOS PARA LA FERIA DE LAS ARTES ESCENICAS Y MUSICALES DE CASTILLA-LA MANCHA.</v>
      </c>
      <c r="J1468" s="3" t="s">
        <v>41</v>
      </c>
      <c r="K1468" s="3" t="s">
        <v>41</v>
      </c>
      <c r="L1468" s="3" t="s">
        <v>42</v>
      </c>
      <c r="M1468" s="3" t="s">
        <v>41</v>
      </c>
    </row>
    <row r="1469" spans="1:13" ht="172.5">
      <c r="A1469" s="22" t="s">
        <v>14</v>
      </c>
      <c r="B1469" s="3" t="s">
        <v>4654</v>
      </c>
      <c r="C1469" s="3" t="s">
        <v>4655</v>
      </c>
      <c r="D1469" s="3" t="s">
        <v>45</v>
      </c>
      <c r="E1469" s="3" t="s">
        <v>46</v>
      </c>
      <c r="F1469" s="3" t="s">
        <v>4582</v>
      </c>
      <c r="G1469" s="3" t="s">
        <v>4610</v>
      </c>
      <c r="H1469" s="3" t="s">
        <v>4656</v>
      </c>
      <c r="I1469" s="3" t="str">
        <f>HYPERLINK("http://www.jccm.es/sede/tramite/J0A","PRESENTACION DE PROPUESTAS DE ESPECTACULOS A LA RED DE ARTES ESCENICAS Y MUSICA DE CASTILLA-LA MANCHA")</f>
        <v>PRESENTACION DE PROPUESTAS DE ESPECTACULOS A LA RED DE ARTES ESCENICAS Y MUSICA DE CASTILLA-LA MANCHA</v>
      </c>
      <c r="J1469" s="3" t="s">
        <v>41</v>
      </c>
      <c r="K1469" s="3" t="s">
        <v>41</v>
      </c>
      <c r="L1469" s="3" t="s">
        <v>42</v>
      </c>
      <c r="M1469" s="3" t="s">
        <v>41</v>
      </c>
    </row>
    <row r="1470" spans="1:13" ht="103.5">
      <c r="A1470" s="22" t="s">
        <v>14</v>
      </c>
      <c r="B1470" s="3" t="s">
        <v>4657</v>
      </c>
      <c r="C1470" s="3" t="s">
        <v>4658</v>
      </c>
      <c r="D1470" s="3" t="s">
        <v>1655</v>
      </c>
      <c r="E1470" s="3" t="s">
        <v>95</v>
      </c>
      <c r="F1470" s="3" t="s">
        <v>4582</v>
      </c>
      <c r="G1470" s="3" t="s">
        <v>4610</v>
      </c>
      <c r="H1470" s="3" t="s">
        <v>4659</v>
      </c>
      <c r="I1470" s="3" t="str">
        <f>HYPERLINK("http://www.jccm.es/sede/tramite/IAQ","REGISTRO DE LA PROPIEDAD INTELECTUAL")</f>
        <v>REGISTRO DE LA PROPIEDAD INTELECTUAL</v>
      </c>
      <c r="J1470" s="3" t="s">
        <v>41</v>
      </c>
      <c r="K1470" s="3" t="s">
        <v>41</v>
      </c>
      <c r="L1470" s="3" t="s">
        <v>41</v>
      </c>
      <c r="M1470" s="3" t="s">
        <v>41</v>
      </c>
    </row>
    <row r="1471" spans="1:13" ht="103.5">
      <c r="A1471" s="22" t="s">
        <v>14</v>
      </c>
      <c r="B1471" s="3" t="s">
        <v>4660</v>
      </c>
      <c r="C1471" s="3" t="s">
        <v>4661</v>
      </c>
      <c r="D1471" s="3" t="s">
        <v>442</v>
      </c>
      <c r="E1471" s="3" t="s">
        <v>37</v>
      </c>
      <c r="F1471" s="3" t="s">
        <v>4582</v>
      </c>
      <c r="G1471" s="3" t="s">
        <v>4610</v>
      </c>
      <c r="H1471" s="3" t="s">
        <v>4662</v>
      </c>
      <c r="I1471" s="3" t="str">
        <f>HYPERLINK("http://www.jccm.es/sede/tramite/JWP","DEPOSITO LEGAL")</f>
        <v>DEPOSITO LEGAL</v>
      </c>
      <c r="J1471" s="3" t="s">
        <v>42</v>
      </c>
      <c r="K1471" s="3" t="s">
        <v>41</v>
      </c>
      <c r="L1471" s="3" t="s">
        <v>42</v>
      </c>
      <c r="M1471" s="3" t="s">
        <v>41</v>
      </c>
    </row>
    <row r="1472" spans="1:13" ht="161.1">
      <c r="A1472" s="22" t="s">
        <v>14</v>
      </c>
      <c r="B1472" s="3" t="s">
        <v>4663</v>
      </c>
      <c r="C1472" s="3" t="s">
        <v>4664</v>
      </c>
      <c r="D1472" s="3" t="s">
        <v>192</v>
      </c>
      <c r="E1472" s="3" t="s">
        <v>46</v>
      </c>
      <c r="F1472" s="3" t="s">
        <v>4582</v>
      </c>
      <c r="G1472" s="3" t="s">
        <v>4610</v>
      </c>
      <c r="H1472" s="3" t="s">
        <v>4665</v>
      </c>
      <c r="I1472" s="3" t="str">
        <f>HYPERLINK("http://www.jccm.es/sede/tramite/K6J","ADHESION DE ENTIDADES PROGRAMADORAS A LA RED DE ARTES ESCENICAS Y MUSICALES DE CASTILLA-LA MANCHA.")</f>
        <v>ADHESION DE ENTIDADES PROGRAMADORAS A LA RED DE ARTES ESCENICAS Y MUSICALES DE CASTILLA-LA MANCHA.</v>
      </c>
      <c r="J1472" s="3" t="s">
        <v>41</v>
      </c>
      <c r="K1472" s="3" t="s">
        <v>41</v>
      </c>
      <c r="L1472" s="3" t="s">
        <v>42</v>
      </c>
      <c r="M1472" s="3" t="s">
        <v>41</v>
      </c>
    </row>
    <row r="1473" spans="1:13" ht="138">
      <c r="A1473" s="22" t="s">
        <v>14</v>
      </c>
      <c r="B1473" s="3" t="s">
        <v>4666</v>
      </c>
      <c r="C1473" s="3" t="s">
        <v>4667</v>
      </c>
      <c r="D1473" s="3" t="s">
        <v>51</v>
      </c>
      <c r="E1473" s="3" t="s">
        <v>46</v>
      </c>
      <c r="F1473" s="3" t="s">
        <v>4582</v>
      </c>
      <c r="G1473" s="3" t="s">
        <v>4668</v>
      </c>
      <c r="H1473" s="3" t="s">
        <v>4669</v>
      </c>
      <c r="I1473" s="3" t="str">
        <f>HYPERLINK("http://www.jccm.es/sede/tramite/KBC","CATALOGACION DE PUESTOS DE TRABAJO Y CENTROS DOCENTES PUBLICOS NO UNIVERSITARIOS COMO DE ESPECIAL DIFICULTAD POR LA CONSEJERIA DE EDUCACION, CULTURA Y DEPORTES.")</f>
        <v>CATALOGACION DE PUESTOS DE TRABAJO Y CENTROS DOCENTES PUBLICOS NO UNIVERSITARIOS COMO DE ESPECIAL DIFICULTAD POR LA CONSEJERIA DE EDUCACION, CULTURA Y DEPORTES.</v>
      </c>
      <c r="J1473" s="3" t="s">
        <v>41</v>
      </c>
      <c r="K1473" s="3" t="s">
        <v>41</v>
      </c>
      <c r="L1473" s="3" t="s">
        <v>42</v>
      </c>
      <c r="M1473" s="3" t="s">
        <v>41</v>
      </c>
    </row>
    <row r="1474" spans="1:13" ht="149.44999999999999">
      <c r="A1474" s="22" t="s">
        <v>14</v>
      </c>
      <c r="B1474" s="3" t="s">
        <v>4670</v>
      </c>
      <c r="C1474" s="3" t="s">
        <v>4671</v>
      </c>
      <c r="D1474" s="3" t="s">
        <v>327</v>
      </c>
      <c r="E1474" s="3" t="s">
        <v>37</v>
      </c>
      <c r="F1474" s="3" t="s">
        <v>4582</v>
      </c>
      <c r="G1474" s="3" t="s">
        <v>4672</v>
      </c>
      <c r="H1474" s="3" t="s">
        <v>4673</v>
      </c>
      <c r="I1474" s="3" t="str">
        <f>HYPERLINK("http://www.jccm.es/sede/tramite/L3R","CREACION DE ACADEMIAS CIENTIFICAS, ARTISTICAS Y LITERARIAS DE LA COMUNIDAD AUTONOMA DE CASTILLA-LA MANCHA.")</f>
        <v>CREACION DE ACADEMIAS CIENTIFICAS, ARTISTICAS Y LITERARIAS DE LA COMUNIDAD AUTONOMA DE CASTILLA-LA MANCHA.</v>
      </c>
      <c r="J1474" s="3" t="s">
        <v>42</v>
      </c>
      <c r="K1474" s="3" t="s">
        <v>41</v>
      </c>
      <c r="L1474" s="3" t="s">
        <v>42</v>
      </c>
      <c r="M1474" s="3" t="s">
        <v>41</v>
      </c>
    </row>
    <row r="1475" spans="1:13" ht="149.44999999999999">
      <c r="A1475" s="22" t="s">
        <v>14</v>
      </c>
      <c r="B1475" s="3" t="s">
        <v>4674</v>
      </c>
      <c r="C1475" s="3" t="s">
        <v>4675</v>
      </c>
      <c r="D1475" s="3" t="s">
        <v>45</v>
      </c>
      <c r="E1475" s="3" t="s">
        <v>37</v>
      </c>
      <c r="F1475" s="3" t="s">
        <v>4582</v>
      </c>
      <c r="G1475" s="3" t="s">
        <v>4672</v>
      </c>
      <c r="H1475" s="3" t="s">
        <v>4676</v>
      </c>
      <c r="I1475" s="3" t="str">
        <f>HYPERLINK("http://www.jccm.es/sede/tramite/L3S","INSCRIPCION EN EL REGISTRO DE ACADEMIAS DE CASTILLA-LA MANCHA")</f>
        <v>INSCRIPCION EN EL REGISTRO DE ACADEMIAS DE CASTILLA-LA MANCHA</v>
      </c>
      <c r="J1475" s="3" t="s">
        <v>41</v>
      </c>
      <c r="K1475" s="3" t="s">
        <v>41</v>
      </c>
      <c r="L1475" s="3" t="s">
        <v>42</v>
      </c>
      <c r="M1475" s="3" t="s">
        <v>41</v>
      </c>
    </row>
    <row r="1476" spans="1:13" ht="103.5">
      <c r="A1476" s="22" t="s">
        <v>14</v>
      </c>
      <c r="B1476" s="3" t="s">
        <v>4677</v>
      </c>
      <c r="C1476" s="3" t="s">
        <v>4678</v>
      </c>
      <c r="D1476" s="3" t="s">
        <v>1483</v>
      </c>
      <c r="E1476" s="3" t="s">
        <v>37</v>
      </c>
      <c r="F1476" s="3" t="s">
        <v>4582</v>
      </c>
      <c r="G1476" s="3" t="s">
        <v>4610</v>
      </c>
      <c r="H1476" s="3" t="s">
        <v>4679</v>
      </c>
      <c r="I1476" s="3" t="str">
        <f>HYPERLINK("http://www.jccm.es/sede/tramite/LDZ","ALTA COMO USUARIO COLECTIVO DE LA RED DE BIBLIOTECAS PUBLICAS DE CASTILLA-LA MANCHA")</f>
        <v>ALTA COMO USUARIO COLECTIVO DE LA RED DE BIBLIOTECAS PUBLICAS DE CASTILLA-LA MANCHA</v>
      </c>
      <c r="J1476" s="3" t="s">
        <v>42</v>
      </c>
      <c r="K1476" s="3" t="s">
        <v>41</v>
      </c>
      <c r="L1476" s="3" t="s">
        <v>42</v>
      </c>
      <c r="M1476" s="3" t="s">
        <v>41</v>
      </c>
    </row>
    <row r="1477" spans="1:13" ht="103.5">
      <c r="A1477" s="22" t="s">
        <v>14</v>
      </c>
      <c r="B1477" s="3" t="s">
        <v>4680</v>
      </c>
      <c r="C1477" s="3" t="s">
        <v>4681</v>
      </c>
      <c r="D1477" s="3" t="s">
        <v>1483</v>
      </c>
      <c r="E1477" s="3" t="s">
        <v>37</v>
      </c>
      <c r="F1477" s="3" t="s">
        <v>4582</v>
      </c>
      <c r="G1477" s="3" t="s">
        <v>4610</v>
      </c>
      <c r="H1477" s="3" t="s">
        <v>4682</v>
      </c>
      <c r="I1477" s="3" t="str">
        <f>HYPERLINK("http://www.jccm.es/sede/tramite/LE0","ALTA COMO PERSONA USUARIA DE LA RED DE BIBLIOTECAS PUBLICAS DE CASTILLA-LA MANCHA (TARJETA PERSONAL)")</f>
        <v>ALTA COMO PERSONA USUARIA DE LA RED DE BIBLIOTECAS PUBLICAS DE CASTILLA-LA MANCHA (TARJETA PERSONAL)</v>
      </c>
      <c r="J1477" s="3" t="s">
        <v>42</v>
      </c>
      <c r="K1477" s="3" t="s">
        <v>41</v>
      </c>
      <c r="L1477" s="3" t="s">
        <v>42</v>
      </c>
      <c r="M1477" s="3" t="s">
        <v>41</v>
      </c>
    </row>
    <row r="1478" spans="1:13" ht="114.95">
      <c r="A1478" s="22" t="s">
        <v>14</v>
      </c>
      <c r="B1478" s="3" t="s">
        <v>4683</v>
      </c>
      <c r="C1478" s="3" t="s">
        <v>4684</v>
      </c>
      <c r="D1478" s="3" t="s">
        <v>700</v>
      </c>
      <c r="E1478" s="3" t="s">
        <v>46</v>
      </c>
      <c r="F1478" s="3" t="s">
        <v>4582</v>
      </c>
      <c r="G1478" s="3" t="s">
        <v>4610</v>
      </c>
      <c r="H1478" s="3" t="s">
        <v>4685</v>
      </c>
      <c r="I1478" s="3" t="str">
        <f>HYPERLINK("http://www.jccm.es/sede/tramite/LG4","PRESENTACION DE PROPUESTAS DE ESPECTACULOS PARA EL PROGRAMA  CASTILLA-LA MANCHA ACTUA .")</f>
        <v>PRESENTACION DE PROPUESTAS DE ESPECTACULOS PARA EL PROGRAMA  CASTILLA-LA MANCHA ACTUA .</v>
      </c>
      <c r="J1478" s="3" t="s">
        <v>42</v>
      </c>
      <c r="K1478" s="3" t="s">
        <v>41</v>
      </c>
      <c r="L1478" s="3" t="s">
        <v>42</v>
      </c>
      <c r="M1478" s="3" t="s">
        <v>41</v>
      </c>
    </row>
    <row r="1479" spans="1:13" ht="114.95">
      <c r="A1479" s="22" t="s">
        <v>14</v>
      </c>
      <c r="B1479" s="3" t="s">
        <v>4686</v>
      </c>
      <c r="C1479" s="3" t="s">
        <v>4687</v>
      </c>
      <c r="D1479" s="3" t="s">
        <v>45</v>
      </c>
      <c r="E1479" s="3" t="s">
        <v>37</v>
      </c>
      <c r="F1479" s="3" t="s">
        <v>4582</v>
      </c>
      <c r="G1479" s="3" t="s">
        <v>4583</v>
      </c>
      <c r="H1479" s="3" t="s">
        <v>4688</v>
      </c>
      <c r="I1479" s="3" t="str">
        <f>HYPERLINK("http://www.jccm.es/sede/tramite/KP7","RECONOCIMIENTO DE CORRESPONSALES JUVENILES")</f>
        <v>RECONOCIMIENTO DE CORRESPONSALES JUVENILES</v>
      </c>
      <c r="J1479" s="3" t="s">
        <v>41</v>
      </c>
      <c r="K1479" s="3" t="s">
        <v>41</v>
      </c>
      <c r="L1479" s="3" t="s">
        <v>42</v>
      </c>
      <c r="M1479" s="3" t="s">
        <v>41</v>
      </c>
    </row>
    <row r="1480" spans="1:13" ht="114.95">
      <c r="A1480" s="22" t="s">
        <v>14</v>
      </c>
      <c r="B1480" s="3" t="s">
        <v>4689</v>
      </c>
      <c r="C1480" s="3" t="s">
        <v>4690</v>
      </c>
      <c r="D1480" s="3" t="s">
        <v>45</v>
      </c>
      <c r="E1480" s="3" t="s">
        <v>37</v>
      </c>
      <c r="F1480" s="3" t="s">
        <v>4582</v>
      </c>
      <c r="G1480" s="3" t="s">
        <v>4583</v>
      </c>
      <c r="H1480" s="3" t="s">
        <v>4691</v>
      </c>
      <c r="I1480" s="3" t="str">
        <f>HYPERLINK("http://www.jccm.es/sede/tramite/IDS","RECONOCIMIENTO DE CENTROS Y PUNTOS DE INFORMACION JUVENIL")</f>
        <v>RECONOCIMIENTO DE CENTROS Y PUNTOS DE INFORMACION JUVENIL</v>
      </c>
      <c r="J1480" s="3" t="s">
        <v>41</v>
      </c>
      <c r="K1480" s="3" t="s">
        <v>41</v>
      </c>
      <c r="L1480" s="3" t="s">
        <v>42</v>
      </c>
      <c r="M1480" s="3" t="s">
        <v>41</v>
      </c>
    </row>
    <row r="1481" spans="1:13" ht="138">
      <c r="A1481" s="22" t="s">
        <v>14</v>
      </c>
      <c r="B1481" s="3" t="s">
        <v>4692</v>
      </c>
      <c r="C1481" s="3" t="s">
        <v>4693</v>
      </c>
      <c r="D1481" s="3" t="s">
        <v>45</v>
      </c>
      <c r="E1481" s="3" t="s">
        <v>46</v>
      </c>
      <c r="F1481" s="3" t="s">
        <v>4582</v>
      </c>
      <c r="G1481" s="3" t="s">
        <v>4587</v>
      </c>
      <c r="H1481" s="3" t="s">
        <v>4694</v>
      </c>
      <c r="I1481" s="3" t="str">
        <f>HYPERLINK("http://www.jccm.es/sede/tramite/LN8","MATRICULACION DE ALUMNADO EN CENTROS DOCENTES PUBLICOS Y PRIVADOS CONCERTADOS, 2º CICLO E. INFANTIL, E. PRIMARIA.")</f>
        <v>MATRICULACION DE ALUMNADO EN CENTROS DOCENTES PUBLICOS Y PRIVADOS CONCERTADOS, 2º CICLO E. INFANTIL, E. PRIMARIA.</v>
      </c>
      <c r="J1481" s="3" t="s">
        <v>42</v>
      </c>
      <c r="K1481" s="3" t="s">
        <v>41</v>
      </c>
      <c r="L1481" s="3" t="s">
        <v>42</v>
      </c>
      <c r="M1481" s="3" t="s">
        <v>41</v>
      </c>
    </row>
    <row r="1482" spans="1:13" ht="138">
      <c r="A1482" s="22" t="s">
        <v>14</v>
      </c>
      <c r="B1482" s="3" t="s">
        <v>4695</v>
      </c>
      <c r="C1482" s="3" t="s">
        <v>4696</v>
      </c>
      <c r="D1482" s="3" t="s">
        <v>45</v>
      </c>
      <c r="E1482" s="3" t="s">
        <v>46</v>
      </c>
      <c r="F1482" s="3" t="s">
        <v>4582</v>
      </c>
      <c r="G1482" s="3" t="s">
        <v>4587</v>
      </c>
      <c r="H1482" s="3" t="s">
        <v>4697</v>
      </c>
      <c r="I1482" s="3" t="str">
        <f>HYPERLINK("http://www.jccm.es/sede/tramite/LN7","MATRICULACION DE ALUMNADO EN CENTROS DOCENTES PUBLICOS Y PRIVADOS CONCERTADOS, ESO Y BACHILLERATO.")</f>
        <v>MATRICULACION DE ALUMNADO EN CENTROS DOCENTES PUBLICOS Y PRIVADOS CONCERTADOS, ESO Y BACHILLERATO.</v>
      </c>
      <c r="J1482" s="3" t="s">
        <v>42</v>
      </c>
      <c r="K1482" s="3" t="s">
        <v>41</v>
      </c>
      <c r="L1482" s="3" t="s">
        <v>42</v>
      </c>
      <c r="M1482" s="3" t="s">
        <v>41</v>
      </c>
    </row>
    <row r="1483" spans="1:13" ht="252.95">
      <c r="A1483" s="22" t="s">
        <v>14</v>
      </c>
      <c r="B1483" s="3" t="s">
        <v>4698</v>
      </c>
      <c r="C1483" s="3" t="s">
        <v>4699</v>
      </c>
      <c r="D1483" s="3" t="s">
        <v>4700</v>
      </c>
      <c r="E1483" s="3" t="s">
        <v>46</v>
      </c>
      <c r="F1483" s="3" t="s">
        <v>4582</v>
      </c>
      <c r="G1483" s="3" t="s">
        <v>4587</v>
      </c>
      <c r="H1483" s="3" t="s">
        <v>4701</v>
      </c>
      <c r="I1483" s="3" t="str">
        <f>HYPERLINK("http://www.jccm.es/sede/tramite/417","CONVOCATORIA DE PLAZAS Y AYUDAS CURSOS DE IDIOMAS EN EL EXTRANJERO.")</f>
        <v>CONVOCATORIA DE PLAZAS Y AYUDAS CURSOS DE IDIOMAS EN EL EXTRANJERO.</v>
      </c>
      <c r="J1483" s="3" t="s">
        <v>41</v>
      </c>
      <c r="K1483" s="3" t="s">
        <v>41</v>
      </c>
      <c r="L1483" s="3" t="s">
        <v>42</v>
      </c>
      <c r="M1483" s="3" t="s">
        <v>41</v>
      </c>
    </row>
    <row r="1484" spans="1:13" ht="161.1">
      <c r="A1484" s="22" t="s">
        <v>14</v>
      </c>
      <c r="B1484" s="3" t="s">
        <v>4702</v>
      </c>
      <c r="C1484" s="3" t="s">
        <v>4703</v>
      </c>
      <c r="D1484" s="3" t="s">
        <v>926</v>
      </c>
      <c r="E1484" s="3" t="s">
        <v>46</v>
      </c>
      <c r="F1484" s="3" t="s">
        <v>4582</v>
      </c>
      <c r="G1484" s="3" t="s">
        <v>4603</v>
      </c>
      <c r="H1484" s="3" t="s">
        <v>4704</v>
      </c>
      <c r="I1484" s="3" t="str">
        <f>HYPERLINK("http://www.jccm.es/sede/tramite/I4K","AYUDAS INDIVIDUALES DE TRANSPORTE ESCOLAR EN LOS CENTROS DOCENTES PUBLICOS NO UNIVERSITARIOS DE CASTILLA-LA MANCHA")</f>
        <v>AYUDAS INDIVIDUALES DE TRANSPORTE ESCOLAR EN LOS CENTROS DOCENTES PUBLICOS NO UNIVERSITARIOS DE CASTILLA-LA MANCHA</v>
      </c>
      <c r="J1484" s="3" t="s">
        <v>41</v>
      </c>
      <c r="K1484" s="3" t="s">
        <v>41</v>
      </c>
      <c r="L1484" s="3" t="s">
        <v>42</v>
      </c>
      <c r="M1484" s="3" t="s">
        <v>41</v>
      </c>
    </row>
    <row r="1485" spans="1:13" ht="92.1">
      <c r="A1485" s="22" t="s">
        <v>14</v>
      </c>
      <c r="B1485" s="3" t="s">
        <v>4705</v>
      </c>
      <c r="C1485" s="3" t="s">
        <v>4706</v>
      </c>
      <c r="D1485" s="3" t="s">
        <v>4707</v>
      </c>
      <c r="E1485" s="3" t="s">
        <v>46</v>
      </c>
      <c r="F1485" s="3" t="s">
        <v>4582</v>
      </c>
      <c r="G1485" s="3" t="s">
        <v>4591</v>
      </c>
      <c r="H1485" s="3" t="s">
        <v>4708</v>
      </c>
      <c r="I1485" s="3" t="str">
        <f>HYPERLINK("http://www.jccm.es/sede/tramite/I7I","PREMIOS EXTRAORDINARIOS DE BACHILLERATO DE LA COMUNIDAD AUTONOMA DE CASTILLA-LA MANCHA..")</f>
        <v>PREMIOS EXTRAORDINARIOS DE BACHILLERATO DE LA COMUNIDAD AUTONOMA DE CASTILLA-LA MANCHA..</v>
      </c>
      <c r="J1485" s="3" t="s">
        <v>42</v>
      </c>
      <c r="K1485" s="3" t="s">
        <v>41</v>
      </c>
      <c r="L1485" s="3" t="s">
        <v>42</v>
      </c>
      <c r="M1485" s="3" t="s">
        <v>41</v>
      </c>
    </row>
    <row r="1486" spans="1:13" ht="230.1">
      <c r="A1486" s="22" t="s">
        <v>14</v>
      </c>
      <c r="B1486" s="3" t="s">
        <v>4709</v>
      </c>
      <c r="C1486" s="3" t="s">
        <v>4710</v>
      </c>
      <c r="D1486" s="3" t="s">
        <v>45</v>
      </c>
      <c r="E1486" s="3" t="s">
        <v>46</v>
      </c>
      <c r="F1486" s="3" t="s">
        <v>4582</v>
      </c>
      <c r="G1486" s="3" t="s">
        <v>4591</v>
      </c>
      <c r="H1486" s="3" t="s">
        <v>4711</v>
      </c>
      <c r="I1486" s="3" t="str">
        <f>HYPERLINK("http://www.jccm.es/sede/tramite/IYN","RECURSOS ADICIONALES PARA ALUMNADO CON NECESIDADES ESPECIFICAS DE APOYO EDUCATIVO EN CENTROS PRIVADOS-CONCERTADOS DE CASTILLA-LA MANCHA COMO COMPLEMENTO DEL CONCIERTO EDUCATIVO.")</f>
        <v>RECURSOS ADICIONALES PARA ALUMNADO CON NECESIDADES ESPECIFICAS DE APOYO EDUCATIVO EN CENTROS PRIVADOS-CONCERTADOS DE CASTILLA-LA MANCHA COMO COMPLEMENTO DEL CONCIERTO EDUCATIVO.</v>
      </c>
      <c r="J1486" s="3" t="s">
        <v>41</v>
      </c>
      <c r="K1486" s="3" t="s">
        <v>41</v>
      </c>
      <c r="L1486" s="3" t="s">
        <v>42</v>
      </c>
      <c r="M1486" s="3" t="s">
        <v>41</v>
      </c>
    </row>
    <row r="1487" spans="1:13" ht="114.95">
      <c r="A1487" s="22" t="s">
        <v>14</v>
      </c>
      <c r="B1487" s="3" t="s">
        <v>4712</v>
      </c>
      <c r="C1487" s="3" t="s">
        <v>4713</v>
      </c>
      <c r="D1487" s="3" t="s">
        <v>45</v>
      </c>
      <c r="E1487" s="3" t="s">
        <v>46</v>
      </c>
      <c r="F1487" s="3" t="s">
        <v>4582</v>
      </c>
      <c r="G1487" s="3" t="s">
        <v>4583</v>
      </c>
      <c r="H1487" s="3" t="s">
        <v>4714</v>
      </c>
      <c r="I1487" s="3" t="str">
        <f>HYPERLINK("http://www.jccm.es/sede/tramite/IE5","PREMIOS Y DISTINCIONES AL MERITO DEPORTIVO DE CASTILLA-LA MANCHA")</f>
        <v>PREMIOS Y DISTINCIONES AL MERITO DEPORTIVO DE CASTILLA-LA MANCHA</v>
      </c>
      <c r="J1487" s="3" t="s">
        <v>42</v>
      </c>
      <c r="K1487" s="3" t="s">
        <v>41</v>
      </c>
      <c r="L1487" s="3" t="s">
        <v>42</v>
      </c>
      <c r="M1487" s="3" t="s">
        <v>41</v>
      </c>
    </row>
    <row r="1488" spans="1:13" ht="149.44999999999999">
      <c r="A1488" s="22" t="s">
        <v>14</v>
      </c>
      <c r="B1488" s="3" t="s">
        <v>4715</v>
      </c>
      <c r="C1488" s="3" t="s">
        <v>4716</v>
      </c>
      <c r="D1488" s="3" t="s">
        <v>45</v>
      </c>
      <c r="E1488" s="3" t="s">
        <v>46</v>
      </c>
      <c r="F1488" s="3" t="s">
        <v>4582</v>
      </c>
      <c r="G1488" s="3" t="s">
        <v>4672</v>
      </c>
      <c r="H1488" s="3" t="s">
        <v>4717</v>
      </c>
      <c r="I1488" s="3" t="str">
        <f>HYPERLINK("http://www.jccm.es/sede/tramite/F00","ADMISION EN RESIDENCIAS UNIVERSITARIAS DE CASTILLA-LA MANCHA")</f>
        <v>ADMISION EN RESIDENCIAS UNIVERSITARIAS DE CASTILLA-LA MANCHA</v>
      </c>
      <c r="J1488" s="3" t="s">
        <v>41</v>
      </c>
      <c r="K1488" s="3" t="s">
        <v>41</v>
      </c>
      <c r="L1488" s="3" t="s">
        <v>42</v>
      </c>
      <c r="M1488" s="3" t="s">
        <v>41</v>
      </c>
    </row>
    <row r="1489" spans="1:13" ht="207">
      <c r="A1489" s="22" t="s">
        <v>14</v>
      </c>
      <c r="B1489" s="3" t="s">
        <v>4718</v>
      </c>
      <c r="C1489" s="3" t="s">
        <v>4719</v>
      </c>
      <c r="D1489" s="3" t="s">
        <v>36</v>
      </c>
      <c r="E1489" s="3" t="s">
        <v>46</v>
      </c>
      <c r="F1489" s="3" t="s">
        <v>4582</v>
      </c>
      <c r="G1489" s="3" t="s">
        <v>4610</v>
      </c>
      <c r="H1489" s="3" t="s">
        <v>4720</v>
      </c>
      <c r="I1489" s="3" t="str">
        <f>HYPERLINK("http://www.jccm.es/sede/tramite/IBT","SUBVENCIONES PARA ADQUISICIONES BIBLIOGRAFICAS, PUBLICACIONES PERIODICAS Y MULTIMEDIA PARA LAS BIBLIOTECAS PUBLICAS MUNICIPALES DE CASTILLA-LA MANCHA")</f>
        <v>SUBVENCIONES PARA ADQUISICIONES BIBLIOGRAFICAS, PUBLICACIONES PERIODICAS Y MULTIMEDIA PARA LAS BIBLIOTECAS PUBLICAS MUNICIPALES DE CASTILLA-LA MANCHA</v>
      </c>
      <c r="J1489" s="3" t="s">
        <v>41</v>
      </c>
      <c r="K1489" s="3" t="s">
        <v>41</v>
      </c>
      <c r="L1489" s="3" t="s">
        <v>42</v>
      </c>
      <c r="M1489" s="3" t="s">
        <v>41</v>
      </c>
    </row>
    <row r="1490" spans="1:13" ht="138">
      <c r="A1490" s="22" t="s">
        <v>14</v>
      </c>
      <c r="B1490" s="3" t="s">
        <v>4721</v>
      </c>
      <c r="C1490" s="3" t="s">
        <v>4722</v>
      </c>
      <c r="D1490" s="3" t="s">
        <v>36</v>
      </c>
      <c r="E1490" s="3" t="s">
        <v>46</v>
      </c>
      <c r="F1490" s="3" t="s">
        <v>4582</v>
      </c>
      <c r="G1490" s="3" t="s">
        <v>4610</v>
      </c>
      <c r="H1490" s="3" t="s">
        <v>4723</v>
      </c>
      <c r="I1490" s="3" t="str">
        <f>HYPERLINK("http://www.jccm.es/sede/tramite/IQI","SUBVENCIONES PARA LA DOTACION Y MEJORA DE EQUIPAMIENTO DE BIBLIOTECAS MUNICIPALES DE CASTILLA-LA MANCHA")</f>
        <v>SUBVENCIONES PARA LA DOTACION Y MEJORA DE EQUIPAMIENTO DE BIBLIOTECAS MUNICIPALES DE CASTILLA-LA MANCHA</v>
      </c>
      <c r="J1490" s="3" t="s">
        <v>41</v>
      </c>
      <c r="K1490" s="3" t="s">
        <v>41</v>
      </c>
      <c r="L1490" s="3" t="s">
        <v>42</v>
      </c>
      <c r="M1490" s="3" t="s">
        <v>41</v>
      </c>
    </row>
    <row r="1491" spans="1:13" ht="114.95">
      <c r="A1491" s="22" t="s">
        <v>14</v>
      </c>
      <c r="B1491" s="3" t="s">
        <v>4724</v>
      </c>
      <c r="C1491" s="3" t="s">
        <v>4725</v>
      </c>
      <c r="D1491" s="3" t="s">
        <v>36</v>
      </c>
      <c r="E1491" s="3" t="s">
        <v>46</v>
      </c>
      <c r="F1491" s="3" t="s">
        <v>4582</v>
      </c>
      <c r="G1491" s="3" t="s">
        <v>4610</v>
      </c>
      <c r="H1491" s="3" t="s">
        <v>4726</v>
      </c>
      <c r="I1491" s="3" t="str">
        <f>HYPERLINK("http://www.jccm.es/sede/tramite/IB8","SUBVENCIONES PARA EL MANTENIMIENTO DE CONTRATOS DE BIBLIOTECARIOS MUNICIPALES POR ENTIDADES LOCALES DE CASTILLA-LA MANCHA")</f>
        <v>SUBVENCIONES PARA EL MANTENIMIENTO DE CONTRATOS DE BIBLIOTECARIOS MUNICIPALES POR ENTIDADES LOCALES DE CASTILLA-LA MANCHA</v>
      </c>
      <c r="J1491" s="3" t="s">
        <v>41</v>
      </c>
      <c r="K1491" s="3" t="s">
        <v>41</v>
      </c>
      <c r="L1491" s="3" t="s">
        <v>42</v>
      </c>
      <c r="M1491" s="3" t="s">
        <v>41</v>
      </c>
    </row>
    <row r="1492" spans="1:13" ht="264.60000000000002">
      <c r="A1492" s="22" t="s">
        <v>14</v>
      </c>
      <c r="B1492" s="3" t="s">
        <v>4727</v>
      </c>
      <c r="C1492" s="3" t="s">
        <v>4728</v>
      </c>
      <c r="D1492" s="3" t="s">
        <v>51</v>
      </c>
      <c r="E1492" s="3" t="s">
        <v>46</v>
      </c>
      <c r="F1492" s="3" t="s">
        <v>4582</v>
      </c>
      <c r="G1492" s="3" t="s">
        <v>4587</v>
      </c>
      <c r="H1492" s="3" t="s">
        <v>4729</v>
      </c>
      <c r="I1492" s="3" t="str">
        <f>HYPERLINK("http://www.jccm.es/sede/tramite/G85","AYUDAS PARA REALIZAR CURSOS DE FORMACION LINGUISTICA Y/O METODOLOGICA FUERA DE ESPAÑA PARA EL PROFESORADO DE CENTROS PUBLICOS DE TITULARIDAD DE LA JCCM")</f>
        <v>AYUDAS PARA REALIZAR CURSOS DE FORMACION LINGUISTICA Y/O METODOLOGICA FUERA DE ESPAÑA PARA EL PROFESORADO DE CENTROS PUBLICOS DE TITULARIDAD DE LA JCCM</v>
      </c>
      <c r="J1492" s="3" t="s">
        <v>41</v>
      </c>
      <c r="K1492" s="3" t="s">
        <v>41</v>
      </c>
      <c r="L1492" s="3" t="s">
        <v>42</v>
      </c>
      <c r="M1492" s="3" t="s">
        <v>41</v>
      </c>
    </row>
    <row r="1493" spans="1:13" ht="114.95">
      <c r="A1493" s="22" t="s">
        <v>14</v>
      </c>
      <c r="B1493" s="3" t="s">
        <v>4730</v>
      </c>
      <c r="C1493" s="3" t="s">
        <v>4731</v>
      </c>
      <c r="D1493" s="3" t="s">
        <v>4732</v>
      </c>
      <c r="E1493" s="3" t="s">
        <v>46</v>
      </c>
      <c r="F1493" s="3" t="s">
        <v>4582</v>
      </c>
      <c r="G1493" s="3" t="s">
        <v>4591</v>
      </c>
      <c r="H1493" s="3" t="s">
        <v>4733</v>
      </c>
      <c r="I1493" s="3" t="str">
        <f>HYPERLINK("http://www.jccm.es/sede/tramite/IHZ","CONVOCATORIA DE SUBVENCIONES PARA EL MANTENIMIENTO DE CENTROS DE EDUCACION INFANTIL")</f>
        <v>CONVOCATORIA DE SUBVENCIONES PARA EL MANTENIMIENTO DE CENTROS DE EDUCACION INFANTIL</v>
      </c>
      <c r="J1493" s="3" t="s">
        <v>41</v>
      </c>
      <c r="K1493" s="3" t="s">
        <v>41</v>
      </c>
      <c r="L1493" s="3" t="s">
        <v>42</v>
      </c>
      <c r="M1493" s="3" t="s">
        <v>41</v>
      </c>
    </row>
    <row r="1494" spans="1:13" ht="114.95">
      <c r="A1494" s="22" t="s">
        <v>14</v>
      </c>
      <c r="B1494" s="3" t="s">
        <v>4734</v>
      </c>
      <c r="C1494" s="3" t="s">
        <v>4735</v>
      </c>
      <c r="D1494" s="3" t="s">
        <v>4736</v>
      </c>
      <c r="E1494" s="3" t="s">
        <v>46</v>
      </c>
      <c r="F1494" s="3" t="s">
        <v>4582</v>
      </c>
      <c r="G1494" s="3" t="s">
        <v>4591</v>
      </c>
      <c r="H1494" s="3" t="s">
        <v>4737</v>
      </c>
      <c r="I1494" s="3" t="str">
        <f>HYPERLINK("http://www.jccm.es/sede/tramite/IUE","CONVOCATORIA DE SUBVENCIONES PARA EL MANTENIMIENTO DE ESCUELAS INFANTILES")</f>
        <v>CONVOCATORIA DE SUBVENCIONES PARA EL MANTENIMIENTO DE ESCUELAS INFANTILES</v>
      </c>
      <c r="J1494" s="3" t="s">
        <v>41</v>
      </c>
      <c r="K1494" s="3" t="s">
        <v>41</v>
      </c>
      <c r="L1494" s="3" t="s">
        <v>42</v>
      </c>
      <c r="M1494" s="3" t="s">
        <v>41</v>
      </c>
    </row>
    <row r="1495" spans="1:13" ht="126.6">
      <c r="A1495" s="22" t="s">
        <v>14</v>
      </c>
      <c r="B1495" s="3" t="s">
        <v>4738</v>
      </c>
      <c r="C1495" s="3" t="s">
        <v>4739</v>
      </c>
      <c r="D1495" s="3" t="s">
        <v>45</v>
      </c>
      <c r="E1495" s="3" t="s">
        <v>46</v>
      </c>
      <c r="F1495" s="3" t="s">
        <v>4582</v>
      </c>
      <c r="G1495" s="3" t="s">
        <v>4610</v>
      </c>
      <c r="H1495" s="3" t="s">
        <v>4740</v>
      </c>
      <c r="I1495" s="3" t="str">
        <f>HYPERLINK("http://www.jccm.es/sede/tramite/JR1","CONCESION DE PREMIOS EN METALICO POR EL HALLAZGO DE OBJETOS Y RESTOS ARQUEOLOGICOS.")</f>
        <v>CONCESION DE PREMIOS EN METALICO POR EL HALLAZGO DE OBJETOS Y RESTOS ARQUEOLOGICOS.</v>
      </c>
      <c r="J1495" s="3" t="s">
        <v>42</v>
      </c>
      <c r="K1495" s="3" t="s">
        <v>41</v>
      </c>
      <c r="L1495" s="3" t="s">
        <v>42</v>
      </c>
      <c r="M1495" s="3" t="s">
        <v>41</v>
      </c>
    </row>
    <row r="1496" spans="1:13" ht="114.95">
      <c r="A1496" s="22" t="s">
        <v>14</v>
      </c>
      <c r="B1496" s="3" t="s">
        <v>4741</v>
      </c>
      <c r="C1496" s="3" t="s">
        <v>4742</v>
      </c>
      <c r="D1496" s="3" t="s">
        <v>70</v>
      </c>
      <c r="E1496" s="3" t="s">
        <v>46</v>
      </c>
      <c r="F1496" s="3" t="s">
        <v>4582</v>
      </c>
      <c r="G1496" s="3" t="s">
        <v>4603</v>
      </c>
      <c r="H1496" s="3" t="s">
        <v>4743</v>
      </c>
      <c r="I1496" s="3" t="str">
        <f>HYPERLINK("http://www.jccm.es/sede/tramite/294","CONVOCATORIA DE PLAZAS DE ESTANCIA EN RESIDENCIAS ESCOLARES DE CASTILLA-LA MANCHA.")</f>
        <v>CONVOCATORIA DE PLAZAS DE ESTANCIA EN RESIDENCIAS ESCOLARES DE CASTILLA-LA MANCHA.</v>
      </c>
      <c r="J1496" s="3" t="s">
        <v>42</v>
      </c>
      <c r="K1496" s="3" t="s">
        <v>41</v>
      </c>
      <c r="L1496" s="3" t="s">
        <v>42</v>
      </c>
      <c r="M1496" s="3" t="s">
        <v>41</v>
      </c>
    </row>
    <row r="1497" spans="1:13" ht="183.95">
      <c r="A1497" s="22" t="s">
        <v>14</v>
      </c>
      <c r="B1497" s="3" t="s">
        <v>4744</v>
      </c>
      <c r="C1497" s="3" t="s">
        <v>4745</v>
      </c>
      <c r="D1497" s="3" t="s">
        <v>4746</v>
      </c>
      <c r="E1497" s="3" t="s">
        <v>46</v>
      </c>
      <c r="F1497" s="3" t="s">
        <v>4582</v>
      </c>
      <c r="G1497" s="3" t="s">
        <v>4603</v>
      </c>
      <c r="H1497" s="3" t="s">
        <v>4747</v>
      </c>
      <c r="I1497" s="3" t="str">
        <f>HYPERLINK("http://www.jccm.es/sede/tramite/K5Y","SUBVENCIONES PARA LA ADQUISICION DE MATERIALES CURRICULARES PARA ALUMNADO EBO MATRICULADO EN CENTROS DE EDUCACION ESPECIAL PRIVADOS CONCERTADOS DE CASTILLA-LA MANCHA")</f>
        <v>SUBVENCIONES PARA LA ADQUISICION DE MATERIALES CURRICULARES PARA ALUMNADO EBO MATRICULADO EN CENTROS DE EDUCACION ESPECIAL PRIVADOS CONCERTADOS DE CASTILLA-LA MANCHA</v>
      </c>
      <c r="J1497" s="3" t="s">
        <v>41</v>
      </c>
      <c r="K1497" s="3" t="s">
        <v>41</v>
      </c>
      <c r="L1497" s="3" t="s">
        <v>42</v>
      </c>
      <c r="M1497" s="3" t="s">
        <v>41</v>
      </c>
    </row>
    <row r="1498" spans="1:13" ht="161.1">
      <c r="A1498" s="22" t="s">
        <v>14</v>
      </c>
      <c r="B1498" s="3" t="s">
        <v>4748</v>
      </c>
      <c r="C1498" s="3" t="s">
        <v>4749</v>
      </c>
      <c r="D1498" s="3" t="s">
        <v>45</v>
      </c>
      <c r="E1498" s="3" t="s">
        <v>46</v>
      </c>
      <c r="F1498" s="3" t="s">
        <v>4582</v>
      </c>
      <c r="G1498" s="3" t="s">
        <v>4614</v>
      </c>
      <c r="H1498" s="3" t="s">
        <v>4750</v>
      </c>
      <c r="I1498" s="3" t="str">
        <f>HYPERLINK("http://www.jccm.es/sede/tramite/K5A","BECAS DE FORMACION A LOS ALUMNOS QUE PARTICIPEN EN LOS PROYECTOS DE FORMACION PROFESIONAL DUAL EN CASTILLA-LA MANCHA, AUTORIZADOS DURANTE EL CURSO 2019-2020")</f>
        <v>BECAS DE FORMACION A LOS ALUMNOS QUE PARTICIPEN EN LOS PROYECTOS DE FORMACION PROFESIONAL DUAL EN CASTILLA-LA MANCHA, AUTORIZADOS DURANTE EL CURSO 2019-2020</v>
      </c>
      <c r="J1498" s="3" t="s">
        <v>41</v>
      </c>
      <c r="K1498" s="3" t="s">
        <v>41</v>
      </c>
      <c r="L1498" s="3" t="s">
        <v>42</v>
      </c>
      <c r="M1498" s="3" t="s">
        <v>41</v>
      </c>
    </row>
    <row r="1499" spans="1:13" ht="172.5">
      <c r="A1499" s="22" t="s">
        <v>14</v>
      </c>
      <c r="B1499" s="3" t="s">
        <v>4751</v>
      </c>
      <c r="C1499" s="3" t="s">
        <v>4752</v>
      </c>
      <c r="D1499" s="3" t="s">
        <v>45</v>
      </c>
      <c r="E1499" s="3" t="s">
        <v>46</v>
      </c>
      <c r="F1499" s="3" t="s">
        <v>4582</v>
      </c>
      <c r="G1499" s="3" t="s">
        <v>4610</v>
      </c>
      <c r="H1499" s="3" t="s">
        <v>4753</v>
      </c>
      <c r="I1499" s="3" t="str">
        <f>HYPERLINK("http://www.jccm.es/sede/tramite/IFA","SUBVENCIONES PARA LA FINANCIACION DE PROYECTOS DE INVESTIGACION DEL PATRIMONIO ARQUEOLOGICO Y PALEONTOLOGICO DE CASTILLA - LA MANCHA")</f>
        <v>SUBVENCIONES PARA LA FINANCIACION DE PROYECTOS DE INVESTIGACION DEL PATRIMONIO ARQUEOLOGICO Y PALEONTOLOGICO DE CASTILLA - LA MANCHA</v>
      </c>
      <c r="J1499" s="3" t="s">
        <v>41</v>
      </c>
      <c r="K1499" s="3" t="s">
        <v>41</v>
      </c>
      <c r="L1499" s="3" t="s">
        <v>42</v>
      </c>
      <c r="M1499" s="3" t="s">
        <v>41</v>
      </c>
    </row>
    <row r="1500" spans="1:13" ht="114.95">
      <c r="A1500" s="22" t="s">
        <v>14</v>
      </c>
      <c r="B1500" s="3" t="s">
        <v>4754</v>
      </c>
      <c r="C1500" s="3" t="s">
        <v>4755</v>
      </c>
      <c r="D1500" s="3" t="s">
        <v>4756</v>
      </c>
      <c r="E1500" s="3" t="s">
        <v>46</v>
      </c>
      <c r="F1500" s="3" t="s">
        <v>4582</v>
      </c>
      <c r="G1500" s="3" t="s">
        <v>4591</v>
      </c>
      <c r="H1500" s="3" t="s">
        <v>4757</v>
      </c>
      <c r="I1500" s="3" t="str">
        <f>HYPERLINK("http://www.jccm.es/sede/tramite/K9Z","PREMIOS EXTRAORDINARIOS DE ENSEÑANZAS ARTISTICAS PROFESIONALES DE LA COMUNIDAD AUTONOMA DE CASTILLA-LA MANCHA.")</f>
        <v>PREMIOS EXTRAORDINARIOS DE ENSEÑANZAS ARTISTICAS PROFESIONALES DE LA COMUNIDAD AUTONOMA DE CASTILLA-LA MANCHA.</v>
      </c>
      <c r="J1500" s="3" t="s">
        <v>42</v>
      </c>
      <c r="K1500" s="3" t="s">
        <v>41</v>
      </c>
      <c r="L1500" s="3" t="s">
        <v>41</v>
      </c>
      <c r="M1500" s="3" t="s">
        <v>41</v>
      </c>
    </row>
    <row r="1501" spans="1:13" ht="172.5">
      <c r="A1501" s="22" t="s">
        <v>14</v>
      </c>
      <c r="B1501" s="3" t="s">
        <v>4758</v>
      </c>
      <c r="C1501" s="3" t="s">
        <v>4759</v>
      </c>
      <c r="D1501" s="3" t="s">
        <v>4760</v>
      </c>
      <c r="E1501" s="3" t="s">
        <v>46</v>
      </c>
      <c r="F1501" s="3" t="s">
        <v>4582</v>
      </c>
      <c r="G1501" s="3" t="s">
        <v>4591</v>
      </c>
      <c r="H1501" s="3" t="s">
        <v>4761</v>
      </c>
      <c r="I1501" s="3" t="str">
        <f>HYPERLINK("http://www.jccm.es/sede/tramite/KA0",".PREMIOS EXTRAORDINARIOS DE EDUCACION SECUNDARIA OBLIGATORIA DE LA COMUNIDAD AUTONOMA DE CASTILLA-LA MANCHA.")</f>
        <v>.PREMIOS EXTRAORDINARIOS DE EDUCACION SECUNDARIA OBLIGATORIA DE LA COMUNIDAD AUTONOMA DE CASTILLA-LA MANCHA.</v>
      </c>
      <c r="J1501" s="3" t="s">
        <v>42</v>
      </c>
      <c r="K1501" s="3" t="s">
        <v>41</v>
      </c>
      <c r="L1501" s="3" t="s">
        <v>42</v>
      </c>
      <c r="M1501" s="3" t="s">
        <v>41</v>
      </c>
    </row>
    <row r="1502" spans="1:13" ht="333.6">
      <c r="A1502" s="22" t="s">
        <v>14</v>
      </c>
      <c r="B1502" s="3" t="s">
        <v>4762</v>
      </c>
      <c r="C1502" s="3" t="s">
        <v>4763</v>
      </c>
      <c r="D1502" s="3" t="s">
        <v>327</v>
      </c>
      <c r="E1502" s="3" t="s">
        <v>46</v>
      </c>
      <c r="F1502" s="3" t="s">
        <v>4582</v>
      </c>
      <c r="G1502" s="3" t="s">
        <v>4672</v>
      </c>
      <c r="H1502" s="3" t="s">
        <v>4764</v>
      </c>
      <c r="I1502" s="3" t="str">
        <f>HYPERLINK("http://www.jccm.es/sede/tramite/ILM","AYUDAS PARA LA CONTRATACION DE DOCTORES EN CENTROS PUBLICOS DE INVESTIGACION Y  EMPRESAS, DENTRO DE LAS MEDIDAS PARA EL RETORNO Y LA RETENCION DEL TALENTO, COFINANCIADAS POR LA JCCM Y EL FSE +")</f>
        <v>AYUDAS PARA LA CONTRATACION DE DOCTORES EN CENTROS PUBLICOS DE INVESTIGACION Y  EMPRESAS, DENTRO DE LAS MEDIDAS PARA EL RETORNO Y LA RETENCION DEL TALENTO, COFINANCIADAS POR LA JCCM Y EL FSE +</v>
      </c>
      <c r="J1502" s="3" t="s">
        <v>41</v>
      </c>
      <c r="K1502" s="3" t="s">
        <v>41</v>
      </c>
      <c r="L1502" s="3" t="s">
        <v>42</v>
      </c>
      <c r="M1502" s="3" t="s">
        <v>41</v>
      </c>
    </row>
    <row r="1503" spans="1:13" ht="149.44999999999999">
      <c r="A1503" s="22" t="s">
        <v>14</v>
      </c>
      <c r="B1503" s="3" t="s">
        <v>4765</v>
      </c>
      <c r="C1503" s="3" t="s">
        <v>4766</v>
      </c>
      <c r="D1503" s="3" t="s">
        <v>327</v>
      </c>
      <c r="E1503" s="3" t="s">
        <v>46</v>
      </c>
      <c r="F1503" s="3" t="s">
        <v>4582</v>
      </c>
      <c r="G1503" s="3" t="s">
        <v>4672</v>
      </c>
      <c r="H1503" s="3" t="s">
        <v>4767</v>
      </c>
      <c r="I1503" s="3" t="str">
        <f>HYPERLINK("http://www.jccm.es/sede/tramite/KAZ","AYUDAS PARA REALIZACION DE PROYECTOS DE INVESTIGACION CIENTIFICA Y TRANSFERENCIA DE TECNOLOGIA")</f>
        <v>AYUDAS PARA REALIZACION DE PROYECTOS DE INVESTIGACION CIENTIFICA Y TRANSFERENCIA DE TECNOLOGIA</v>
      </c>
      <c r="J1503" s="3" t="s">
        <v>41</v>
      </c>
      <c r="K1503" s="3" t="s">
        <v>41</v>
      </c>
      <c r="L1503" s="3" t="s">
        <v>42</v>
      </c>
      <c r="M1503" s="3" t="s">
        <v>41</v>
      </c>
    </row>
    <row r="1504" spans="1:13" ht="333.6">
      <c r="A1504" s="22" t="s">
        <v>14</v>
      </c>
      <c r="B1504" s="3" t="s">
        <v>4768</v>
      </c>
      <c r="C1504" s="3" t="s">
        <v>4769</v>
      </c>
      <c r="D1504" s="3" t="s">
        <v>4770</v>
      </c>
      <c r="E1504" s="3" t="s">
        <v>46</v>
      </c>
      <c r="F1504" s="3" t="s">
        <v>4582</v>
      </c>
      <c r="G1504" s="3" t="s">
        <v>4587</v>
      </c>
      <c r="H1504" s="3" t="s">
        <v>4771</v>
      </c>
      <c r="I1504" s="3" t="str">
        <f>HYPERLINK("http://www.jccm.es/sede/tramite/KGT","AYUDAS DE FORMACION A LOS ALUMNOS QUE PARTICIPEN EN EL SISTEMA  NACIONAL DE G. JUVENIL EN CUALQUIERA DE LAS ENSEÑANZAS DE LA OFERTA EDUCATIVA DE LA CONSEJERIA DE EDUCACION, CULTURA Y DEPORTES")</f>
        <v>AYUDAS DE FORMACION A LOS ALUMNOS QUE PARTICIPEN EN EL SISTEMA  NACIONAL DE G. JUVENIL EN CUALQUIERA DE LAS ENSEÑANZAS DE LA OFERTA EDUCATIVA DE LA CONSEJERIA DE EDUCACION, CULTURA Y DEPORTES</v>
      </c>
      <c r="J1504" s="3" t="s">
        <v>41</v>
      </c>
      <c r="K1504" s="3" t="s">
        <v>41</v>
      </c>
      <c r="L1504" s="3" t="s">
        <v>42</v>
      </c>
      <c r="M1504" s="3" t="s">
        <v>41</v>
      </c>
    </row>
    <row r="1505" spans="1:13" ht="126.6">
      <c r="A1505" s="22" t="s">
        <v>14</v>
      </c>
      <c r="B1505" s="3" t="s">
        <v>4772</v>
      </c>
      <c r="C1505" s="3" t="s">
        <v>4773</v>
      </c>
      <c r="D1505" s="3" t="s">
        <v>62</v>
      </c>
      <c r="E1505" s="3" t="s">
        <v>46</v>
      </c>
      <c r="F1505" s="3" t="s">
        <v>4582</v>
      </c>
      <c r="G1505" s="3" t="s">
        <v>4603</v>
      </c>
      <c r="H1505" s="3" t="s">
        <v>4774</v>
      </c>
      <c r="I1505" s="3" t="str">
        <f>HYPERLINK("http://www.jccm.es/sede/tramite/I4N","PLAZAS DE BECARIOS COLABORADORES EN LA RED DE RESIDENCIAS ESCOLARES PUBLICAS DE CASTILLA-LA MANCHA")</f>
        <v>PLAZAS DE BECARIOS COLABORADORES EN LA RED DE RESIDENCIAS ESCOLARES PUBLICAS DE CASTILLA-LA MANCHA</v>
      </c>
      <c r="J1505" s="3" t="s">
        <v>42</v>
      </c>
      <c r="K1505" s="3" t="s">
        <v>41</v>
      </c>
      <c r="L1505" s="3" t="s">
        <v>42</v>
      </c>
      <c r="M1505" s="3" t="s">
        <v>41</v>
      </c>
    </row>
    <row r="1506" spans="1:13" ht="230.1">
      <c r="A1506" s="22" t="s">
        <v>14</v>
      </c>
      <c r="B1506" s="3" t="s">
        <v>4775</v>
      </c>
      <c r="C1506" s="3" t="s">
        <v>4776</v>
      </c>
      <c r="D1506" s="3" t="s">
        <v>4777</v>
      </c>
      <c r="E1506" s="3" t="s">
        <v>46</v>
      </c>
      <c r="F1506" s="3" t="s">
        <v>4582</v>
      </c>
      <c r="G1506" s="3" t="s">
        <v>4587</v>
      </c>
      <c r="H1506" s="3" t="s">
        <v>4778</v>
      </c>
      <c r="I1506" s="3" t="str">
        <f>HYPERLINK("http://www.jccm.es/sede/tramite/KNL","CONVOCATORIA DEL PROCEDIMIENTO PARA LA SELECCION DE CENTROS  EDUCATIVOS PARTICIPANTES EN UNA ESTANCIA DE INMERSION EN INGLES EN EL CENTRO RURAL DE INNOVACION EDUCATIVA DE CUENCA (CRIEC).")</f>
        <v>CONVOCATORIA DEL PROCEDIMIENTO PARA LA SELECCION DE CENTROS  EDUCATIVOS PARTICIPANTES EN UNA ESTANCIA DE INMERSION EN INGLES EN EL CENTRO RURAL DE INNOVACION EDUCATIVA DE CUENCA (CRIEC).</v>
      </c>
      <c r="J1506" s="3" t="s">
        <v>41</v>
      </c>
      <c r="K1506" s="3" t="s">
        <v>41</v>
      </c>
      <c r="L1506" s="3" t="s">
        <v>42</v>
      </c>
      <c r="M1506" s="3" t="s">
        <v>41</v>
      </c>
    </row>
    <row r="1507" spans="1:13" ht="402.6">
      <c r="A1507" s="22" t="s">
        <v>14</v>
      </c>
      <c r="B1507" s="3" t="s">
        <v>4779</v>
      </c>
      <c r="C1507" s="3" t="s">
        <v>4780</v>
      </c>
      <c r="D1507" s="3" t="s">
        <v>51</v>
      </c>
      <c r="E1507" s="3" t="s">
        <v>46</v>
      </c>
      <c r="F1507" s="3" t="s">
        <v>4582</v>
      </c>
      <c r="G1507" s="3" t="s">
        <v>4591</v>
      </c>
      <c r="H1507" s="3" t="s">
        <v>4781</v>
      </c>
      <c r="I1507" s="3" t="str">
        <f>HYPERLINK("http://www.jccm.es/sede/tramite/KNR","CONVOCATORIA DE SUBVENCIONES DIRIGIDAS A FINANCIAR LAS ACTIVIDADES EDUCATIVAS DE LAS FEDERACIONES Y CONFEDERACIONES DE ASOCIACIONES DE MADRES Y PADRES DE ALUMNOS")</f>
        <v>CONVOCATORIA DE SUBVENCIONES DIRIGIDAS A FINANCIAR LAS ACTIVIDADES EDUCATIVAS DE LAS FEDERACIONES Y CONFEDERACIONES DE ASOCIACIONES DE MADRES Y PADRES DE ALUMNOS</v>
      </c>
      <c r="J1507" s="3" t="s">
        <v>41</v>
      </c>
      <c r="K1507" s="3" t="s">
        <v>41</v>
      </c>
      <c r="L1507" s="3" t="s">
        <v>42</v>
      </c>
      <c r="M1507" s="3" t="s">
        <v>41</v>
      </c>
    </row>
    <row r="1508" spans="1:13" ht="149.44999999999999">
      <c r="A1508" s="22" t="s">
        <v>14</v>
      </c>
      <c r="B1508" s="3" t="s">
        <v>4782</v>
      </c>
      <c r="C1508" s="3" t="s">
        <v>4783</v>
      </c>
      <c r="D1508" s="3" t="s">
        <v>36</v>
      </c>
      <c r="E1508" s="3" t="s">
        <v>46</v>
      </c>
      <c r="F1508" s="3" t="s">
        <v>4582</v>
      </c>
      <c r="G1508" s="3" t="s">
        <v>4672</v>
      </c>
      <c r="H1508" s="3" t="s">
        <v>4784</v>
      </c>
      <c r="I1508" s="3" t="str">
        <f>HYPERLINK("http://www.jccm.es/sede/tramite/KO5","AYUDA PARA LA FORMACION DE PERSONAL INVESTIGADOR COFINANCIADA POR EL FONDO SOCIAL EUROPEO")</f>
        <v>AYUDA PARA LA FORMACION DE PERSONAL INVESTIGADOR COFINANCIADA POR EL FONDO SOCIAL EUROPEO</v>
      </c>
      <c r="J1508" s="3" t="s">
        <v>41</v>
      </c>
      <c r="K1508" s="3" t="s">
        <v>41</v>
      </c>
      <c r="L1508" s="3" t="s">
        <v>42</v>
      </c>
      <c r="M1508" s="3" t="s">
        <v>41</v>
      </c>
    </row>
    <row r="1509" spans="1:13" ht="114.95">
      <c r="A1509" s="22" t="s">
        <v>14</v>
      </c>
      <c r="B1509" s="3" t="s">
        <v>4785</v>
      </c>
      <c r="C1509" s="3" t="s">
        <v>4786</v>
      </c>
      <c r="D1509" s="3" t="s">
        <v>51</v>
      </c>
      <c r="E1509" s="3" t="s">
        <v>37</v>
      </c>
      <c r="F1509" s="3" t="s">
        <v>4582</v>
      </c>
      <c r="G1509" s="3" t="s">
        <v>4583</v>
      </c>
      <c r="H1509" s="3" t="s">
        <v>4787</v>
      </c>
      <c r="I1509" s="3" t="str">
        <f>HYPERLINK("http://www.jccm.es/sede/tramite/KP3","ESPACIO JOVEN SAN SERVANDO")</f>
        <v>ESPACIO JOVEN SAN SERVANDO</v>
      </c>
      <c r="J1509" s="3" t="s">
        <v>41</v>
      </c>
      <c r="K1509" s="3" t="s">
        <v>41</v>
      </c>
      <c r="L1509" s="3" t="s">
        <v>42</v>
      </c>
      <c r="M1509" s="3" t="s">
        <v>41</v>
      </c>
    </row>
    <row r="1510" spans="1:13" ht="287.45">
      <c r="A1510" s="22" t="s">
        <v>14</v>
      </c>
      <c r="B1510" s="3" t="s">
        <v>4788</v>
      </c>
      <c r="C1510" s="3" t="s">
        <v>4789</v>
      </c>
      <c r="D1510" s="3" t="s">
        <v>45</v>
      </c>
      <c r="E1510" s="3" t="s">
        <v>46</v>
      </c>
      <c r="F1510" s="3" t="s">
        <v>4582</v>
      </c>
      <c r="G1510" s="3" t="s">
        <v>4614</v>
      </c>
      <c r="H1510" s="3" t="s">
        <v>4790</v>
      </c>
      <c r="I1510" s="3" t="str">
        <f>HYPERLINK("http://www.jccm.es/sede/tramite/KU1","CONVOCATORIA DE PREMIOS A PROYECTOS DE INNOVACION TECNOLOGICA Y EDUCATIVA EN FORMACION PROFESIONAL")</f>
        <v>CONVOCATORIA DE PREMIOS A PROYECTOS DE INNOVACION TECNOLOGICA Y EDUCATIVA EN FORMACION PROFESIONAL</v>
      </c>
      <c r="J1510" s="3" t="s">
        <v>41</v>
      </c>
      <c r="K1510" s="3" t="s">
        <v>41</v>
      </c>
      <c r="L1510" s="3" t="s">
        <v>42</v>
      </c>
      <c r="M1510" s="3" t="s">
        <v>41</v>
      </c>
    </row>
    <row r="1511" spans="1:13" ht="252.95">
      <c r="A1511" s="22" t="s">
        <v>14</v>
      </c>
      <c r="B1511" s="3" t="s">
        <v>4791</v>
      </c>
      <c r="C1511" s="3" t="s">
        <v>4792</v>
      </c>
      <c r="D1511" s="3" t="s">
        <v>4793</v>
      </c>
      <c r="E1511" s="3" t="s">
        <v>46</v>
      </c>
      <c r="F1511" s="3" t="s">
        <v>4582</v>
      </c>
      <c r="G1511" s="3" t="s">
        <v>4583</v>
      </c>
      <c r="H1511" s="3" t="s">
        <v>4794</v>
      </c>
      <c r="I1511" s="3" t="str">
        <f>HYPERLINK("http://www.jccm.es/sede/tramite/KVZ","SUBVENCIONES PARA EL DESARROLLO DE PROYECTOS DE CORRESPONSALIAS JUVENILES EN SERVICIOS DE INFORMACION JUVENIL DEPENDIENTES DE AYUNTAMIENTOS, O MANCOMUNIDADES DE CASTILLA-LA MANCHA.")</f>
        <v>SUBVENCIONES PARA EL DESARROLLO DE PROYECTOS DE CORRESPONSALIAS JUVENILES EN SERVICIOS DE INFORMACION JUVENIL DEPENDIENTES DE AYUNTAMIENTOS, O MANCOMUNIDADES DE CASTILLA-LA MANCHA.</v>
      </c>
      <c r="J1511" s="3" t="s">
        <v>41</v>
      </c>
      <c r="K1511" s="3" t="s">
        <v>41</v>
      </c>
      <c r="L1511" s="3" t="s">
        <v>42</v>
      </c>
      <c r="M1511" s="3" t="s">
        <v>41</v>
      </c>
    </row>
    <row r="1512" spans="1:13" ht="149.44999999999999">
      <c r="A1512" s="22" t="s">
        <v>14</v>
      </c>
      <c r="B1512" s="3" t="s">
        <v>4795</v>
      </c>
      <c r="C1512" s="3" t="s">
        <v>4796</v>
      </c>
      <c r="D1512" s="3" t="s">
        <v>36</v>
      </c>
      <c r="E1512" s="3" t="s">
        <v>46</v>
      </c>
      <c r="F1512" s="3" t="s">
        <v>4582</v>
      </c>
      <c r="G1512" s="3" t="s">
        <v>4672</v>
      </c>
      <c r="H1512" s="3" t="s">
        <v>4797</v>
      </c>
      <c r="I1512" s="3" t="str">
        <f>HYPERLINK("http://www.jccm.es/sede/tramite/KYZ","AYUDA PARA LA CREACION, CONSOLIDACION Y MEJORA DE INFRAESTRUCTURAS DE I+D+I")</f>
        <v>AYUDA PARA LA CREACION, CONSOLIDACION Y MEJORA DE INFRAESTRUCTURAS DE I+D+I</v>
      </c>
      <c r="J1512" s="3" t="s">
        <v>41</v>
      </c>
      <c r="K1512" s="3" t="s">
        <v>41</v>
      </c>
      <c r="L1512" s="3" t="s">
        <v>42</v>
      </c>
      <c r="M1512" s="3" t="s">
        <v>41</v>
      </c>
    </row>
    <row r="1513" spans="1:13" ht="276">
      <c r="A1513" s="22" t="s">
        <v>14</v>
      </c>
      <c r="B1513" s="3" t="s">
        <v>4798</v>
      </c>
      <c r="C1513" s="3" t="s">
        <v>4799</v>
      </c>
      <c r="D1513" s="3" t="s">
        <v>4800</v>
      </c>
      <c r="E1513" s="3" t="s">
        <v>46</v>
      </c>
      <c r="F1513" s="3" t="s">
        <v>4582</v>
      </c>
      <c r="G1513" s="3" t="s">
        <v>4603</v>
      </c>
      <c r="H1513" s="3" t="s">
        <v>4801</v>
      </c>
      <c r="I1513" s="3" t="str">
        <f>HYPERLINK("http://www.jccm.es/sede/tramite/KZ2","CONVOCATORIA DE EXPRESIONES DE INTERES RELATIVA AL PROGRAMA DE INFRAESTRUCTURAS EDUCATIVAS EN EL MARCO DEL PROGRAMA OPERATIVO FEDER CASTILLA-LA MANCHA 2014-2020")</f>
        <v>CONVOCATORIA DE EXPRESIONES DE INTERES RELATIVA AL PROGRAMA DE INFRAESTRUCTURAS EDUCATIVAS EN EL MARCO DEL PROGRAMA OPERATIVO FEDER CASTILLA-LA MANCHA 2014-2020</v>
      </c>
      <c r="J1513" s="3" t="s">
        <v>41</v>
      </c>
      <c r="K1513" s="3" t="s">
        <v>41</v>
      </c>
      <c r="L1513" s="3" t="s">
        <v>42</v>
      </c>
      <c r="M1513" s="3" t="s">
        <v>41</v>
      </c>
    </row>
    <row r="1514" spans="1:13" ht="149.44999999999999">
      <c r="A1514" s="22" t="s">
        <v>14</v>
      </c>
      <c r="B1514" s="3" t="s">
        <v>4802</v>
      </c>
      <c r="C1514" s="3" t="s">
        <v>4803</v>
      </c>
      <c r="D1514" s="3" t="s">
        <v>232</v>
      </c>
      <c r="E1514" s="3" t="s">
        <v>46</v>
      </c>
      <c r="F1514" s="3" t="s">
        <v>4582</v>
      </c>
      <c r="G1514" s="3" t="s">
        <v>4610</v>
      </c>
      <c r="H1514" s="3" t="s">
        <v>4804</v>
      </c>
      <c r="I1514" s="3" t="str">
        <f>HYPERLINK("http://www.jccm.es/sede/tramite/L38","SUBVENCIONES DE APOYO A LA PRODUCCION TEATRAL, LA DANZA Y EL CIRCO EN CASTILLA-LA MANCHA.")</f>
        <v>SUBVENCIONES DE APOYO A LA PRODUCCION TEATRAL, LA DANZA Y EL CIRCO EN CASTILLA-LA MANCHA.</v>
      </c>
      <c r="J1514" s="3" t="s">
        <v>41</v>
      </c>
      <c r="K1514" s="3" t="s">
        <v>41</v>
      </c>
      <c r="L1514" s="3" t="s">
        <v>42</v>
      </c>
      <c r="M1514" s="3" t="s">
        <v>41</v>
      </c>
    </row>
    <row r="1515" spans="1:13" ht="183.95">
      <c r="A1515" s="22" t="s">
        <v>14</v>
      </c>
      <c r="B1515" s="3" t="s">
        <v>4805</v>
      </c>
      <c r="C1515" s="3" t="s">
        <v>4806</v>
      </c>
      <c r="D1515" s="3" t="s">
        <v>51</v>
      </c>
      <c r="E1515" s="3" t="s">
        <v>46</v>
      </c>
      <c r="F1515" s="3" t="s">
        <v>4582</v>
      </c>
      <c r="G1515" s="3" t="s">
        <v>4591</v>
      </c>
      <c r="H1515" s="3" t="s">
        <v>4807</v>
      </c>
      <c r="I1515" s="3" t="str">
        <f>HYPERLINK("http://www.jccm.es/sede/tramite/L5M","PARTICIPACION EN EL V PLAN DE EXITO EDUCATIVO Y PREVENCION DEL ABANDONO ESCOLAR TEMPRANO DE CENTROS EDUCATIVOS CONCERTADOS DE CASTILLA-LA MANCHA, COFINACIADO CON FSE+")</f>
        <v>PARTICIPACION EN EL V PLAN DE EXITO EDUCATIVO Y PREVENCION DEL ABANDONO ESCOLAR TEMPRANO DE CENTROS EDUCATIVOS CONCERTADOS DE CASTILLA-LA MANCHA, COFINACIADO CON FSE+</v>
      </c>
      <c r="J1515" s="3" t="s">
        <v>41</v>
      </c>
      <c r="K1515" s="3" t="s">
        <v>41</v>
      </c>
      <c r="L1515" s="3" t="s">
        <v>42</v>
      </c>
      <c r="M1515" s="3" t="s">
        <v>41</v>
      </c>
    </row>
    <row r="1516" spans="1:13" ht="126.6">
      <c r="A1516" s="22" t="s">
        <v>14</v>
      </c>
      <c r="B1516" s="3" t="s">
        <v>4808</v>
      </c>
      <c r="C1516" s="3" t="s">
        <v>4809</v>
      </c>
      <c r="D1516" s="3" t="s">
        <v>4810</v>
      </c>
      <c r="E1516" s="3" t="s">
        <v>46</v>
      </c>
      <c r="F1516" s="3" t="s">
        <v>4582</v>
      </c>
      <c r="G1516" s="3" t="s">
        <v>4610</v>
      </c>
      <c r="H1516" s="3" t="s">
        <v>4811</v>
      </c>
      <c r="I1516" s="3" t="str">
        <f>HYPERLINK("http://www.jccm.es/sede/tramite/L8Q","AYUDAS PARA LA ELABORACION DE GUIONES DE LARGOMETRAJE CINEMATOGRAFICO EN CASTILLA-LA MANCHA.")</f>
        <v>AYUDAS PARA LA ELABORACION DE GUIONES DE LARGOMETRAJE CINEMATOGRAFICO EN CASTILLA-LA MANCHA.</v>
      </c>
      <c r="J1516" s="3" t="s">
        <v>42</v>
      </c>
      <c r="K1516" s="3" t="s">
        <v>41</v>
      </c>
      <c r="L1516" s="3" t="s">
        <v>42</v>
      </c>
      <c r="M1516" s="3" t="s">
        <v>41</v>
      </c>
    </row>
    <row r="1517" spans="1:13" ht="207">
      <c r="A1517" s="22" t="s">
        <v>14</v>
      </c>
      <c r="B1517" s="3" t="s">
        <v>4812</v>
      </c>
      <c r="C1517" s="3" t="s">
        <v>4813</v>
      </c>
      <c r="D1517" s="3" t="s">
        <v>95</v>
      </c>
      <c r="E1517" s="3" t="s">
        <v>95</v>
      </c>
      <c r="F1517" s="3" t="s">
        <v>4582</v>
      </c>
      <c r="G1517" s="3" t="s">
        <v>4587</v>
      </c>
      <c r="H1517" s="3" t="s">
        <v>4814</v>
      </c>
      <c r="I1517" s="3" t="str">
        <f>HYPERLINK("http://www.jccm.es/sede/tramite/LAH","JUSTIFICACION DE LA SUBVENCION CONCEDIDA A LA FUNDACION VEDRUNA EDUCACION PARA EL DESARROLLO DEL SEGUNDO CURSO DE DOS PROGRAMAS ESPECIFICOS DE FORMACION PROFESIONAL")</f>
        <v>JUSTIFICACION DE LA SUBVENCION CONCEDIDA A LA FUNDACION VEDRUNA EDUCACION PARA EL DESARROLLO DEL SEGUNDO CURSO DE DOS PROGRAMAS ESPECIFICOS DE FORMACION PROFESIONAL</v>
      </c>
      <c r="J1517" s="3" t="s">
        <v>41</v>
      </c>
      <c r="K1517" s="3" t="s">
        <v>41</v>
      </c>
      <c r="L1517" s="3" t="s">
        <v>42</v>
      </c>
      <c r="M1517" s="3" t="s">
        <v>41</v>
      </c>
    </row>
    <row r="1518" spans="1:13" ht="264.60000000000002">
      <c r="A1518" s="22" t="s">
        <v>14</v>
      </c>
      <c r="B1518" s="3" t="s">
        <v>4815</v>
      </c>
      <c r="C1518" s="3" t="s">
        <v>4816</v>
      </c>
      <c r="D1518" s="3" t="s">
        <v>95</v>
      </c>
      <c r="E1518" s="3" t="s">
        <v>95</v>
      </c>
      <c r="F1518" s="3" t="s">
        <v>4582</v>
      </c>
      <c r="G1518" s="3" t="s">
        <v>4672</v>
      </c>
      <c r="H1518" s="3" t="s">
        <v>4817</v>
      </c>
      <c r="I1518" s="3" t="str">
        <f>HYPERLINK("http://www.jccm.es/sede/tramite/LEG","JUSTIFICACION DE LA SUBVENCION CONCEDIDA A LA UCLM POR LA REALIZACION DEL PROYECTO IMPACTO DEL CONFINAMIENTO DOMICILIARIO DEL COVID-19 SOBRE LA SALUD DE LOS ADULTOS MAYORES.")</f>
        <v>JUSTIFICACION DE LA SUBVENCION CONCEDIDA A LA UCLM POR LA REALIZACION DEL PROYECTO IMPACTO DEL CONFINAMIENTO DOMICILIARIO DEL COVID-19 SOBRE LA SALUD DE LOS ADULTOS MAYORES.</v>
      </c>
      <c r="J1518" s="3" t="s">
        <v>41</v>
      </c>
      <c r="K1518" s="3" t="s">
        <v>41</v>
      </c>
      <c r="L1518" s="3" t="s">
        <v>42</v>
      </c>
      <c r="M1518" s="3" t="s">
        <v>41</v>
      </c>
    </row>
    <row r="1519" spans="1:13" ht="161.1">
      <c r="A1519" s="22" t="s">
        <v>14</v>
      </c>
      <c r="B1519" s="3" t="s">
        <v>4818</v>
      </c>
      <c r="C1519" s="3" t="s">
        <v>4819</v>
      </c>
      <c r="D1519" s="3" t="s">
        <v>4820</v>
      </c>
      <c r="E1519" s="3" t="s">
        <v>46</v>
      </c>
      <c r="F1519" s="3" t="s">
        <v>4582</v>
      </c>
      <c r="G1519" s="3" t="s">
        <v>4591</v>
      </c>
      <c r="H1519" s="3" t="s">
        <v>4821</v>
      </c>
      <c r="I1519" s="3" t="str">
        <f>HYPERLINK("http://www.jccm.es/sede/tramite/LHA","CONVOCATORIA DEL PROCEDIMIENTO PARA LA SUSCRIPCION Y MODIFICACION DE CONCIERTOS EDUCATIVOS EN CASTILLA - LA MANCHA. ED. INFANTIL, ED. ESPECIAL, ESO, FP Y BACHILLERATO.")</f>
        <v>CONVOCATORIA DEL PROCEDIMIENTO PARA LA SUSCRIPCION Y MODIFICACION DE CONCIERTOS EDUCATIVOS EN CASTILLA - LA MANCHA. ED. INFANTIL, ED. ESPECIAL, ESO, FP Y BACHILLERATO.</v>
      </c>
      <c r="J1519" s="3" t="s">
        <v>41</v>
      </c>
      <c r="K1519" s="3" t="s">
        <v>41</v>
      </c>
      <c r="L1519" s="3" t="s">
        <v>42</v>
      </c>
      <c r="M1519" s="3" t="s">
        <v>41</v>
      </c>
    </row>
    <row r="1520" spans="1:13" ht="149.44999999999999">
      <c r="A1520" s="22" t="s">
        <v>14</v>
      </c>
      <c r="B1520" s="3" t="s">
        <v>4822</v>
      </c>
      <c r="C1520" s="3" t="s">
        <v>4823</v>
      </c>
      <c r="D1520" s="3" t="s">
        <v>232</v>
      </c>
      <c r="E1520" s="3" t="s">
        <v>46</v>
      </c>
      <c r="F1520" s="3" t="s">
        <v>4582</v>
      </c>
      <c r="G1520" s="3" t="s">
        <v>4672</v>
      </c>
      <c r="H1520" s="3" t="s">
        <v>4824</v>
      </c>
      <c r="I1520" s="3" t="str">
        <f>HYPERLINK("http://www.jccm.es/sede/tramite/LPG","PREMIOS DE INVESTIGACION E INNOVACION DE CASTILLA- LA MANCHA.")</f>
        <v>PREMIOS DE INVESTIGACION E INNOVACION DE CASTILLA- LA MANCHA.</v>
      </c>
      <c r="J1520" s="3" t="s">
        <v>42</v>
      </c>
      <c r="K1520" s="3" t="s">
        <v>41</v>
      </c>
      <c r="L1520" s="3" t="s">
        <v>42</v>
      </c>
      <c r="M1520" s="3" t="s">
        <v>41</v>
      </c>
    </row>
    <row r="1521" spans="1:13" ht="207">
      <c r="A1521" s="22" t="s">
        <v>14</v>
      </c>
      <c r="B1521" s="3" t="s">
        <v>4825</v>
      </c>
      <c r="C1521" s="3" t="s">
        <v>4826</v>
      </c>
      <c r="D1521" s="3" t="s">
        <v>95</v>
      </c>
      <c r="E1521" s="3" t="s">
        <v>95</v>
      </c>
      <c r="F1521" s="3" t="s">
        <v>4582</v>
      </c>
      <c r="G1521" s="3" t="s">
        <v>4610</v>
      </c>
      <c r="H1521" s="3" t="s">
        <v>4827</v>
      </c>
      <c r="I1521" s="3" t="str">
        <f>HYPERLINK("http://www.jccm.es/sede/tramite/LQK","JUSTIFICACION SUBVENCION DE CONCESION DIRECTA PARA LA FINANCIACION DE ACTUACIONES EN BIENES PERTENECIENTES AL PATRIMONIO CULTURAL Y RELIGIOSO DE CASTILLA LA MANCHA")</f>
        <v>JUSTIFICACION SUBVENCION DE CONCESION DIRECTA PARA LA FINANCIACION DE ACTUACIONES EN BIENES PERTENECIENTES AL PATRIMONIO CULTURAL Y RELIGIOSO DE CASTILLA LA MANCHA</v>
      </c>
      <c r="J1521" s="3" t="s">
        <v>41</v>
      </c>
      <c r="K1521" s="3" t="s">
        <v>41</v>
      </c>
      <c r="L1521" s="3" t="s">
        <v>42</v>
      </c>
      <c r="M1521" s="3" t="s">
        <v>41</v>
      </c>
    </row>
    <row r="1522" spans="1:13" ht="172.5">
      <c r="A1522" s="22" t="s">
        <v>14</v>
      </c>
      <c r="B1522" s="3" t="s">
        <v>4828</v>
      </c>
      <c r="C1522" s="3" t="s">
        <v>4829</v>
      </c>
      <c r="D1522" s="3" t="s">
        <v>95</v>
      </c>
      <c r="E1522" s="3" t="s">
        <v>95</v>
      </c>
      <c r="F1522" s="3" t="s">
        <v>4582</v>
      </c>
      <c r="G1522" s="3" t="s">
        <v>4610</v>
      </c>
      <c r="H1522" s="3" t="s">
        <v>4830</v>
      </c>
      <c r="I1522" s="3" t="str">
        <f>HYPERLINK("http://www.jccm.es/sede/tramite/LQU","JUSTIFICACION DE LA SUBVENCION CONCEDIDA A LA FEDERACION DE FUTBOL DE CASTILLA-LA MANCHA, PARA LA PUESTA EN FUNCIONAMIENTO DE LA RESIDENCIA DE DEPORTISTAS.")</f>
        <v>JUSTIFICACION DE LA SUBVENCION CONCEDIDA A LA FEDERACION DE FUTBOL DE CASTILLA-LA MANCHA, PARA LA PUESTA EN FUNCIONAMIENTO DE LA RESIDENCIA DE DEPORTISTAS.</v>
      </c>
      <c r="J1522" s="3" t="s">
        <v>41</v>
      </c>
      <c r="K1522" s="3" t="s">
        <v>41</v>
      </c>
      <c r="L1522" s="3" t="s">
        <v>42</v>
      </c>
      <c r="M1522" s="3" t="s">
        <v>41</v>
      </c>
    </row>
    <row r="1523" spans="1:13" ht="252.95">
      <c r="A1523" s="22" t="s">
        <v>14</v>
      </c>
      <c r="B1523" s="3" t="s">
        <v>4831</v>
      </c>
      <c r="C1523" s="3" t="s">
        <v>4832</v>
      </c>
      <c r="D1523" s="3" t="s">
        <v>95</v>
      </c>
      <c r="E1523" s="3" t="s">
        <v>95</v>
      </c>
      <c r="F1523" s="3" t="s">
        <v>4582</v>
      </c>
      <c r="G1523" s="3" t="s">
        <v>4583</v>
      </c>
      <c r="H1523" s="3" t="s">
        <v>4833</v>
      </c>
      <c r="I1523" s="3" t="str">
        <f>HYPERLINK("http://www.jccm.es/sede/tramite/LQY","JUSTIFICACION DE LA SUBVENCION A AYUNTAMIENTOS PARA LA MEJORA Y EQUIPAMIENTO DE LAS INSTALACIONES DEPORTIVAS UTILIZADAS PARA EL DESARROLLO DE DETERMINADAS COMPETICIONES DEPORTIVAS DE ALTO NIVEL")</f>
        <v>JUSTIFICACION DE LA SUBVENCION A AYUNTAMIENTOS PARA LA MEJORA Y EQUIPAMIENTO DE LAS INSTALACIONES DEPORTIVAS UTILIZADAS PARA EL DESARROLLO DE DETERMINADAS COMPETICIONES DEPORTIVAS DE ALTO NIVEL</v>
      </c>
      <c r="J1523" s="3" t="s">
        <v>41</v>
      </c>
      <c r="K1523" s="3" t="s">
        <v>41</v>
      </c>
      <c r="L1523" s="3" t="s">
        <v>42</v>
      </c>
      <c r="M1523" s="3" t="s">
        <v>41</v>
      </c>
    </row>
    <row r="1524" spans="1:13" ht="183.95">
      <c r="A1524" s="22" t="s">
        <v>14</v>
      </c>
      <c r="B1524" s="3" t="s">
        <v>4834</v>
      </c>
      <c r="C1524" s="3" t="s">
        <v>4835</v>
      </c>
      <c r="D1524" s="3" t="s">
        <v>95</v>
      </c>
      <c r="E1524" s="3" t="s">
        <v>95</v>
      </c>
      <c r="F1524" s="3" t="s">
        <v>4582</v>
      </c>
      <c r="G1524" s="3" t="s">
        <v>4583</v>
      </c>
      <c r="H1524" s="3" t="s">
        <v>4836</v>
      </c>
      <c r="I1524" s="3" t="str">
        <f>HYPERLINK("http://www.jccm.es/sede/tramite/LR8","JUSTIFICACION DE LA SUBVENCION PARA LA ORGANIZACION DEL TORNEO INTERNACIONAL DE ESPAÑA 2022 DE SELECCIONES ABSOLUTAS MASCULINAS DE BALONMANO EN CUENCA.")</f>
        <v>JUSTIFICACION DE LA SUBVENCION PARA LA ORGANIZACION DEL TORNEO INTERNACIONAL DE ESPAÑA 2022 DE SELECCIONES ABSOLUTAS MASCULINAS DE BALONMANO EN CUENCA.</v>
      </c>
      <c r="J1524" s="3" t="s">
        <v>41</v>
      </c>
      <c r="K1524" s="3" t="s">
        <v>41</v>
      </c>
      <c r="L1524" s="3" t="s">
        <v>42</v>
      </c>
      <c r="M1524" s="3" t="s">
        <v>41</v>
      </c>
    </row>
    <row r="1525" spans="1:13" ht="183.95">
      <c r="A1525" s="22" t="s">
        <v>14</v>
      </c>
      <c r="B1525" s="3" t="s">
        <v>4837</v>
      </c>
      <c r="C1525" s="3" t="s">
        <v>4838</v>
      </c>
      <c r="D1525" s="3" t="s">
        <v>95</v>
      </c>
      <c r="E1525" s="3" t="s">
        <v>95</v>
      </c>
      <c r="F1525" s="3" t="s">
        <v>4582</v>
      </c>
      <c r="G1525" s="3" t="s">
        <v>4610</v>
      </c>
      <c r="H1525" s="3" t="s">
        <v>4839</v>
      </c>
      <c r="I1525" s="3" t="str">
        <f>HYPERLINK("http://www.jccm.es/sede/tramite/LRF","JUSTIFICACION DE LA SUBVENCION DE CONCESION DIRECTA PARA LA FINANCIACION DE ACTUACIONES DE MEJORA EN EL PARQUE ARQUEOLOGICO DE LIBISOSA")</f>
        <v>JUSTIFICACION DE LA SUBVENCION DE CONCESION DIRECTA PARA LA FINANCIACION DE ACTUACIONES DE MEJORA EN EL PARQUE ARQUEOLOGICO DE LIBISOSA</v>
      </c>
      <c r="J1525" s="3" t="s">
        <v>41</v>
      </c>
      <c r="K1525" s="3" t="s">
        <v>41</v>
      </c>
      <c r="L1525" s="3" t="s">
        <v>42</v>
      </c>
      <c r="M1525" s="3" t="s">
        <v>41</v>
      </c>
    </row>
    <row r="1526" spans="1:13" ht="241.5">
      <c r="A1526" s="22" t="s">
        <v>14</v>
      </c>
      <c r="B1526" s="3" t="s">
        <v>4840</v>
      </c>
      <c r="C1526" s="3" t="s">
        <v>4841</v>
      </c>
      <c r="D1526" s="3" t="s">
        <v>36</v>
      </c>
      <c r="E1526" s="3" t="s">
        <v>46</v>
      </c>
      <c r="F1526" s="3" t="s">
        <v>4582</v>
      </c>
      <c r="G1526" s="3" t="s">
        <v>4582</v>
      </c>
      <c r="H1526" s="3" t="s">
        <v>4842</v>
      </c>
      <c r="I1526" s="3" t="str">
        <f>HYPERLINK("http://www.jccm.es/sede/tramite/LSK","SOLICITUD DE AYUDAS DENTRO DEL PROGRAMA C24.I2.P4:  DOTACION DE BIBLIOTECAS ")</f>
        <v xml:space="preserve">SOLICITUD DE AYUDAS DENTRO DEL PROGRAMA C24.I2.P4:  DOTACION DE BIBLIOTECAS </v>
      </c>
      <c r="J1526" s="3" t="s">
        <v>41</v>
      </c>
      <c r="K1526" s="3" t="s">
        <v>41</v>
      </c>
      <c r="L1526" s="3" t="s">
        <v>42</v>
      </c>
      <c r="M1526" s="3" t="s">
        <v>41</v>
      </c>
    </row>
    <row r="1527" spans="1:13" ht="207">
      <c r="A1527" s="22" t="s">
        <v>14</v>
      </c>
      <c r="B1527" s="3" t="s">
        <v>4843</v>
      </c>
      <c r="C1527" s="3" t="s">
        <v>4844</v>
      </c>
      <c r="D1527" s="3" t="s">
        <v>4845</v>
      </c>
      <c r="E1527" s="3" t="s">
        <v>46</v>
      </c>
      <c r="F1527" s="3" t="s">
        <v>4582</v>
      </c>
      <c r="G1527" s="3" t="s">
        <v>4610</v>
      </c>
      <c r="H1527" s="3" t="s">
        <v>4846</v>
      </c>
      <c r="I1527" s="3" t="str">
        <f>HYPERLINK("http://www.jccm.es/sede/tramite/LUW","SUBVENCIONES A SALAS DE EXHIBICION CINEMATOGRAFICA DE CASTILLA  LA MANCHA (NEXT GENERATION EU).")</f>
        <v>SUBVENCIONES A SALAS DE EXHIBICION CINEMATOGRAFICA DE CASTILLA  LA MANCHA (NEXT GENERATION EU).</v>
      </c>
      <c r="J1527" s="3" t="s">
        <v>41</v>
      </c>
      <c r="K1527" s="3" t="s">
        <v>41</v>
      </c>
      <c r="L1527" s="3" t="s">
        <v>42</v>
      </c>
      <c r="M1527" s="3" t="s">
        <v>41</v>
      </c>
    </row>
    <row r="1528" spans="1:13" ht="368.1">
      <c r="A1528" s="22" t="s">
        <v>14</v>
      </c>
      <c r="B1528" s="3" t="s">
        <v>4847</v>
      </c>
      <c r="C1528" s="3" t="s">
        <v>4848</v>
      </c>
      <c r="D1528" s="3" t="s">
        <v>4845</v>
      </c>
      <c r="E1528" s="3" t="s">
        <v>46</v>
      </c>
      <c r="F1528" s="3" t="s">
        <v>4582</v>
      </c>
      <c r="G1528" s="3" t="s">
        <v>4610</v>
      </c>
      <c r="H1528" s="3" t="s">
        <v>4849</v>
      </c>
      <c r="I1528" s="3" t="str">
        <f>HYPERLINK("http://www.jccm.es/sede/tramite/LVK","SUBVENCIONES DESTINADAS A AMPLIAR Y DIVERSIFICAR LA OFERTA CULTURAL EN AREAS NO URBANAS DE CASTILLA - LA MANCHA (NEXT GENERATION EU).")</f>
        <v>SUBVENCIONES DESTINADAS A AMPLIAR Y DIVERSIFICAR LA OFERTA CULTURAL EN AREAS NO URBANAS DE CASTILLA - LA MANCHA (NEXT GENERATION EU).</v>
      </c>
      <c r="J1528" s="3" t="s">
        <v>41</v>
      </c>
      <c r="K1528" s="3" t="s">
        <v>41</v>
      </c>
      <c r="L1528" s="3" t="s">
        <v>42</v>
      </c>
      <c r="M1528" s="3" t="s">
        <v>41</v>
      </c>
    </row>
    <row r="1529" spans="1:13" ht="161.1">
      <c r="A1529" s="22" t="s">
        <v>14</v>
      </c>
      <c r="B1529" s="3" t="s">
        <v>4850</v>
      </c>
      <c r="C1529" s="3" t="s">
        <v>4851</v>
      </c>
      <c r="D1529" s="3" t="s">
        <v>45</v>
      </c>
      <c r="E1529" s="3" t="s">
        <v>46</v>
      </c>
      <c r="F1529" s="3" t="s">
        <v>4582</v>
      </c>
      <c r="G1529" s="3" t="s">
        <v>4583</v>
      </c>
      <c r="H1529" s="3" t="s">
        <v>4852</v>
      </c>
      <c r="I1529" s="3" t="str">
        <f>HYPERLINK("http://www.jccm.es/sede/tramite/L6Y","CONVOCATORIA PARA LA SELECCION DE PROYECTOS DE ACTIVIDADES DE  OCIO Y TIEMPO LIBRE PARA EL PROGRAMA VERANO JOVEN")</f>
        <v>CONVOCATORIA PARA LA SELECCION DE PROYECTOS DE ACTIVIDADES DE  OCIO Y TIEMPO LIBRE PARA EL PROGRAMA VERANO JOVEN</v>
      </c>
      <c r="J1529" s="3" t="s">
        <v>41</v>
      </c>
      <c r="K1529" s="3" t="s">
        <v>41</v>
      </c>
      <c r="L1529" s="3" t="s">
        <v>42</v>
      </c>
      <c r="M1529" s="3" t="s">
        <v>41</v>
      </c>
    </row>
    <row r="1530" spans="1:13" ht="114.95">
      <c r="A1530" s="22" t="s">
        <v>14</v>
      </c>
      <c r="B1530" s="3" t="s">
        <v>4853</v>
      </c>
      <c r="C1530" s="3" t="s">
        <v>4854</v>
      </c>
      <c r="D1530" s="3" t="s">
        <v>45</v>
      </c>
      <c r="E1530" s="3" t="s">
        <v>46</v>
      </c>
      <c r="F1530" s="3" t="s">
        <v>4582</v>
      </c>
      <c r="G1530" s="3" t="s">
        <v>4583</v>
      </c>
      <c r="H1530" s="3" t="s">
        <v>4855</v>
      </c>
      <c r="I1530" s="3" t="str">
        <f>HYPERLINK("http://www.jccm.es/sede/tramite/IDQ","PREINSCRIPCION EN ACTIVIDADES EN CAMPOS DE VOLUNTARIADO JUVENIL.")</f>
        <v>PREINSCRIPCION EN ACTIVIDADES EN CAMPOS DE VOLUNTARIADO JUVENIL.</v>
      </c>
      <c r="J1530" s="3" t="s">
        <v>42</v>
      </c>
      <c r="K1530" s="3" t="s">
        <v>41</v>
      </c>
      <c r="L1530" s="3" t="s">
        <v>42</v>
      </c>
      <c r="M1530" s="3" t="s">
        <v>41</v>
      </c>
    </row>
    <row r="1531" spans="1:13" ht="114.95">
      <c r="A1531" s="22" t="s">
        <v>14</v>
      </c>
      <c r="B1531" s="3" t="s">
        <v>4856</v>
      </c>
      <c r="C1531" s="3" t="s">
        <v>4857</v>
      </c>
      <c r="D1531" s="3" t="s">
        <v>45</v>
      </c>
      <c r="E1531" s="3" t="s">
        <v>46</v>
      </c>
      <c r="F1531" s="3" t="s">
        <v>4582</v>
      </c>
      <c r="G1531" s="3" t="s">
        <v>4583</v>
      </c>
      <c r="H1531" s="3" t="s">
        <v>4858</v>
      </c>
      <c r="I1531" s="3" t="str">
        <f>HYPERLINK("http://www.jccm.es/sede/tramite/IDX","PREINSCRIPCION EN ACTIVIDADES DE OCIO Y TIEMPO LIBRE.")</f>
        <v>PREINSCRIPCION EN ACTIVIDADES DE OCIO Y TIEMPO LIBRE.</v>
      </c>
      <c r="J1531" s="3" t="s">
        <v>41</v>
      </c>
      <c r="K1531" s="3" t="s">
        <v>41</v>
      </c>
      <c r="L1531" s="3" t="s">
        <v>42</v>
      </c>
      <c r="M1531" s="3" t="s">
        <v>41</v>
      </c>
    </row>
    <row r="1532" spans="1:13" ht="114.95">
      <c r="A1532" s="22" t="s">
        <v>14</v>
      </c>
      <c r="B1532" s="3" t="s">
        <v>4859</v>
      </c>
      <c r="C1532" s="3" t="s">
        <v>4860</v>
      </c>
      <c r="D1532" s="3" t="s">
        <v>45</v>
      </c>
      <c r="E1532" s="3" t="s">
        <v>46</v>
      </c>
      <c r="F1532" s="3" t="s">
        <v>4582</v>
      </c>
      <c r="G1532" s="3" t="s">
        <v>4583</v>
      </c>
      <c r="H1532" s="3" t="s">
        <v>4861</v>
      </c>
      <c r="I1532" s="3" t="str">
        <f>HYPERLINK("http://www.jccm.es/sede/tramite/KZM","ADJUDICACION DE PLAZAS EN OCIO Y TIEMPO LIBRE.")</f>
        <v>ADJUDICACION DE PLAZAS EN OCIO Y TIEMPO LIBRE.</v>
      </c>
      <c r="J1532" s="3" t="s">
        <v>42</v>
      </c>
      <c r="K1532" s="3" t="s">
        <v>41</v>
      </c>
      <c r="L1532" s="3" t="s">
        <v>42</v>
      </c>
      <c r="M1532" s="3" t="s">
        <v>41</v>
      </c>
    </row>
    <row r="1533" spans="1:13" ht="114.95">
      <c r="A1533" s="22" t="s">
        <v>14</v>
      </c>
      <c r="B1533" s="3" t="s">
        <v>4862</v>
      </c>
      <c r="C1533" s="3" t="s">
        <v>4863</v>
      </c>
      <c r="D1533" s="3" t="s">
        <v>45</v>
      </c>
      <c r="E1533" s="3" t="s">
        <v>46</v>
      </c>
      <c r="F1533" s="3" t="s">
        <v>4582</v>
      </c>
      <c r="G1533" s="3" t="s">
        <v>4583</v>
      </c>
      <c r="H1533" s="3" t="s">
        <v>4864</v>
      </c>
      <c r="I1533" s="3" t="str">
        <f>HYPERLINK("http://www.jccm.es/sede/tramite/KZF","ADJUDICACION DE PLAZAS EN ACTIVIDADES EN CAMPOS DE VOLUNTARIADO JUVENIL.")</f>
        <v>ADJUDICACION DE PLAZAS EN ACTIVIDADES EN CAMPOS DE VOLUNTARIADO JUVENIL.</v>
      </c>
      <c r="J1533" s="3" t="s">
        <v>42</v>
      </c>
      <c r="K1533" s="3" t="s">
        <v>41</v>
      </c>
      <c r="L1533" s="3" t="s">
        <v>42</v>
      </c>
      <c r="M1533" s="3" t="s">
        <v>41</v>
      </c>
    </row>
    <row r="1534" spans="1:13" ht="114.95">
      <c r="A1534" s="22" t="s">
        <v>14</v>
      </c>
      <c r="B1534" s="3" t="s">
        <v>4865</v>
      </c>
      <c r="C1534" s="3" t="s">
        <v>4866</v>
      </c>
      <c r="D1534" s="3" t="s">
        <v>4867</v>
      </c>
      <c r="E1534" s="3" t="s">
        <v>46</v>
      </c>
      <c r="F1534" s="3" t="s">
        <v>4582</v>
      </c>
      <c r="G1534" s="3" t="s">
        <v>4614</v>
      </c>
      <c r="H1534" s="3" t="s">
        <v>4868</v>
      </c>
      <c r="I1534" s="3" t="str">
        <f>HYPERLINK("http://www.jccm.es/sede/tramite/IL9","PREMIOS EXTRAORDINARIOS DE FORMACION PROFESIONAL DEL SISTEMA EDUCATIVO DE GRADO SUPERIOR (ALUMNADO MATRICULADO EN CENTROS PRIVADOS).")</f>
        <v>PREMIOS EXTRAORDINARIOS DE FORMACION PROFESIONAL DEL SISTEMA EDUCATIVO DE GRADO SUPERIOR (ALUMNADO MATRICULADO EN CENTROS PRIVADOS).</v>
      </c>
      <c r="J1534" s="3" t="s">
        <v>42</v>
      </c>
      <c r="K1534" s="3" t="s">
        <v>41</v>
      </c>
      <c r="L1534" s="3" t="s">
        <v>42</v>
      </c>
      <c r="M1534" s="3" t="s">
        <v>41</v>
      </c>
    </row>
    <row r="1535" spans="1:13" ht="114.95">
      <c r="A1535" s="22" t="s">
        <v>14</v>
      </c>
      <c r="B1535" s="3" t="s">
        <v>4869</v>
      </c>
      <c r="C1535" s="3" t="s">
        <v>4866</v>
      </c>
      <c r="D1535" s="3" t="s">
        <v>4867</v>
      </c>
      <c r="E1535" s="3" t="s">
        <v>46</v>
      </c>
      <c r="F1535" s="3" t="s">
        <v>4582</v>
      </c>
      <c r="G1535" s="3" t="s">
        <v>4614</v>
      </c>
      <c r="H1535" s="3" t="s">
        <v>4870</v>
      </c>
      <c r="I1535" s="3" t="str">
        <f>HYPERLINK("http://www.jccm.es/sede/tramite/KDQ","PREMIOS EXTRAORDINARIOS DE FORMACION PROFESIONAL DEL SISTEMA EDUCATIVO DE GRADO SUPERIOR, PARA ALUMNOS DE CENTROS SOSTENIDOS CON FONDOS PUBLICOS.")</f>
        <v>PREMIOS EXTRAORDINARIOS DE FORMACION PROFESIONAL DEL SISTEMA EDUCATIVO DE GRADO SUPERIOR, PARA ALUMNOS DE CENTROS SOSTENIDOS CON FONDOS PUBLICOS.</v>
      </c>
      <c r="J1535" s="3" t="s">
        <v>41</v>
      </c>
      <c r="K1535" s="3" t="s">
        <v>41</v>
      </c>
      <c r="L1535" s="3" t="s">
        <v>42</v>
      </c>
      <c r="M1535" s="3" t="s">
        <v>41</v>
      </c>
    </row>
    <row r="1536" spans="1:13" ht="114.95">
      <c r="A1536" s="22" t="s">
        <v>14</v>
      </c>
      <c r="B1536" s="3" t="s">
        <v>4871</v>
      </c>
      <c r="C1536" s="3" t="s">
        <v>4872</v>
      </c>
      <c r="D1536" s="3" t="s">
        <v>1173</v>
      </c>
      <c r="E1536" s="3" t="s">
        <v>46</v>
      </c>
      <c r="F1536" s="3" t="s">
        <v>4582</v>
      </c>
      <c r="G1536" s="3" t="s">
        <v>4583</v>
      </c>
      <c r="H1536" s="3" t="s">
        <v>4873</v>
      </c>
      <c r="I1536" s="3" t="str">
        <f>HYPERLINK("http://www.jccm.es/sede/tramite/IG9","SOLICITUD DE SUBVENCIONES PARA DEPORTISTAS ELITE DE CASTILLA-LA MANCHA")</f>
        <v>SOLICITUD DE SUBVENCIONES PARA DEPORTISTAS ELITE DE CASTILLA-LA MANCHA</v>
      </c>
      <c r="J1536" s="3" t="s">
        <v>42</v>
      </c>
      <c r="K1536" s="3" t="s">
        <v>41</v>
      </c>
      <c r="L1536" s="3" t="s">
        <v>42</v>
      </c>
      <c r="M1536" s="3" t="s">
        <v>41</v>
      </c>
    </row>
    <row r="1537" spans="1:13" ht="207">
      <c r="A1537" s="22" t="s">
        <v>14</v>
      </c>
      <c r="B1537" s="3" t="s">
        <v>4874</v>
      </c>
      <c r="C1537" s="3" t="s">
        <v>4875</v>
      </c>
      <c r="D1537" s="3" t="s">
        <v>1173</v>
      </c>
      <c r="E1537" s="3" t="s">
        <v>46</v>
      </c>
      <c r="F1537" s="3" t="s">
        <v>4582</v>
      </c>
      <c r="G1537" s="3" t="s">
        <v>4583</v>
      </c>
      <c r="H1537" s="3" t="s">
        <v>4876</v>
      </c>
      <c r="I1537" s="3" t="str">
        <f>HYPERLINK("http://www.jccm.es/sede/tramite/KWN","JUSTIFICACION DE LA CONVOCATORIA DE LA CONSEJERIA DE EDUCACION, CULTURA Y DEPORTES, DE CONCESION DE SUBVENCIONES PARA DEPORTISTAS ELITE DE CASTILLA-LA MANCHA")</f>
        <v>JUSTIFICACION DE LA CONVOCATORIA DE LA CONSEJERIA DE EDUCACION, CULTURA Y DEPORTES, DE CONCESION DE SUBVENCIONES PARA DEPORTISTAS ELITE DE CASTILLA-LA MANCHA</v>
      </c>
      <c r="J1537" s="3" t="s">
        <v>42</v>
      </c>
      <c r="K1537" s="3" t="s">
        <v>41</v>
      </c>
      <c r="L1537" s="3" t="s">
        <v>42</v>
      </c>
      <c r="M1537" s="3" t="s">
        <v>41</v>
      </c>
    </row>
    <row r="1538" spans="1:13" ht="114.95">
      <c r="A1538" s="22" t="s">
        <v>14</v>
      </c>
      <c r="B1538" s="3" t="s">
        <v>4877</v>
      </c>
      <c r="C1538" s="3" t="s">
        <v>4878</v>
      </c>
      <c r="D1538" s="3" t="s">
        <v>51</v>
      </c>
      <c r="E1538" s="3" t="s">
        <v>46</v>
      </c>
      <c r="F1538" s="3" t="s">
        <v>4582</v>
      </c>
      <c r="G1538" s="3" t="s">
        <v>4583</v>
      </c>
      <c r="H1538" s="3" t="s">
        <v>4879</v>
      </c>
      <c r="I1538" s="3" t="str">
        <f>HYPERLINK("http://www.jccm.es/sede/tramite/IEK","SUBVENCIONES A FEDERACIONES DEPORTIVAS DE CASTILLA-LA MANCHA")</f>
        <v>SUBVENCIONES A FEDERACIONES DEPORTIVAS DE CASTILLA-LA MANCHA</v>
      </c>
      <c r="J1538" s="3" t="s">
        <v>41</v>
      </c>
      <c r="K1538" s="3" t="s">
        <v>41</v>
      </c>
      <c r="L1538" s="3" t="s">
        <v>42</v>
      </c>
      <c r="M1538" s="3" t="s">
        <v>41</v>
      </c>
    </row>
    <row r="1539" spans="1:13" ht="149.44999999999999">
      <c r="A1539" s="22" t="s">
        <v>14</v>
      </c>
      <c r="B1539" s="3" t="s">
        <v>4880</v>
      </c>
      <c r="C1539" s="3" t="s">
        <v>4881</v>
      </c>
      <c r="D1539" s="3" t="s">
        <v>51</v>
      </c>
      <c r="E1539" s="3" t="s">
        <v>46</v>
      </c>
      <c r="F1539" s="3" t="s">
        <v>4582</v>
      </c>
      <c r="G1539" s="3" t="s">
        <v>4583</v>
      </c>
      <c r="H1539" s="3" t="s">
        <v>4882</v>
      </c>
      <c r="I1539" s="3" t="str">
        <f>HYPERLINK("http://www.jccm.es/sede/tramite/KT3","JUSTIFICACION SUBVENCIONES PARA LA ORGANIZACION Y GESTION DE LAS FEDERACIONES DEPORTIVAS DE CASTILLA-LA MANCHA")</f>
        <v>JUSTIFICACION SUBVENCIONES PARA LA ORGANIZACION Y GESTION DE LAS FEDERACIONES DEPORTIVAS DE CASTILLA-LA MANCHA</v>
      </c>
      <c r="J1539" s="3" t="s">
        <v>41</v>
      </c>
      <c r="K1539" s="3" t="s">
        <v>41</v>
      </c>
      <c r="L1539" s="3" t="s">
        <v>42</v>
      </c>
      <c r="M1539" s="3" t="s">
        <v>41</v>
      </c>
    </row>
    <row r="1540" spans="1:13" ht="183.95">
      <c r="A1540" s="22" t="s">
        <v>14</v>
      </c>
      <c r="B1540" s="3" t="s">
        <v>4883</v>
      </c>
      <c r="C1540" s="3" t="s">
        <v>4884</v>
      </c>
      <c r="D1540" s="3" t="s">
        <v>45</v>
      </c>
      <c r="E1540" s="3" t="s">
        <v>46</v>
      </c>
      <c r="F1540" s="3" t="s">
        <v>4582</v>
      </c>
      <c r="G1540" s="3" t="s">
        <v>4603</v>
      </c>
      <c r="H1540" s="3" t="s">
        <v>4885</v>
      </c>
      <c r="I1540" s="3" t="str">
        <f>HYPERLINK("http://www.jccm.es/sede/tramite/IIW","AYUDAS DE TRANSPORTE Y COMEDOR ESCOLAR A CENTROS PRIVADOS CONCERTADOS DE EDUCACION ESPECIAL Y AL ALUMNADO ESCOLARIZADO EN LOS MISMOS")</f>
        <v>AYUDAS DE TRANSPORTE Y COMEDOR ESCOLAR A CENTROS PRIVADOS CONCERTADOS DE EDUCACION ESPECIAL Y AL ALUMNADO ESCOLARIZADO EN LOS MISMOS</v>
      </c>
      <c r="J1540" s="3" t="s">
        <v>42</v>
      </c>
      <c r="K1540" s="3" t="s">
        <v>41</v>
      </c>
      <c r="L1540" s="3" t="s">
        <v>42</v>
      </c>
      <c r="M1540" s="3" t="s">
        <v>41</v>
      </c>
    </row>
    <row r="1541" spans="1:13" ht="218.45">
      <c r="A1541" s="22" t="s">
        <v>14</v>
      </c>
      <c r="B1541" s="3" t="s">
        <v>4886</v>
      </c>
      <c r="C1541" s="3" t="s">
        <v>4887</v>
      </c>
      <c r="D1541" s="3" t="s">
        <v>45</v>
      </c>
      <c r="E1541" s="3" t="s">
        <v>46</v>
      </c>
      <c r="F1541" s="3" t="s">
        <v>4582</v>
      </c>
      <c r="G1541" s="3" t="s">
        <v>4603</v>
      </c>
      <c r="H1541" s="3" t="s">
        <v>4888</v>
      </c>
      <c r="I1541" s="3" t="str">
        <f>HYPERLINK("http://www.jccm.es/sede/tramite/KX3","JUSTIFICACION DE LA CONVOCATORIA DE AYUDAS DE TRANSPORTE Y COMEDOR ESCOLAR A CENTROS PRIVADOS CONCERTADOS DE EDUCACION ESPECIAL Y ALUMNADO MATRICULADO EN LOS MISMOS.")</f>
        <v>JUSTIFICACION DE LA CONVOCATORIA DE AYUDAS DE TRANSPORTE Y COMEDOR ESCOLAR A CENTROS PRIVADOS CONCERTADOS DE EDUCACION ESPECIAL Y ALUMNADO MATRICULADO EN LOS MISMOS.</v>
      </c>
      <c r="J1541" s="3" t="s">
        <v>41</v>
      </c>
      <c r="K1541" s="3" t="s">
        <v>41</v>
      </c>
      <c r="L1541" s="3" t="s">
        <v>42</v>
      </c>
      <c r="M1541" s="3" t="s">
        <v>41</v>
      </c>
    </row>
    <row r="1542" spans="1:13" ht="114.95">
      <c r="A1542" s="22" t="s">
        <v>14</v>
      </c>
      <c r="B1542" s="3" t="s">
        <v>4889</v>
      </c>
      <c r="C1542" s="3" t="s">
        <v>4890</v>
      </c>
      <c r="D1542" s="3" t="s">
        <v>3755</v>
      </c>
      <c r="E1542" s="3" t="s">
        <v>37</v>
      </c>
      <c r="F1542" s="3" t="s">
        <v>4582</v>
      </c>
      <c r="G1542" s="3" t="s">
        <v>4583</v>
      </c>
      <c r="H1542" s="3" t="s">
        <v>4891</v>
      </c>
      <c r="I1542" s="3" t="str">
        <f>HYPERLINK("http://www.jccm.es/sede/tramite/KB1","PROGRAMA  SOMOS DEPORTE 3-18  DE CASTILLA-LA MANCHA. ALUMNADO")</f>
        <v>PROGRAMA  SOMOS DEPORTE 3-18  DE CASTILLA-LA MANCHA. ALUMNADO</v>
      </c>
      <c r="J1542" s="3" t="s">
        <v>41</v>
      </c>
      <c r="K1542" s="3" t="s">
        <v>41</v>
      </c>
      <c r="L1542" s="3" t="s">
        <v>42</v>
      </c>
      <c r="M1542" s="3" t="s">
        <v>41</v>
      </c>
    </row>
    <row r="1543" spans="1:13" ht="114.95">
      <c r="A1543" s="22" t="s">
        <v>14</v>
      </c>
      <c r="B1543" s="3" t="s">
        <v>4892</v>
      </c>
      <c r="C1543" s="3" t="s">
        <v>4893</v>
      </c>
      <c r="D1543" s="3" t="s">
        <v>3755</v>
      </c>
      <c r="E1543" s="3" t="s">
        <v>37</v>
      </c>
      <c r="F1543" s="3" t="s">
        <v>4582</v>
      </c>
      <c r="G1543" s="3" t="s">
        <v>4583</v>
      </c>
      <c r="H1543" s="3" t="s">
        <v>4894</v>
      </c>
      <c r="I1543" s="3" t="str">
        <f>HYPERLINK("http://www.jccm.es/sede/tramite/K3Q","PROGRAMA  SOMOS DEPORTE 3-18  DE CASTILLA-LA MANCHA. ENTIDADES")</f>
        <v>PROGRAMA  SOMOS DEPORTE 3-18  DE CASTILLA-LA MANCHA. ENTIDADES</v>
      </c>
      <c r="J1543" s="3" t="s">
        <v>41</v>
      </c>
      <c r="K1543" s="3" t="s">
        <v>41</v>
      </c>
      <c r="L1543" s="3" t="s">
        <v>42</v>
      </c>
      <c r="M1543" s="3" t="s">
        <v>41</v>
      </c>
    </row>
    <row r="1544" spans="1:13" ht="161.1">
      <c r="A1544" s="22" t="s">
        <v>14</v>
      </c>
      <c r="B1544" s="3" t="s">
        <v>4895</v>
      </c>
      <c r="C1544" s="3" t="s">
        <v>4896</v>
      </c>
      <c r="D1544" s="3" t="s">
        <v>192</v>
      </c>
      <c r="E1544" s="3" t="s">
        <v>46</v>
      </c>
      <c r="F1544" s="3" t="s">
        <v>4582</v>
      </c>
      <c r="G1544" s="3" t="s">
        <v>4583</v>
      </c>
      <c r="H1544" s="3" t="s">
        <v>4897</v>
      </c>
      <c r="I1544" s="3" t="str">
        <f>HYPERLINK("http://www.jccm.es/sede/tramite/KND","JUSTIFICACION PARA LA CONCESION DE SUBVENCIONES PARA LA ORGANIZACION DE EVENTOS DEPORTIVOS DE ESPECIAL INTERES EN CASTILLA-LA MANCHA.")</f>
        <v>JUSTIFICACION PARA LA CONCESION DE SUBVENCIONES PARA LA ORGANIZACION DE EVENTOS DEPORTIVOS DE ESPECIAL INTERES EN CASTILLA-LA MANCHA.</v>
      </c>
      <c r="J1544" s="3" t="s">
        <v>41</v>
      </c>
      <c r="K1544" s="3" t="s">
        <v>41</v>
      </c>
      <c r="L1544" s="3" t="s">
        <v>42</v>
      </c>
      <c r="M1544" s="3" t="s">
        <v>41</v>
      </c>
    </row>
    <row r="1545" spans="1:13" ht="161.1">
      <c r="A1545" s="22" t="s">
        <v>14</v>
      </c>
      <c r="B1545" s="3" t="s">
        <v>4898</v>
      </c>
      <c r="C1545" s="3" t="s">
        <v>4899</v>
      </c>
      <c r="D1545" s="3" t="s">
        <v>192</v>
      </c>
      <c r="E1545" s="3" t="s">
        <v>46</v>
      </c>
      <c r="F1545" s="3" t="s">
        <v>4582</v>
      </c>
      <c r="G1545" s="3" t="s">
        <v>4583</v>
      </c>
      <c r="H1545" s="3" t="s">
        <v>4900</v>
      </c>
      <c r="I1545" s="3" t="str">
        <f>HYPERLINK("http://www.jccm.es/sede/tramite/KB8","CONVOCATORIA PARA LA CONCESION DE SUBVENCIONES PARA LA ORGANIZACION DE EVENTOS DEPORTIVOS DE ESPECIAL INTERES EN CASTILLA-LA MANCHA.")</f>
        <v>CONVOCATORIA PARA LA CONCESION DE SUBVENCIONES PARA LA ORGANIZACION DE EVENTOS DEPORTIVOS DE ESPECIAL INTERES EN CASTILLA-LA MANCHA.</v>
      </c>
      <c r="J1545" s="3" t="s">
        <v>41</v>
      </c>
      <c r="K1545" s="3" t="s">
        <v>41</v>
      </c>
      <c r="L1545" s="3" t="s">
        <v>42</v>
      </c>
      <c r="M1545" s="3" t="s">
        <v>41</v>
      </c>
    </row>
    <row r="1546" spans="1:13" ht="149.44999999999999">
      <c r="A1546" s="22" t="s">
        <v>14</v>
      </c>
      <c r="B1546" s="3" t="s">
        <v>4901</v>
      </c>
      <c r="C1546" s="3" t="s">
        <v>4902</v>
      </c>
      <c r="D1546" s="3" t="s">
        <v>192</v>
      </c>
      <c r="E1546" s="3" t="s">
        <v>46</v>
      </c>
      <c r="F1546" s="3" t="s">
        <v>4582</v>
      </c>
      <c r="G1546" s="3" t="s">
        <v>4583</v>
      </c>
      <c r="H1546" s="3" t="s">
        <v>4903</v>
      </c>
      <c r="I1546" s="3" t="str">
        <f>HYPERLINK("http://www.jccm.es/sede/tramite/KLA","SOLICITUD DE SUBVENCIONES DE APOYO A CLUBES Y SOCIEDADES ANONIMAS DEPORTIVAS DE MAXIMO NIVEL DE CASTILLA-LA MANCHA.")</f>
        <v>SOLICITUD DE SUBVENCIONES DE APOYO A CLUBES Y SOCIEDADES ANONIMAS DEPORTIVAS DE MAXIMO NIVEL DE CASTILLA-LA MANCHA.</v>
      </c>
      <c r="J1546" s="3" t="s">
        <v>41</v>
      </c>
      <c r="K1546" s="3" t="s">
        <v>41</v>
      </c>
      <c r="L1546" s="3" t="s">
        <v>42</v>
      </c>
      <c r="M1546" s="3" t="s">
        <v>41</v>
      </c>
    </row>
    <row r="1547" spans="1:13" ht="252.95">
      <c r="A1547" s="22" t="s">
        <v>14</v>
      </c>
      <c r="B1547" s="3" t="s">
        <v>4904</v>
      </c>
      <c r="C1547" s="3" t="s">
        <v>4905</v>
      </c>
      <c r="D1547" s="3" t="s">
        <v>327</v>
      </c>
      <c r="E1547" s="3" t="s">
        <v>46</v>
      </c>
      <c r="F1547" s="3" t="s">
        <v>4582</v>
      </c>
      <c r="G1547" s="3" t="s">
        <v>4603</v>
      </c>
      <c r="H1547" s="3" t="s">
        <v>4906</v>
      </c>
      <c r="I1547" s="3" t="str">
        <f>HYPERLINK("http://www.jccm.es/sede/tramite/KLX","SOLICITUD DE AYUDAS PARA EL USO DE LIBROS DE TEXTO ALUMNADO DE E. PRIMARIA Y E. SECUNDARIA Y DE COMEDOR ESCOLAR PARA EL ALUMNADO DE SEGUNDO CICLO DE E. INFANTIL Y E. PRIMARIA. SOLICITUD ALUMNADO.")</f>
        <v>SOLICITUD DE AYUDAS PARA EL USO DE LIBROS DE TEXTO ALUMNADO DE E. PRIMARIA Y E. SECUNDARIA Y DE COMEDOR ESCOLAR PARA EL ALUMNADO DE SEGUNDO CICLO DE E. INFANTIL Y E. PRIMARIA. SOLICITUD ALUMNADO.</v>
      </c>
      <c r="J1547" s="3" t="s">
        <v>41</v>
      </c>
      <c r="K1547" s="3" t="s">
        <v>41</v>
      </c>
      <c r="L1547" s="3" t="s">
        <v>42</v>
      </c>
      <c r="M1547" s="3" t="s">
        <v>41</v>
      </c>
    </row>
    <row r="1548" spans="1:13" ht="276">
      <c r="A1548" s="22" t="s">
        <v>14</v>
      </c>
      <c r="B1548" s="3" t="s">
        <v>4907</v>
      </c>
      <c r="C1548" s="3" t="s">
        <v>4908</v>
      </c>
      <c r="D1548" s="3" t="s">
        <v>327</v>
      </c>
      <c r="E1548" s="3" t="s">
        <v>46</v>
      </c>
      <c r="F1548" s="3" t="s">
        <v>4582</v>
      </c>
      <c r="G1548" s="3" t="s">
        <v>4603</v>
      </c>
      <c r="H1548" s="3" t="s">
        <v>4909</v>
      </c>
      <c r="I1548" s="3" t="str">
        <f>HYPERLINK("http://www.jccm.es/sede/tramite/KRF","JUSTIFICACION DE SUBVENCIONES CONSISTENTES EN EL USO DE LIBROS DE TEXTO POR EL ALUMNADO DE EDUCACION PRIMARIA Y SECUNDARIA OBLIGATORIA MATRICULADO EN CENTROS SOSTENIDOS CON FONDOS PUBLICOS.")</f>
        <v>JUSTIFICACION DE SUBVENCIONES CONSISTENTES EN EL USO DE LIBROS DE TEXTO POR EL ALUMNADO DE EDUCACION PRIMARIA Y SECUNDARIA OBLIGATORIA MATRICULADO EN CENTROS SOSTENIDOS CON FONDOS PUBLICOS.</v>
      </c>
      <c r="J1548" s="3" t="s">
        <v>41</v>
      </c>
      <c r="K1548" s="3" t="s">
        <v>41</v>
      </c>
      <c r="L1548" s="3" t="s">
        <v>42</v>
      </c>
      <c r="M1548" s="3" t="s">
        <v>41</v>
      </c>
    </row>
    <row r="1549" spans="1:13" ht="264.60000000000002">
      <c r="A1549" s="22" t="s">
        <v>14</v>
      </c>
      <c r="B1549" s="3" t="s">
        <v>4910</v>
      </c>
      <c r="C1549" s="3" t="s">
        <v>4911</v>
      </c>
      <c r="D1549" s="3" t="s">
        <v>45</v>
      </c>
      <c r="E1549" s="3" t="s">
        <v>46</v>
      </c>
      <c r="F1549" s="3" t="s">
        <v>4582</v>
      </c>
      <c r="G1549" s="3" t="s">
        <v>4603</v>
      </c>
      <c r="H1549" s="3" t="s">
        <v>4912</v>
      </c>
      <c r="I1549" s="3" t="str">
        <f>HYPERLINK("http://www.jccm.es/sede/tramite/KNG","AYUDAS A LAS ENTIDADES QUE PARTICIPEN EN LA EJECUCION DE ACTUACIONES COFINANCIADAS POR EL FSE Y LA ADMINISTRACION DE LA JUNTA DE COMUNIDADES DE CASTILLA-LA MANCHA EN EL PO DE EMPLEO JUVENIL.")</f>
        <v>AYUDAS A LAS ENTIDADES QUE PARTICIPEN EN LA EJECUCION DE ACTUACIONES COFINANCIADAS POR EL FSE Y LA ADMINISTRACION DE LA JUNTA DE COMUNIDADES DE CASTILLA-LA MANCHA EN EL PO DE EMPLEO JUVENIL.</v>
      </c>
      <c r="J1549" s="3" t="s">
        <v>41</v>
      </c>
      <c r="K1549" s="3" t="s">
        <v>41</v>
      </c>
      <c r="L1549" s="3" t="s">
        <v>42</v>
      </c>
      <c r="M1549" s="3" t="s">
        <v>41</v>
      </c>
    </row>
    <row r="1550" spans="1:13" ht="172.5">
      <c r="A1550" s="22" t="s">
        <v>14</v>
      </c>
      <c r="B1550" s="3" t="s">
        <v>4913</v>
      </c>
      <c r="C1550" s="3" t="s">
        <v>4914</v>
      </c>
      <c r="D1550" s="3" t="s">
        <v>51</v>
      </c>
      <c r="E1550" s="3" t="s">
        <v>46</v>
      </c>
      <c r="F1550" s="3" t="s">
        <v>4582</v>
      </c>
      <c r="G1550" s="3" t="s">
        <v>4583</v>
      </c>
      <c r="H1550" s="3" t="s">
        <v>4915</v>
      </c>
      <c r="I1550" s="3" t="str">
        <f>HYPERLINK("http://www.jccm.es/sede/tramite/KO6","SUBVENCIONES PARA LA IMPLANTACION Y DESARROLLO DE PROYECTOS ESCOLARES SALUDABLES EN LOS CENTROS DOCENTES PRIVADOS CONCERTADOS")</f>
        <v>SUBVENCIONES PARA LA IMPLANTACION Y DESARROLLO DE PROYECTOS ESCOLARES SALUDABLES EN LOS CENTROS DOCENTES PRIVADOS CONCERTADOS</v>
      </c>
      <c r="J1550" s="3" t="s">
        <v>41</v>
      </c>
      <c r="K1550" s="3" t="s">
        <v>41</v>
      </c>
      <c r="L1550" s="3" t="s">
        <v>42</v>
      </c>
      <c r="M1550" s="3" t="s">
        <v>41</v>
      </c>
    </row>
    <row r="1551" spans="1:13" ht="195.6">
      <c r="A1551" s="22" t="s">
        <v>14</v>
      </c>
      <c r="B1551" s="3" t="s">
        <v>4916</v>
      </c>
      <c r="C1551" s="3" t="s">
        <v>4917</v>
      </c>
      <c r="D1551" s="3" t="s">
        <v>51</v>
      </c>
      <c r="E1551" s="3" t="s">
        <v>46</v>
      </c>
      <c r="F1551" s="3" t="s">
        <v>4582</v>
      </c>
      <c r="G1551" s="3" t="s">
        <v>4583</v>
      </c>
      <c r="H1551" s="3" t="s">
        <v>4918</v>
      </c>
      <c r="I1551" s="3" t="str">
        <f>HYPERLINK("http://www.jccm.es/sede/tramite/KTR","JUSTIFICACION SUBVENCIONES PARA LA IMPLANTACION Y DESARROLLO DE PROYECTOS ESCOLARES SALUDABLES EN LOS CENTROS DOCENTES PRIVADOS CONCERTADOS")</f>
        <v>JUSTIFICACION SUBVENCIONES PARA LA IMPLANTACION Y DESARROLLO DE PROYECTOS ESCOLARES SALUDABLES EN LOS CENTROS DOCENTES PRIVADOS CONCERTADOS</v>
      </c>
      <c r="J1551" s="3" t="s">
        <v>41</v>
      </c>
      <c r="K1551" s="3" t="s">
        <v>41</v>
      </c>
      <c r="L1551" s="3" t="s">
        <v>42</v>
      </c>
      <c r="M1551" s="3" t="s">
        <v>41</v>
      </c>
    </row>
    <row r="1552" spans="1:13" ht="183.95">
      <c r="A1552" s="22" t="s">
        <v>14</v>
      </c>
      <c r="B1552" s="3" t="s">
        <v>4919</v>
      </c>
      <c r="C1552" s="3" t="s">
        <v>4920</v>
      </c>
      <c r="D1552" s="3" t="s">
        <v>45</v>
      </c>
      <c r="E1552" s="3" t="s">
        <v>46</v>
      </c>
      <c r="F1552" s="3" t="s">
        <v>4582</v>
      </c>
      <c r="G1552" s="3" t="s">
        <v>4614</v>
      </c>
      <c r="H1552" s="3" t="s">
        <v>4921</v>
      </c>
      <c r="I1552" s="3" t="str">
        <f>HYPERLINK("http://www.jccm.es/sede/tramite/L40","JUSTIFICACION DEL LIBRAMIENTO DE FONDOS PARA EL DESARROLLO DE PROYECTOS DE INNOVACION EN FORMACION PROFESIONAL DURANTE EL AÑO 2022.")</f>
        <v>JUSTIFICACION DEL LIBRAMIENTO DE FONDOS PARA EL DESARROLLO DE PROYECTOS DE INNOVACION EN FORMACION PROFESIONAL DURANTE EL AÑO 2022.</v>
      </c>
      <c r="J1552" s="3" t="s">
        <v>41</v>
      </c>
      <c r="K1552" s="3" t="s">
        <v>41</v>
      </c>
      <c r="L1552" s="3" t="s">
        <v>42</v>
      </c>
      <c r="M1552" s="3" t="s">
        <v>41</v>
      </c>
    </row>
    <row r="1553" spans="1:13" ht="161.1">
      <c r="A1553" s="22" t="s">
        <v>14</v>
      </c>
      <c r="B1553" s="3" t="s">
        <v>4922</v>
      </c>
      <c r="C1553" s="3" t="s">
        <v>4923</v>
      </c>
      <c r="D1553" s="3" t="s">
        <v>45</v>
      </c>
      <c r="E1553" s="3" t="s">
        <v>46</v>
      </c>
      <c r="F1553" s="3" t="s">
        <v>4582</v>
      </c>
      <c r="G1553" s="3" t="s">
        <v>4614</v>
      </c>
      <c r="H1553" s="3" t="s">
        <v>4924</v>
      </c>
      <c r="I1553" s="3" t="str">
        <f>HYPERLINK("http://www.jccm.es/sede/tramite/L3Z","LIBRAMIENTO DE FONDOS PARA EL DESARROLLO DE PROYECTOS DE INNOVACION EN FORMACION PROFESIONAL DURANTE EL AÑO 2022")</f>
        <v>LIBRAMIENTO DE FONDOS PARA EL DESARROLLO DE PROYECTOS DE INNOVACION EN FORMACION PROFESIONAL DURANTE EL AÑO 2022</v>
      </c>
      <c r="J1553" s="3" t="s">
        <v>41</v>
      </c>
      <c r="K1553" s="3" t="s">
        <v>41</v>
      </c>
      <c r="L1553" s="3" t="s">
        <v>42</v>
      </c>
      <c r="M1553" s="3" t="s">
        <v>41</v>
      </c>
    </row>
    <row r="1554" spans="1:13" ht="230.1">
      <c r="A1554" s="22" t="s">
        <v>14</v>
      </c>
      <c r="B1554" s="3" t="s">
        <v>4925</v>
      </c>
      <c r="C1554" s="3" t="s">
        <v>4926</v>
      </c>
      <c r="D1554" s="3" t="s">
        <v>45</v>
      </c>
      <c r="E1554" s="3" t="s">
        <v>46</v>
      </c>
      <c r="F1554" s="3" t="s">
        <v>4582</v>
      </c>
      <c r="G1554" s="3" t="s">
        <v>4591</v>
      </c>
      <c r="H1554" s="3" t="s">
        <v>4927</v>
      </c>
      <c r="I1554" s="3" t="str">
        <f>HYPERLINK("http://www.jccm.es/sede/tramite/L4V","SOLICITUD DE CENTROS RECEPTORES: PROYECTO DE INNOVACION EDUCATIVA OBSERVA Y TRANSFORMA:FORMACION PARA EL DESARROLLO PROFESIONAL DOCENTE A TRAVES DE ESTANCIAS FORMATIVAS")</f>
        <v>SOLICITUD DE CENTROS RECEPTORES: PROYECTO DE INNOVACION EDUCATIVA OBSERVA Y TRANSFORMA:FORMACION PARA EL DESARROLLO PROFESIONAL DOCENTE A TRAVES DE ESTANCIAS FORMATIVAS</v>
      </c>
      <c r="J1554" s="3" t="s">
        <v>41</v>
      </c>
      <c r="K1554" s="3" t="s">
        <v>41</v>
      </c>
      <c r="L1554" s="3" t="s">
        <v>42</v>
      </c>
      <c r="M1554" s="3" t="s">
        <v>41</v>
      </c>
    </row>
    <row r="1555" spans="1:13" ht="218.45">
      <c r="A1555" s="22" t="s">
        <v>14</v>
      </c>
      <c r="B1555" s="3" t="s">
        <v>4928</v>
      </c>
      <c r="C1555" s="3" t="s">
        <v>4929</v>
      </c>
      <c r="D1555" s="3" t="s">
        <v>45</v>
      </c>
      <c r="E1555" s="3" t="s">
        <v>46</v>
      </c>
      <c r="F1555" s="3" t="s">
        <v>4582</v>
      </c>
      <c r="G1555" s="3" t="s">
        <v>4591</v>
      </c>
      <c r="H1555" s="3" t="s">
        <v>4930</v>
      </c>
      <c r="I1555" s="3" t="str">
        <f>HYPERLINK("http://www.jccm.es/sede/tramite/L4W","SOLICITUD PARA PERSONAL DOCENTE  PROYECTO DE INNOVACION EDUCATIVA OBSERVA Y TRANSFORMA:FORMACION PARA EL DESARROLLO PROFESIONAL DOCENTE A TRAVES DE ESTANCIAS FORMATIVAS")</f>
        <v>SOLICITUD PARA PERSONAL DOCENTE  PROYECTO DE INNOVACION EDUCATIVA OBSERVA Y TRANSFORMA:FORMACION PARA EL DESARROLLO PROFESIONAL DOCENTE A TRAVES DE ESTANCIAS FORMATIVAS</v>
      </c>
      <c r="J1555" s="3" t="s">
        <v>41</v>
      </c>
      <c r="K1555" s="3" t="s">
        <v>41</v>
      </c>
      <c r="L1555" s="3" t="s">
        <v>42</v>
      </c>
      <c r="M1555" s="3" t="s">
        <v>41</v>
      </c>
    </row>
    <row r="1556" spans="1:13" ht="195.6">
      <c r="A1556" s="22" t="s">
        <v>14</v>
      </c>
      <c r="B1556" s="3" t="s">
        <v>4931</v>
      </c>
      <c r="C1556" s="3" t="s">
        <v>4932</v>
      </c>
      <c r="D1556" s="3" t="s">
        <v>45</v>
      </c>
      <c r="E1556" s="3" t="s">
        <v>46</v>
      </c>
      <c r="F1556" s="3" t="s">
        <v>4582</v>
      </c>
      <c r="G1556" s="3" t="s">
        <v>4583</v>
      </c>
      <c r="H1556" s="3" t="s">
        <v>4933</v>
      </c>
      <c r="I1556" s="3" t="str">
        <f>HYPERLINK("http://www.jccm.es/sede/tramite/L73","JUSTIFICACION DEL LIBRAMIENTO DE FONDOS PARA LA IMPLANTACION Y DESARROLLO DE PROYECTOS ESCOLARES SALUDABLES EN LOS CENTROS DOCENTES PUBLICOS.")</f>
        <v>JUSTIFICACION DEL LIBRAMIENTO DE FONDOS PARA LA IMPLANTACION Y DESARROLLO DE PROYECTOS ESCOLARES SALUDABLES EN LOS CENTROS DOCENTES PUBLICOS.</v>
      </c>
      <c r="J1556" s="3" t="s">
        <v>41</v>
      </c>
      <c r="K1556" s="3" t="s">
        <v>41</v>
      </c>
      <c r="L1556" s="3" t="s">
        <v>42</v>
      </c>
      <c r="M1556" s="3" t="s">
        <v>41</v>
      </c>
    </row>
    <row r="1557" spans="1:13" ht="195.6">
      <c r="A1557" s="22" t="s">
        <v>14</v>
      </c>
      <c r="B1557" s="3" t="s">
        <v>4934</v>
      </c>
      <c r="C1557" s="3" t="s">
        <v>4935</v>
      </c>
      <c r="D1557" s="3" t="s">
        <v>45</v>
      </c>
      <c r="E1557" s="3" t="s">
        <v>46</v>
      </c>
      <c r="F1557" s="3" t="s">
        <v>4582</v>
      </c>
      <c r="G1557" s="3" t="s">
        <v>4583</v>
      </c>
      <c r="H1557" s="3" t="s">
        <v>4936</v>
      </c>
      <c r="I1557" s="3" t="str">
        <f>HYPERLINK("http://www.jccm.es/sede/tramite/L72","SOLICITUD PARA EL LIBRAMIENTO DE FONDOS PARA LA IMPLANTACION Y DESARROLLO DE PROYECTOS ESCOLARES SALUDABLES EN LOS CENTROS DOCENTES PUBLICOS")</f>
        <v>SOLICITUD PARA EL LIBRAMIENTO DE FONDOS PARA LA IMPLANTACION Y DESARROLLO DE PROYECTOS ESCOLARES SALUDABLES EN LOS CENTROS DOCENTES PUBLICOS</v>
      </c>
      <c r="J1557" s="3" t="s">
        <v>41</v>
      </c>
      <c r="K1557" s="3" t="s">
        <v>41</v>
      </c>
      <c r="L1557" s="3" t="s">
        <v>42</v>
      </c>
      <c r="M1557" s="3" t="s">
        <v>41</v>
      </c>
    </row>
    <row r="1558" spans="1:13" ht="138">
      <c r="A1558" s="22" t="s">
        <v>14</v>
      </c>
      <c r="B1558" s="3" t="s">
        <v>4937</v>
      </c>
      <c r="C1558" s="3" t="s">
        <v>4938</v>
      </c>
      <c r="D1558" s="3" t="s">
        <v>4029</v>
      </c>
      <c r="E1558" s="3" t="s">
        <v>46</v>
      </c>
      <c r="F1558" s="3" t="s">
        <v>4582</v>
      </c>
      <c r="G1558" s="3" t="s">
        <v>4610</v>
      </c>
      <c r="H1558" s="3" t="s">
        <v>4939</v>
      </c>
      <c r="I1558" s="3" t="str">
        <f>HYPERLINK("http://www.jccm.es/sede/tramite/LG9","SUBVENCIONES DESTINADAS AL DESARROLLO DE PROYECTOS DE LARGOMETRAJES EN CASTILLA-LA MANCHA.")</f>
        <v>SUBVENCIONES DESTINADAS AL DESARROLLO DE PROYECTOS DE LARGOMETRAJES EN CASTILLA-LA MANCHA.</v>
      </c>
      <c r="J1558" s="3" t="s">
        <v>41</v>
      </c>
      <c r="K1558" s="3" t="s">
        <v>41</v>
      </c>
      <c r="L1558" s="3" t="s">
        <v>42</v>
      </c>
      <c r="M1558" s="3" t="s">
        <v>41</v>
      </c>
    </row>
    <row r="1559" spans="1:13" ht="161.1">
      <c r="A1559" s="22" t="s">
        <v>14</v>
      </c>
      <c r="B1559" s="3" t="s">
        <v>4940</v>
      </c>
      <c r="C1559" s="3" t="s">
        <v>4941</v>
      </c>
      <c r="D1559" s="3" t="s">
        <v>4029</v>
      </c>
      <c r="E1559" s="3" t="s">
        <v>46</v>
      </c>
      <c r="F1559" s="3" t="s">
        <v>4582</v>
      </c>
      <c r="G1559" s="3" t="s">
        <v>4610</v>
      </c>
      <c r="H1559" s="3" t="s">
        <v>4942</v>
      </c>
      <c r="I1559" s="3" t="str">
        <f>HYPERLINK("http://www.jccm.es/sede/tramite/LGA","JUSTIFICACION SUBVENCIONES DESTINADAS AL DESARROLLO DE PROYECTOS DE LARGOMETRAJES EN CASTILLA-LA MANCHA.")</f>
        <v>JUSTIFICACION SUBVENCIONES DESTINADAS AL DESARROLLO DE PROYECTOS DE LARGOMETRAJES EN CASTILLA-LA MANCHA.</v>
      </c>
      <c r="J1559" s="3" t="s">
        <v>41</v>
      </c>
      <c r="K1559" s="3" t="s">
        <v>41</v>
      </c>
      <c r="L1559" s="3" t="s">
        <v>42</v>
      </c>
      <c r="M1559" s="3" t="s">
        <v>41</v>
      </c>
    </row>
    <row r="1560" spans="1:13" ht="161.1">
      <c r="A1560" s="22" t="s">
        <v>14</v>
      </c>
      <c r="B1560" s="3" t="s">
        <v>4943</v>
      </c>
      <c r="C1560" s="3" t="s">
        <v>4944</v>
      </c>
      <c r="D1560" s="3" t="s">
        <v>327</v>
      </c>
      <c r="E1560" s="3" t="s">
        <v>46</v>
      </c>
      <c r="F1560" s="3" t="s">
        <v>4582</v>
      </c>
      <c r="G1560" s="3" t="s">
        <v>4610</v>
      </c>
      <c r="H1560" s="3" t="s">
        <v>4945</v>
      </c>
      <c r="I1560" s="3" t="str">
        <f>HYPERLINK("http://www.jccm.es/sede/tramite/LGC","JUSTIFICACION SUBVENCIONES DESTINADAS A LA PRODUCCION DE CORTOMETRAJES CINEMATOGRAFICOS EN CASTILLA-LA MANCHA.")</f>
        <v>JUSTIFICACION SUBVENCIONES DESTINADAS A LA PRODUCCION DE CORTOMETRAJES CINEMATOGRAFICOS EN CASTILLA-LA MANCHA.</v>
      </c>
      <c r="J1560" s="3" t="s">
        <v>41</v>
      </c>
      <c r="K1560" s="3" t="s">
        <v>41</v>
      </c>
      <c r="L1560" s="3" t="s">
        <v>42</v>
      </c>
      <c r="M1560" s="3" t="s">
        <v>41</v>
      </c>
    </row>
    <row r="1561" spans="1:13" ht="138">
      <c r="A1561" s="22" t="s">
        <v>14</v>
      </c>
      <c r="B1561" s="3" t="s">
        <v>4946</v>
      </c>
      <c r="C1561" s="3" t="s">
        <v>4947</v>
      </c>
      <c r="D1561" s="3" t="s">
        <v>327</v>
      </c>
      <c r="E1561" s="3" t="s">
        <v>46</v>
      </c>
      <c r="F1561" s="3" t="s">
        <v>4582</v>
      </c>
      <c r="G1561" s="3" t="s">
        <v>4610</v>
      </c>
      <c r="H1561" s="3" t="s">
        <v>4948</v>
      </c>
      <c r="I1561" s="3" t="str">
        <f>HYPERLINK("http://www.jccm.es/sede/tramite/LGB","SUBVENCIONES DESTINADAS A LA PRODUCCION DE CORTOMETRAJES CINEMATOGRAFICOS EN CASTILLA-LA MANCHA.")</f>
        <v>SUBVENCIONES DESTINADAS A LA PRODUCCION DE CORTOMETRAJES CINEMATOGRAFICOS EN CASTILLA-LA MANCHA.</v>
      </c>
      <c r="J1561" s="3" t="s">
        <v>41</v>
      </c>
      <c r="K1561" s="3" t="s">
        <v>41</v>
      </c>
      <c r="L1561" s="3" t="s">
        <v>42</v>
      </c>
      <c r="M1561" s="3" t="s">
        <v>41</v>
      </c>
    </row>
    <row r="1562" spans="1:13" ht="207">
      <c r="A1562" s="22" t="s">
        <v>14</v>
      </c>
      <c r="B1562" s="3" t="s">
        <v>4949</v>
      </c>
      <c r="C1562" s="3" t="s">
        <v>4950</v>
      </c>
      <c r="D1562" s="3" t="s">
        <v>95</v>
      </c>
      <c r="E1562" s="3" t="s">
        <v>95</v>
      </c>
      <c r="F1562" s="3" t="s">
        <v>4582</v>
      </c>
      <c r="G1562" s="3" t="s">
        <v>4587</v>
      </c>
      <c r="H1562" s="3" t="s">
        <v>4951</v>
      </c>
      <c r="I1562" s="3" t="str">
        <f>HYPERLINK("http://www.jccm.es/sede/tramite/LGI","JUSTIFICACION DE LA AYUDA CONCEDIDA DEL PROGRAMA REFUERZA-T DE EDUCACION PRIMARIA, EDUCACION SECUNDARIA Y BACHILLERATO EN CENTROS CONCERTADOS DE C-LM")</f>
        <v>JUSTIFICACION DE LA AYUDA CONCEDIDA DEL PROGRAMA REFUERZA-T DE EDUCACION PRIMARIA, EDUCACION SECUNDARIA Y BACHILLERATO EN CENTROS CONCERTADOS DE C-LM</v>
      </c>
      <c r="J1562" s="3" t="s">
        <v>41</v>
      </c>
      <c r="K1562" s="3" t="s">
        <v>41</v>
      </c>
      <c r="L1562" s="3" t="s">
        <v>42</v>
      </c>
      <c r="M1562" s="3" t="s">
        <v>41</v>
      </c>
    </row>
    <row r="1563" spans="1:13" ht="195.6">
      <c r="A1563" s="22" t="s">
        <v>14</v>
      </c>
      <c r="B1563" s="3" t="s">
        <v>4952</v>
      </c>
      <c r="C1563" s="3" t="s">
        <v>4953</v>
      </c>
      <c r="D1563" s="3" t="s">
        <v>95</v>
      </c>
      <c r="E1563" s="3" t="s">
        <v>95</v>
      </c>
      <c r="F1563" s="3" t="s">
        <v>4582</v>
      </c>
      <c r="G1563" s="3" t="s">
        <v>4591</v>
      </c>
      <c r="H1563" s="3" t="s">
        <v>4954</v>
      </c>
      <c r="I1563" s="3" t="str">
        <f>HYPERLINK("http://www.jccm.es/sede/tramite/LGJ","RENUNCIA A LA AYUDA CONCEDIDA DEL PROGRAMA REFUERZA-T DE EDUCACION PRIMARIA, EDUCACION SECUNDARIA Y BACHILLERATO EN CENTROS CONCERTADOS DE C-LM")</f>
        <v>RENUNCIA A LA AYUDA CONCEDIDA DEL PROGRAMA REFUERZA-T DE EDUCACION PRIMARIA, EDUCACION SECUNDARIA Y BACHILLERATO EN CENTROS CONCERTADOS DE C-LM</v>
      </c>
      <c r="J1563" s="3" t="s">
        <v>41</v>
      </c>
      <c r="K1563" s="3" t="s">
        <v>41</v>
      </c>
      <c r="L1563" s="3" t="s">
        <v>42</v>
      </c>
      <c r="M1563" s="3" t="s">
        <v>41</v>
      </c>
    </row>
    <row r="1564" spans="1:13" ht="218.45">
      <c r="A1564" s="22" t="s">
        <v>14</v>
      </c>
      <c r="B1564" s="3" t="s">
        <v>4955</v>
      </c>
      <c r="C1564" s="3" t="s">
        <v>4956</v>
      </c>
      <c r="D1564" s="3" t="s">
        <v>51</v>
      </c>
      <c r="E1564" s="3" t="s">
        <v>46</v>
      </c>
      <c r="F1564" s="3" t="s">
        <v>4582</v>
      </c>
      <c r="G1564" s="3" t="s">
        <v>4583</v>
      </c>
      <c r="H1564" s="3" t="s">
        <v>4957</v>
      </c>
      <c r="I1564" s="3" t="str">
        <f>HYPERLINK("http://www.jccm.es/sede/tramite/LLR","SUBVENCIONES DESTINADAS AL MANTENIMIENTO DE LA ACTIVIDAD DE CLUBES DEPORTIVOS Y S.A.  DEPORTIVAS DE C-LM , AFECTADOS POR LA CRISIS ECONOMICA CONSECUENCIA DEL COVID-19.")</f>
        <v>SUBVENCIONES DESTINADAS AL MANTENIMIENTO DE LA ACTIVIDAD DE CLUBES DEPORTIVOS Y S.A.  DEPORTIVAS DE C-LM , AFECTADOS POR LA CRISIS ECONOMICA CONSECUENCIA DEL COVID-19.</v>
      </c>
      <c r="J1564" s="3" t="s">
        <v>41</v>
      </c>
      <c r="K1564" s="3" t="s">
        <v>41</v>
      </c>
      <c r="L1564" s="3" t="s">
        <v>42</v>
      </c>
      <c r="M1564" s="3" t="s">
        <v>41</v>
      </c>
    </row>
    <row r="1565" spans="1:13" ht="230.1">
      <c r="A1565" s="22" t="s">
        <v>14</v>
      </c>
      <c r="B1565" s="3" t="s">
        <v>4958</v>
      </c>
      <c r="C1565" s="3" t="s">
        <v>4959</v>
      </c>
      <c r="D1565" s="3" t="s">
        <v>51</v>
      </c>
      <c r="E1565" s="3" t="s">
        <v>46</v>
      </c>
      <c r="F1565" s="3" t="s">
        <v>4582</v>
      </c>
      <c r="G1565" s="3" t="s">
        <v>4583</v>
      </c>
      <c r="H1565" s="3" t="s">
        <v>4960</v>
      </c>
      <c r="I1565" s="3" t="str">
        <f>HYPERLINK("http://www.jccm.es/sede/tramite/LLS","JUSTIFICACION SUBVENCIONES DESTINADAS AL MANTENIMIENTO DE LA ACTIVIDAD DE CLUBES DEPORTIVOS Y SOCIEDADES ANONIMAS DEPORTIVAS DE CASTILLA-LA MANCHA AFECTADOS POR EL COVID-19")</f>
        <v>JUSTIFICACION SUBVENCIONES DESTINADAS AL MANTENIMIENTO DE LA ACTIVIDAD DE CLUBES DEPORTIVOS Y SOCIEDADES ANONIMAS DEPORTIVAS DE CASTILLA-LA MANCHA AFECTADOS POR EL COVID-19</v>
      </c>
      <c r="J1565" s="3" t="s">
        <v>41</v>
      </c>
      <c r="K1565" s="3" t="s">
        <v>41</v>
      </c>
      <c r="L1565" s="3" t="s">
        <v>42</v>
      </c>
      <c r="M1565" s="3" t="s">
        <v>41</v>
      </c>
    </row>
    <row r="1566" spans="1:13" ht="172.5">
      <c r="A1566" s="22" t="s">
        <v>14</v>
      </c>
      <c r="B1566" s="3" t="s">
        <v>4961</v>
      </c>
      <c r="C1566" s="3" t="s">
        <v>4962</v>
      </c>
      <c r="D1566" s="3" t="s">
        <v>4963</v>
      </c>
      <c r="E1566" s="3" t="s">
        <v>46</v>
      </c>
      <c r="F1566" s="3" t="s">
        <v>4582</v>
      </c>
      <c r="G1566" s="3" t="s">
        <v>4610</v>
      </c>
      <c r="H1566" s="3" t="s">
        <v>4964</v>
      </c>
      <c r="I1566" s="3" t="str">
        <f>HYPERLINK("http://www.jccm.es/sede/tramite/LO3","JUSTIFICACION SUBVENCIONES DESTINADAS A LA PRODUCCION DE LARGOMETRAJES EN CASTILLA-LA MANCHA.")</f>
        <v>JUSTIFICACION SUBVENCIONES DESTINADAS A LA PRODUCCION DE LARGOMETRAJES EN CASTILLA-LA MANCHA.</v>
      </c>
      <c r="J1566" s="3" t="s">
        <v>41</v>
      </c>
      <c r="K1566" s="3" t="s">
        <v>41</v>
      </c>
      <c r="L1566" s="3" t="s">
        <v>42</v>
      </c>
      <c r="M1566" s="3" t="s">
        <v>41</v>
      </c>
    </row>
    <row r="1567" spans="1:13" ht="172.5">
      <c r="A1567" s="22" t="s">
        <v>14</v>
      </c>
      <c r="B1567" s="3" t="s">
        <v>4965</v>
      </c>
      <c r="C1567" s="3" t="s">
        <v>4966</v>
      </c>
      <c r="D1567" s="3" t="s">
        <v>4963</v>
      </c>
      <c r="E1567" s="3" t="s">
        <v>46</v>
      </c>
      <c r="F1567" s="3" t="s">
        <v>4582</v>
      </c>
      <c r="G1567" s="3" t="s">
        <v>4610</v>
      </c>
      <c r="H1567" s="3" t="s">
        <v>4967</v>
      </c>
      <c r="I1567" s="3" t="str">
        <f>HYPERLINK("http://www.jccm.es/sede/tramite/LO2","SUBVENCIONES DESTINADAS A LA PRODUCCION DE LARGOMETRAJES EN CASTILLA-LA MANCHA.")</f>
        <v>SUBVENCIONES DESTINADAS A LA PRODUCCION DE LARGOMETRAJES EN CASTILLA-LA MANCHA.</v>
      </c>
      <c r="J1567" s="3" t="s">
        <v>41</v>
      </c>
      <c r="K1567" s="3" t="s">
        <v>41</v>
      </c>
      <c r="L1567" s="3" t="s">
        <v>42</v>
      </c>
      <c r="M1567" s="3" t="s">
        <v>41</v>
      </c>
    </row>
    <row r="1568" spans="1:13" ht="310.5">
      <c r="A1568" s="22" t="s">
        <v>14</v>
      </c>
      <c r="B1568" s="3" t="s">
        <v>4968</v>
      </c>
      <c r="C1568" s="3" t="s">
        <v>4969</v>
      </c>
      <c r="D1568" s="3" t="s">
        <v>232</v>
      </c>
      <c r="E1568" s="3" t="s">
        <v>46</v>
      </c>
      <c r="F1568" s="3" t="s">
        <v>4582</v>
      </c>
      <c r="G1568" s="3" t="s">
        <v>4610</v>
      </c>
      <c r="H1568" s="3" t="s">
        <v>4970</v>
      </c>
      <c r="I1568" s="3" t="str">
        <f>HYPERLINK("http://www.jccm.es/sede/tramite/LQA","SUBVENCIONES DESTINADAS A LA MODERNIZACION Y GESTION SOSTENIBLE DE LAS INFRAESTRUCTURAS DE LAS ARTES ESCENICAS Y MUSICALES.")</f>
        <v>SUBVENCIONES DESTINADAS A LA MODERNIZACION Y GESTION SOSTENIBLE DE LAS INFRAESTRUCTURAS DE LAS ARTES ESCENICAS Y MUSICALES.</v>
      </c>
      <c r="J1568" s="3" t="s">
        <v>41</v>
      </c>
      <c r="K1568" s="3" t="s">
        <v>41</v>
      </c>
      <c r="L1568" s="3" t="s">
        <v>42</v>
      </c>
      <c r="M1568" s="3" t="s">
        <v>41</v>
      </c>
    </row>
    <row r="1569" spans="1:13" ht="114.95">
      <c r="A1569" s="22" t="s">
        <v>14</v>
      </c>
      <c r="B1569" s="3" t="s">
        <v>4971</v>
      </c>
      <c r="C1569" s="3" t="s">
        <v>4972</v>
      </c>
      <c r="D1569" s="3" t="s">
        <v>4973</v>
      </c>
      <c r="E1569" s="3" t="s">
        <v>46</v>
      </c>
      <c r="F1569" s="3" t="s">
        <v>4582</v>
      </c>
      <c r="G1569" s="3" t="s">
        <v>4582</v>
      </c>
      <c r="H1569" s="3" t="s">
        <v>4974</v>
      </c>
      <c r="I1569" s="3" t="str">
        <f>HYPERLINK("http://www.jccm.es/sede/tramite/LZC","PREMIOS EXTRAORDINARIOS DE FORMACION PROFESIONAL DEL SISTEMA EDUCATIVO DE GRADO MEDIO, PARA ALUMNOS DE CENTROS SOSTENIDOS CON FONDOS PUBLICOS Y PRIVADOS.")</f>
        <v>PREMIOS EXTRAORDINARIOS DE FORMACION PROFESIONAL DEL SISTEMA EDUCATIVO DE GRADO MEDIO, PARA ALUMNOS DE CENTROS SOSTENIDOS CON FONDOS PUBLICOS Y PRIVADOS.</v>
      </c>
      <c r="J1569" s="3" t="s">
        <v>42</v>
      </c>
      <c r="K1569" s="3" t="s">
        <v>41</v>
      </c>
      <c r="L1569" s="3" t="s">
        <v>42</v>
      </c>
      <c r="M1569" s="3" t="s">
        <v>41</v>
      </c>
    </row>
    <row r="1570" spans="1:13" ht="114.95">
      <c r="A1570" s="22" t="s">
        <v>14</v>
      </c>
      <c r="B1570" s="3" t="s">
        <v>4975</v>
      </c>
      <c r="C1570" s="3" t="s">
        <v>4976</v>
      </c>
      <c r="D1570" s="3" t="s">
        <v>45</v>
      </c>
      <c r="E1570" s="3" t="s">
        <v>37</v>
      </c>
      <c r="F1570" s="3" t="s">
        <v>4582</v>
      </c>
      <c r="G1570" s="3" t="s">
        <v>4583</v>
      </c>
      <c r="H1570" s="3" t="s">
        <v>4977</v>
      </c>
      <c r="I1570" s="3" t="str">
        <f>HYPERLINK("http://www.jccm.es/sede/tramite/ICE","RECONOCIMIENTO DE ESCUELAS DE ANIMACION JUVENIL")</f>
        <v>RECONOCIMIENTO DE ESCUELAS DE ANIMACION JUVENIL</v>
      </c>
      <c r="J1570" s="3" t="s">
        <v>42</v>
      </c>
      <c r="K1570" s="3" t="s">
        <v>41</v>
      </c>
      <c r="L1570" s="3" t="s">
        <v>42</v>
      </c>
      <c r="M1570" s="3" t="s">
        <v>42</v>
      </c>
    </row>
    <row r="1571" spans="1:13" ht="92.1">
      <c r="A1571" s="22" t="s">
        <v>14</v>
      </c>
      <c r="B1571" s="3" t="s">
        <v>4978</v>
      </c>
      <c r="C1571" s="3" t="s">
        <v>4979</v>
      </c>
      <c r="D1571" s="3" t="s">
        <v>556</v>
      </c>
      <c r="E1571" s="3" t="s">
        <v>46</v>
      </c>
      <c r="F1571" s="3" t="s">
        <v>4582</v>
      </c>
      <c r="G1571" s="3" t="s">
        <v>4591</v>
      </c>
      <c r="H1571" s="3" t="s">
        <v>4980</v>
      </c>
      <c r="I1571" s="3" t="str">
        <f>HYPERLINK("http://www.jccm.es/sede/tramite/IPV","CONVOCATORIA PARA LA REALIZACION DE PRUEBAS DE ACCESO A CICLOS FORMATIVOS DE FORMACION PROFESIONAL")</f>
        <v>CONVOCATORIA PARA LA REALIZACION DE PRUEBAS DE ACCESO A CICLOS FORMATIVOS DE FORMACION PROFESIONAL</v>
      </c>
      <c r="J1571" s="3" t="s">
        <v>41</v>
      </c>
      <c r="K1571" s="3" t="s">
        <v>41</v>
      </c>
      <c r="L1571" s="3" t="s">
        <v>42</v>
      </c>
      <c r="M1571" s="3" t="s">
        <v>41</v>
      </c>
    </row>
    <row r="1572" spans="1:13" ht="264.60000000000002">
      <c r="A1572" s="22" t="s">
        <v>14</v>
      </c>
      <c r="B1572" s="3" t="s">
        <v>4981</v>
      </c>
      <c r="C1572" s="3" t="s">
        <v>4982</v>
      </c>
      <c r="D1572" s="3" t="s">
        <v>327</v>
      </c>
      <c r="E1572" s="3" t="s">
        <v>46</v>
      </c>
      <c r="F1572" s="3" t="s">
        <v>4582</v>
      </c>
      <c r="G1572" s="3" t="s">
        <v>4614</v>
      </c>
      <c r="H1572" s="3" t="s">
        <v>4983</v>
      </c>
      <c r="I1572" s="3" t="str">
        <f>HYPERLINK("http://www.jccm.es/sede/tramite/IYM","ADMISION DE ALUMNADO EN CICLOS FORMATIVOS DE GRADO MEDIO Y GRADO SUPERIOR EN MODALIDAD PRESENCIAL EN CENTROS DOCENTES DE CASTILLA-LA MANCHA SOSTENIDOS CON FONDOS PUBLICOS.")</f>
        <v>ADMISION DE ALUMNADO EN CICLOS FORMATIVOS DE GRADO MEDIO Y GRADO SUPERIOR EN MODALIDAD PRESENCIAL EN CENTROS DOCENTES DE CASTILLA-LA MANCHA SOSTENIDOS CON FONDOS PUBLICOS.</v>
      </c>
      <c r="J1572" s="3" t="s">
        <v>41</v>
      </c>
      <c r="K1572" s="3" t="s">
        <v>41</v>
      </c>
      <c r="L1572" s="3" t="s">
        <v>42</v>
      </c>
      <c r="M1572" s="3" t="s">
        <v>41</v>
      </c>
    </row>
    <row r="1573" spans="1:13" ht="218.45">
      <c r="A1573" s="22" t="s">
        <v>14</v>
      </c>
      <c r="B1573" s="3" t="s">
        <v>4984</v>
      </c>
      <c r="C1573" s="3" t="s">
        <v>4985</v>
      </c>
      <c r="D1573" s="3" t="s">
        <v>327</v>
      </c>
      <c r="E1573" s="3" t="s">
        <v>46</v>
      </c>
      <c r="F1573" s="3" t="s">
        <v>4582</v>
      </c>
      <c r="G1573" s="3" t="s">
        <v>4614</v>
      </c>
      <c r="H1573" s="3" t="s">
        <v>4986</v>
      </c>
      <c r="I1573" s="3" t="str">
        <f>HYPERLINK("http://www.jccm.es/sede/tramite/IYX","ADMISION DE ALUMNADO EN CICLOS FORMATIVOS DE GRADO MEDIO Y GRADO SUPERIOR EN MODALIDAD DISTANCIA EN CENTROS DOCENTES DE CASTILLA-LA MANCHA DE TITULARIDAD PUBLICA.")</f>
        <v>ADMISION DE ALUMNADO EN CICLOS FORMATIVOS DE GRADO MEDIO Y GRADO SUPERIOR EN MODALIDAD DISTANCIA EN CENTROS DOCENTES DE CASTILLA-LA MANCHA DE TITULARIDAD PUBLICA.</v>
      </c>
      <c r="J1573" s="3" t="s">
        <v>41</v>
      </c>
      <c r="K1573" s="3" t="s">
        <v>41</v>
      </c>
      <c r="L1573" s="3" t="s">
        <v>42</v>
      </c>
      <c r="M1573" s="3" t="s">
        <v>41</v>
      </c>
    </row>
    <row r="1574" spans="1:13" ht="183.95">
      <c r="A1574" s="22" t="s">
        <v>14</v>
      </c>
      <c r="B1574" s="3" t="s">
        <v>4987</v>
      </c>
      <c r="C1574" s="3" t="s">
        <v>4988</v>
      </c>
      <c r="D1574" s="3" t="s">
        <v>45</v>
      </c>
      <c r="E1574" s="3" t="s">
        <v>46</v>
      </c>
      <c r="F1574" s="3" t="s">
        <v>4582</v>
      </c>
      <c r="G1574" s="3" t="s">
        <v>4614</v>
      </c>
      <c r="H1574" s="3" t="s">
        <v>4989</v>
      </c>
      <c r="I1574" s="3" t="str">
        <f>HYPERLINK("http://www.jccm.es/sede/tramite/I4I","ADMISION ALUMNADO EN CENTROS DOCENTES QUE IMPARTEN EDUCACION PARA PERSONAS ADULTAS.")</f>
        <v>ADMISION ALUMNADO EN CENTROS DOCENTES QUE IMPARTEN EDUCACION PARA PERSONAS ADULTAS.</v>
      </c>
      <c r="J1574" s="3" t="s">
        <v>42</v>
      </c>
      <c r="K1574" s="3" t="s">
        <v>41</v>
      </c>
      <c r="L1574" s="3" t="s">
        <v>42</v>
      </c>
      <c r="M1574" s="3" t="s">
        <v>41</v>
      </c>
    </row>
    <row r="1575" spans="1:13" ht="126.6">
      <c r="A1575" s="22" t="s">
        <v>14</v>
      </c>
      <c r="B1575" s="3" t="s">
        <v>4990</v>
      </c>
      <c r="C1575" s="3" t="s">
        <v>4991</v>
      </c>
      <c r="D1575" s="3" t="s">
        <v>51</v>
      </c>
      <c r="E1575" s="3" t="s">
        <v>46</v>
      </c>
      <c r="F1575" s="3" t="s">
        <v>4582</v>
      </c>
      <c r="G1575" s="3" t="s">
        <v>4591</v>
      </c>
      <c r="H1575" s="3" t="s">
        <v>4992</v>
      </c>
      <c r="I1575" s="3" t="str">
        <f>HYPERLINK("http://www.jccm.es/sede/tramite/IWP","AUTORIZACION DE CENTROS Y ADMISION DEL ALUMNADO EN LOS CURSOS PREPARATORIOS DE LAS PRUEBAS DE ACCESO A CICLOS FORMATIVOS DE GRADO SUPERIOR.")</f>
        <v>AUTORIZACION DE CENTROS Y ADMISION DEL ALUMNADO EN LOS CURSOS PREPARATORIOS DE LAS PRUEBAS DE ACCESO A CICLOS FORMATIVOS DE GRADO SUPERIOR.</v>
      </c>
      <c r="J1575" s="3" t="s">
        <v>42</v>
      </c>
      <c r="K1575" s="3" t="s">
        <v>41</v>
      </c>
      <c r="L1575" s="3" t="s">
        <v>42</v>
      </c>
      <c r="M1575" s="3" t="s">
        <v>41</v>
      </c>
    </row>
    <row r="1576" spans="1:13" ht="138">
      <c r="A1576" s="22" t="s">
        <v>14</v>
      </c>
      <c r="B1576" s="3" t="s">
        <v>4993</v>
      </c>
      <c r="C1576" s="3" t="s">
        <v>4994</v>
      </c>
      <c r="D1576" s="3" t="s">
        <v>70</v>
      </c>
      <c r="E1576" s="3" t="s">
        <v>46</v>
      </c>
      <c r="F1576" s="3" t="s">
        <v>4582</v>
      </c>
      <c r="G1576" s="3" t="s">
        <v>4587</v>
      </c>
      <c r="H1576" s="3" t="s">
        <v>4995</v>
      </c>
      <c r="I1576" s="3" t="str">
        <f>HYPERLINK("http://www.jccm.es/sede/tramite/I15","ADMISION DE ALUMNADO EN CENTROS DOCENTES PUBLICOS Y PRIVADOS CONCERTADOS ( ENSEÑANZAS DE BACHILLERATO)")</f>
        <v>ADMISION DE ALUMNADO EN CENTROS DOCENTES PUBLICOS Y PRIVADOS CONCERTADOS ( ENSEÑANZAS DE BACHILLERATO)</v>
      </c>
      <c r="J1576" s="3" t="s">
        <v>42</v>
      </c>
      <c r="K1576" s="3" t="s">
        <v>41</v>
      </c>
      <c r="L1576" s="3" t="s">
        <v>42</v>
      </c>
      <c r="M1576" s="3" t="s">
        <v>41</v>
      </c>
    </row>
    <row r="1577" spans="1:13" ht="252.95">
      <c r="A1577" s="22" t="s">
        <v>14</v>
      </c>
      <c r="B1577" s="3" t="s">
        <v>4996</v>
      </c>
      <c r="C1577" s="3" t="s">
        <v>4997</v>
      </c>
      <c r="D1577" s="3" t="s">
        <v>62</v>
      </c>
      <c r="E1577" s="3" t="s">
        <v>46</v>
      </c>
      <c r="F1577" s="3" t="s">
        <v>4582</v>
      </c>
      <c r="G1577" s="3" t="s">
        <v>4587</v>
      </c>
      <c r="H1577" s="3" t="s">
        <v>4998</v>
      </c>
      <c r="I1577" s="3" t="str">
        <f>HYPERLINK("http://www.jccm.es/sede/tramite/D43","SELECCION DE SUPERVISORES PEDAGOGICOS PARA LAS ACTIVIDADES DE FORMACION DIRIGIDAS A MEJORAR LA COMPETENCIA DE LOS ALUMNOS DE 3º Y 4º DE ESO Y 1º DE BACHILLERATO EN EL USO DE LENGUAS EXTRANJERAS")</f>
        <v>SELECCION DE SUPERVISORES PEDAGOGICOS PARA LAS ACTIVIDADES DE FORMACION DIRIGIDAS A MEJORAR LA COMPETENCIA DE LOS ALUMNOS DE 3º Y 4º DE ESO Y 1º DE BACHILLERATO EN EL USO DE LENGUAS EXTRANJERAS</v>
      </c>
      <c r="J1577" s="3" t="s">
        <v>41</v>
      </c>
      <c r="K1577" s="3" t="s">
        <v>41</v>
      </c>
      <c r="L1577" s="3" t="s">
        <v>42</v>
      </c>
      <c r="M1577" s="3" t="s">
        <v>41</v>
      </c>
    </row>
    <row r="1578" spans="1:13" ht="172.5">
      <c r="A1578" s="22" t="s">
        <v>14</v>
      </c>
      <c r="B1578" s="3" t="s">
        <v>4999</v>
      </c>
      <c r="C1578" s="3" t="s">
        <v>5000</v>
      </c>
      <c r="D1578" s="3" t="s">
        <v>1727</v>
      </c>
      <c r="E1578" s="3" t="s">
        <v>46</v>
      </c>
      <c r="F1578" s="3" t="s">
        <v>4582</v>
      </c>
      <c r="G1578" s="3" t="s">
        <v>4587</v>
      </c>
      <c r="H1578" s="3" t="s">
        <v>95</v>
      </c>
      <c r="I1578" s="3" t="str">
        <f>HYPERLINK("http://www.jccm.es/sede/tramite/I8D","EXPEDICION DE TITULOS ACADEMICOS Y PROFESIONALES NO UNIVERSITARIOS CORRESPONDIENTES A ENSEÑANZAS ESTABLECIDAS EN LA LOGSE")</f>
        <v>EXPEDICION DE TITULOS ACADEMICOS Y PROFESIONALES NO UNIVERSITARIOS CORRESPONDIENTES A ENSEÑANZAS ESTABLECIDAS EN LA LOGSE</v>
      </c>
      <c r="J1578" s="3" t="s">
        <v>42</v>
      </c>
      <c r="K1578" s="3" t="s">
        <v>41</v>
      </c>
      <c r="L1578" s="3" t="s">
        <v>41</v>
      </c>
      <c r="M1578" s="3" t="s">
        <v>41</v>
      </c>
    </row>
    <row r="1579" spans="1:13" ht="138">
      <c r="A1579" s="22" t="s">
        <v>14</v>
      </c>
      <c r="B1579" s="3" t="s">
        <v>5001</v>
      </c>
      <c r="C1579" s="3" t="s">
        <v>5002</v>
      </c>
      <c r="D1579" s="3" t="s">
        <v>70</v>
      </c>
      <c r="E1579" s="3" t="s">
        <v>37</v>
      </c>
      <c r="F1579" s="3" t="s">
        <v>4582</v>
      </c>
      <c r="G1579" s="3" t="s">
        <v>4587</v>
      </c>
      <c r="H1579" s="3" t="s">
        <v>5003</v>
      </c>
      <c r="I1579" s="3" t="str">
        <f>HYPERLINK("http://www.jccm.es/sede/tramite/I8C","RECONOCIMIENTO DE FIRMAS DE TITULOS Y CERTIFICACIONES ACADEMICAS DE ESTUDIOS NO UNIVERSITARIOS")</f>
        <v>RECONOCIMIENTO DE FIRMAS DE TITULOS Y CERTIFICACIONES ACADEMICAS DE ESTUDIOS NO UNIVERSITARIOS</v>
      </c>
      <c r="J1579" s="3" t="s">
        <v>42</v>
      </c>
      <c r="K1579" s="3" t="s">
        <v>41</v>
      </c>
      <c r="L1579" s="3" t="s">
        <v>41</v>
      </c>
      <c r="M1579" s="3" t="s">
        <v>41</v>
      </c>
    </row>
    <row r="1580" spans="1:13" ht="207">
      <c r="A1580" s="22" t="s">
        <v>14</v>
      </c>
      <c r="B1580" s="3" t="s">
        <v>5004</v>
      </c>
      <c r="C1580" s="3" t="s">
        <v>5005</v>
      </c>
      <c r="D1580" s="3" t="s">
        <v>1655</v>
      </c>
      <c r="E1580" s="3" t="s">
        <v>95</v>
      </c>
      <c r="F1580" s="3" t="s">
        <v>4582</v>
      </c>
      <c r="G1580" s="3" t="s">
        <v>4672</v>
      </c>
      <c r="H1580" s="3" t="s">
        <v>5006</v>
      </c>
      <c r="I1580" s="3" t="str">
        <f>HYPERLINK("http://www.jccm.es/sede/tramite/IFP","PRUEBAS DE ACCESO A LA UNIVERSIDAD DE CASTILLA-LA MANCHA DE LOS MAYORES DE 25 AÑOS, ACCESO MEDIANTE ACREDITACION LABORAL O PROFESIONAL Y PARA MAYORES DE 45 AÑOS.")</f>
        <v>PRUEBAS DE ACCESO A LA UNIVERSIDAD DE CASTILLA-LA MANCHA DE LOS MAYORES DE 25 AÑOS, ACCESO MEDIANTE ACREDITACION LABORAL O PROFESIONAL Y PARA MAYORES DE 45 AÑOS.</v>
      </c>
      <c r="J1580" s="3" t="s">
        <v>41</v>
      </c>
      <c r="K1580" s="3" t="s">
        <v>41</v>
      </c>
      <c r="L1580" s="3" t="s">
        <v>41</v>
      </c>
      <c r="M1580" s="3" t="s">
        <v>41</v>
      </c>
    </row>
    <row r="1581" spans="1:13" ht="138">
      <c r="A1581" s="22" t="s">
        <v>14</v>
      </c>
      <c r="B1581" s="3" t="s">
        <v>5007</v>
      </c>
      <c r="C1581" s="3" t="s">
        <v>5008</v>
      </c>
      <c r="D1581" s="3" t="s">
        <v>45</v>
      </c>
      <c r="E1581" s="3" t="s">
        <v>46</v>
      </c>
      <c r="F1581" s="3" t="s">
        <v>4582</v>
      </c>
      <c r="G1581" s="3" t="s">
        <v>4614</v>
      </c>
      <c r="H1581" s="3" t="s">
        <v>5009</v>
      </c>
      <c r="I1581" s="3" t="str">
        <f>HYPERLINK("http://www.jccm.es/sede/tramite/IIQ","PRUEBAS LIBRES PARA LA OBTENCION DEL TITULO DE GRADUADO EN EDUCACION SECUNDARIA OBLIGATORIA PARA MAYORES DE 18 AÑOS")</f>
        <v>PRUEBAS LIBRES PARA LA OBTENCION DEL TITULO DE GRADUADO EN EDUCACION SECUNDARIA OBLIGATORIA PARA MAYORES DE 18 AÑOS</v>
      </c>
      <c r="J1581" s="3" t="s">
        <v>42</v>
      </c>
      <c r="K1581" s="3" t="s">
        <v>41</v>
      </c>
      <c r="L1581" s="3" t="s">
        <v>42</v>
      </c>
      <c r="M1581" s="3" t="s">
        <v>41</v>
      </c>
    </row>
    <row r="1582" spans="1:13" ht="161.1">
      <c r="A1582" s="22" t="s">
        <v>14</v>
      </c>
      <c r="B1582" s="3" t="s">
        <v>5010</v>
      </c>
      <c r="C1582" s="3" t="s">
        <v>5011</v>
      </c>
      <c r="D1582" s="3" t="s">
        <v>70</v>
      </c>
      <c r="E1582" s="3" t="s">
        <v>37</v>
      </c>
      <c r="F1582" s="3" t="s">
        <v>4582</v>
      </c>
      <c r="G1582" s="3" t="s">
        <v>4614</v>
      </c>
      <c r="H1582" s="3" t="s">
        <v>5012</v>
      </c>
      <c r="I1582" s="3" t="str">
        <f>HYPERLINK("http://www.jccm.es/sede/tramite/IPX","CONVOCATORIA DE PRUEBAS PARA LA OBTENCION DE DETERMINADOS TITULOS DE FORMACION PROFESIONAL EN LA COMUNIDAD AUTONOMA DE CASTILLA-LA MANCHA.")</f>
        <v>CONVOCATORIA DE PRUEBAS PARA LA OBTENCION DE DETERMINADOS TITULOS DE FORMACION PROFESIONAL EN LA COMUNIDAD AUTONOMA DE CASTILLA-LA MANCHA.</v>
      </c>
      <c r="J1582" s="3" t="s">
        <v>41</v>
      </c>
      <c r="K1582" s="3" t="s">
        <v>41</v>
      </c>
      <c r="L1582" s="3" t="s">
        <v>42</v>
      </c>
      <c r="M1582" s="3" t="s">
        <v>41</v>
      </c>
    </row>
    <row r="1583" spans="1:13" ht="138">
      <c r="A1583" s="22" t="s">
        <v>14</v>
      </c>
      <c r="B1583" s="3" t="s">
        <v>5013</v>
      </c>
      <c r="C1583" s="3" t="s">
        <v>5014</v>
      </c>
      <c r="D1583" s="3" t="s">
        <v>36</v>
      </c>
      <c r="E1583" s="3" t="s">
        <v>46</v>
      </c>
      <c r="F1583" s="3" t="s">
        <v>4582</v>
      </c>
      <c r="G1583" s="3" t="s">
        <v>4587</v>
      </c>
      <c r="H1583" s="3" t="s">
        <v>5015</v>
      </c>
      <c r="I1583" s="3" t="str">
        <f>HYPERLINK("http://www.jccm.es/sede/tramite/JMD","PRUEBAS LIBRES PARA LA OBTENCION DEL TITULO DE BACHILLER EN LA COMUNIDAD AUTONOMA DE CASTILLA-LA MANCHA.")</f>
        <v>PRUEBAS LIBRES PARA LA OBTENCION DEL TITULO DE BACHILLER EN LA COMUNIDAD AUTONOMA DE CASTILLA-LA MANCHA.</v>
      </c>
      <c r="J1583" s="3" t="s">
        <v>42</v>
      </c>
      <c r="K1583" s="3" t="s">
        <v>41</v>
      </c>
      <c r="L1583" s="3" t="s">
        <v>42</v>
      </c>
      <c r="M1583" s="3" t="s">
        <v>41</v>
      </c>
    </row>
    <row r="1584" spans="1:13" ht="230.1">
      <c r="A1584" s="22" t="s">
        <v>14</v>
      </c>
      <c r="B1584" s="3" t="s">
        <v>5016</v>
      </c>
      <c r="C1584" s="3" t="s">
        <v>5017</v>
      </c>
      <c r="D1584" s="3" t="s">
        <v>192</v>
      </c>
      <c r="E1584" s="3" t="s">
        <v>46</v>
      </c>
      <c r="F1584" s="3" t="s">
        <v>4582</v>
      </c>
      <c r="G1584" s="3" t="s">
        <v>4591</v>
      </c>
      <c r="H1584" s="3" t="s">
        <v>5018</v>
      </c>
      <c r="I1584" s="3" t="str">
        <f>HYPERLINK("http://www.jccm.es/sede/tramite/JMT","PRUEBAS  DE CERTIFICACION DE COMPETENCIA GENERAL DE LAS ENSEÑANZAS DE IDIOMAS DE REGIMEN ESPECIAL Y MATRICULACION DE ALUMNOS DE LAS MODALIDADES LIBRE Y A DISTANCIA.")</f>
        <v>PRUEBAS  DE CERTIFICACION DE COMPETENCIA GENERAL DE LAS ENSEÑANZAS DE IDIOMAS DE REGIMEN ESPECIAL Y MATRICULACION DE ALUMNOS DE LAS MODALIDADES LIBRE Y A DISTANCIA.</v>
      </c>
      <c r="J1584" s="3" t="s">
        <v>41</v>
      </c>
      <c r="K1584" s="3" t="s">
        <v>41</v>
      </c>
      <c r="L1584" s="3" t="s">
        <v>42</v>
      </c>
      <c r="M1584" s="3" t="s">
        <v>41</v>
      </c>
    </row>
    <row r="1585" spans="1:13" ht="114.95">
      <c r="A1585" s="22" t="s">
        <v>14</v>
      </c>
      <c r="B1585" s="3" t="s">
        <v>5019</v>
      </c>
      <c r="C1585" s="3" t="s">
        <v>5020</v>
      </c>
      <c r="D1585" s="3" t="s">
        <v>45</v>
      </c>
      <c r="E1585" s="3" t="s">
        <v>37</v>
      </c>
      <c r="F1585" s="3" t="s">
        <v>4582</v>
      </c>
      <c r="G1585" s="3" t="s">
        <v>4583</v>
      </c>
      <c r="H1585" s="3" t="s">
        <v>5021</v>
      </c>
      <c r="I1585" s="3" t="str">
        <f>HYPERLINK("http://www.jccm.es/sede/tramite/JMZ","CALIFICACION COMO DEPORTISTA DE ALTO RENDIMIENTO DE CASTILLA-LA MANCHA")</f>
        <v>CALIFICACION COMO DEPORTISTA DE ALTO RENDIMIENTO DE CASTILLA-LA MANCHA</v>
      </c>
      <c r="J1585" s="3" t="s">
        <v>42</v>
      </c>
      <c r="K1585" s="3" t="s">
        <v>41</v>
      </c>
      <c r="L1585" s="3" t="s">
        <v>42</v>
      </c>
      <c r="M1585" s="3" t="s">
        <v>41</v>
      </c>
    </row>
    <row r="1586" spans="1:13" ht="276">
      <c r="A1586" s="22" t="s">
        <v>14</v>
      </c>
      <c r="B1586" s="3" t="s">
        <v>5022</v>
      </c>
      <c r="C1586" s="3" t="s">
        <v>5023</v>
      </c>
      <c r="D1586" s="3" t="s">
        <v>45</v>
      </c>
      <c r="E1586" s="3" t="s">
        <v>46</v>
      </c>
      <c r="F1586" s="3" t="s">
        <v>4582</v>
      </c>
      <c r="G1586" s="3" t="s">
        <v>4614</v>
      </c>
      <c r="H1586" s="3" t="s">
        <v>5024</v>
      </c>
      <c r="I1586" s="3" t="str">
        <f>HYPERLINK("http://www.jccm.es/sede/tramite/JNZ","PRUEBAS LIBRES (EXAMENES TEORICOS) PARA LA OBTENCION DE LOS REQUISITOS DE CONOCIMIENTOS SEGUN NORMATIVA EASA.")</f>
        <v>PRUEBAS LIBRES (EXAMENES TEORICOS) PARA LA OBTENCION DE LOS REQUISITOS DE CONOCIMIENTOS SEGUN NORMATIVA EASA.</v>
      </c>
      <c r="J1586" s="3" t="s">
        <v>42</v>
      </c>
      <c r="K1586" s="3" t="s">
        <v>41</v>
      </c>
      <c r="L1586" s="3" t="s">
        <v>42</v>
      </c>
      <c r="M1586" s="3" t="s">
        <v>41</v>
      </c>
    </row>
    <row r="1587" spans="1:13" ht="161.1">
      <c r="A1587" s="22" t="s">
        <v>14</v>
      </c>
      <c r="B1587" s="3" t="s">
        <v>5025</v>
      </c>
      <c r="C1587" s="3" t="s">
        <v>5026</v>
      </c>
      <c r="D1587" s="3" t="s">
        <v>45</v>
      </c>
      <c r="E1587" s="3" t="s">
        <v>46</v>
      </c>
      <c r="F1587" s="3" t="s">
        <v>4582</v>
      </c>
      <c r="G1587" s="3" t="s">
        <v>4610</v>
      </c>
      <c r="H1587" s="3" t="s">
        <v>5027</v>
      </c>
      <c r="I1587" s="3" t="str">
        <f>HYPERLINK("http://www.jccm.es/sede/tramite/JR3","SOLICITUD DE INICIACION DEL PROCEDIMIENTO DE DECLARACION DE UN B.I.C., B.I.P. O E.I.P.")</f>
        <v>SOLICITUD DE INICIACION DEL PROCEDIMIENTO DE DECLARACION DE UN B.I.C., B.I.P. O E.I.P.</v>
      </c>
      <c r="J1587" s="3" t="s">
        <v>42</v>
      </c>
      <c r="K1587" s="3" t="s">
        <v>41</v>
      </c>
      <c r="L1587" s="3" t="s">
        <v>42</v>
      </c>
      <c r="M1587" s="3" t="s">
        <v>41</v>
      </c>
    </row>
    <row r="1588" spans="1:13" ht="161.1">
      <c r="A1588" s="22" t="s">
        <v>14</v>
      </c>
      <c r="B1588" s="3" t="s">
        <v>5028</v>
      </c>
      <c r="C1588" s="3" t="s">
        <v>5029</v>
      </c>
      <c r="D1588" s="3" t="s">
        <v>36</v>
      </c>
      <c r="E1588" s="3" t="s">
        <v>46</v>
      </c>
      <c r="F1588" s="3" t="s">
        <v>4582</v>
      </c>
      <c r="G1588" s="3" t="s">
        <v>4610</v>
      </c>
      <c r="H1588" s="3" t="s">
        <v>5030</v>
      </c>
      <c r="I1588" s="3" t="str">
        <f>HYPERLINK("http://www.jccm.es/sede/tramite/JR4","INCLUSION Y EXCLUSION DE BIENES MUEBLES EN EL INVENTARIO GENERAL DE BIENES MUEBLES INTEGRANTES DEL PATRIMONIO HISTORICO ESPAÑOL")</f>
        <v>INCLUSION Y EXCLUSION DE BIENES MUEBLES EN EL INVENTARIO GENERAL DE BIENES MUEBLES INTEGRANTES DEL PATRIMONIO HISTORICO ESPAÑOL</v>
      </c>
      <c r="J1588" s="3" t="s">
        <v>42</v>
      </c>
      <c r="K1588" s="3" t="s">
        <v>41</v>
      </c>
      <c r="L1588" s="3" t="s">
        <v>42</v>
      </c>
      <c r="M1588" s="3" t="s">
        <v>42</v>
      </c>
    </row>
    <row r="1589" spans="1:13" ht="207">
      <c r="A1589" s="22" t="s">
        <v>14</v>
      </c>
      <c r="B1589" s="3" t="s">
        <v>5031</v>
      </c>
      <c r="C1589" s="3" t="s">
        <v>5032</v>
      </c>
      <c r="D1589" s="3" t="s">
        <v>45</v>
      </c>
      <c r="E1589" s="3" t="s">
        <v>46</v>
      </c>
      <c r="F1589" s="3" t="s">
        <v>4582</v>
      </c>
      <c r="G1589" s="3" t="s">
        <v>4614</v>
      </c>
      <c r="H1589" s="3" t="s">
        <v>5033</v>
      </c>
      <c r="I1589" s="3" t="str">
        <f>HYPERLINK("http://www.jccm.es/sede/tramite/JP4","PRUEBAS PARA LA OBTENCION DEL CERTIFICADO DE ENSEÑANZAS INICIALES PARA PERSONAS MAYORES DE DIECIOCHO AÑOS EN LA COMUNIDAD AUTONOMA DE CASTILLA- LA MANCHA.")</f>
        <v>PRUEBAS PARA LA OBTENCION DEL CERTIFICADO DE ENSEÑANZAS INICIALES PARA PERSONAS MAYORES DE DIECIOCHO AÑOS EN LA COMUNIDAD AUTONOMA DE CASTILLA- LA MANCHA.</v>
      </c>
      <c r="J1589" s="3" t="s">
        <v>42</v>
      </c>
      <c r="K1589" s="3" t="s">
        <v>41</v>
      </c>
      <c r="L1589" s="3" t="s">
        <v>42</v>
      </c>
      <c r="M1589" s="3" t="s">
        <v>41</v>
      </c>
    </row>
    <row r="1590" spans="1:13" ht="114.95">
      <c r="A1590" s="22" t="s">
        <v>14</v>
      </c>
      <c r="B1590" s="3" t="s">
        <v>5034</v>
      </c>
      <c r="C1590" s="3" t="s">
        <v>5035</v>
      </c>
      <c r="D1590" s="3" t="s">
        <v>70</v>
      </c>
      <c r="E1590" s="3" t="s">
        <v>46</v>
      </c>
      <c r="F1590" s="3" t="s">
        <v>4582</v>
      </c>
      <c r="G1590" s="3" t="s">
        <v>4614</v>
      </c>
      <c r="H1590" s="3" t="s">
        <v>5036</v>
      </c>
      <c r="I1590" s="3" t="str">
        <f>HYPERLINK("http://www.jccm.es/sede/tramite/K2X","ADMISION DE ALUMNADO PARA CURSAR ENSEÑANZAS SUPERIORES DE MUSICA.")</f>
        <v>ADMISION DE ALUMNADO PARA CURSAR ENSEÑANZAS SUPERIORES DE MUSICA.</v>
      </c>
      <c r="J1590" s="3" t="s">
        <v>42</v>
      </c>
      <c r="K1590" s="3" t="s">
        <v>41</v>
      </c>
      <c r="L1590" s="3" t="s">
        <v>42</v>
      </c>
      <c r="M1590" s="3" t="s">
        <v>41</v>
      </c>
    </row>
    <row r="1591" spans="1:13" ht="138">
      <c r="A1591" s="22" t="s">
        <v>14</v>
      </c>
      <c r="B1591" s="3" t="s">
        <v>5037</v>
      </c>
      <c r="C1591" s="3" t="s">
        <v>5038</v>
      </c>
      <c r="D1591" s="3" t="s">
        <v>45</v>
      </c>
      <c r="E1591" s="3" t="s">
        <v>46</v>
      </c>
      <c r="F1591" s="3" t="s">
        <v>4582</v>
      </c>
      <c r="G1591" s="3" t="s">
        <v>4587</v>
      </c>
      <c r="H1591" s="3" t="s">
        <v>5039</v>
      </c>
      <c r="I1591" s="3" t="str">
        <f>HYPERLINK("http://www.jccm.es/sede/tramite/K8Z","DECLARACION DE INSTITUTO HISTORICO DE CASTILLA-LA MANCHA")</f>
        <v>DECLARACION DE INSTITUTO HISTORICO DE CASTILLA-LA MANCHA</v>
      </c>
      <c r="J1591" s="3" t="s">
        <v>41</v>
      </c>
      <c r="K1591" s="3" t="s">
        <v>41</v>
      </c>
      <c r="L1591" s="3" t="s">
        <v>42</v>
      </c>
      <c r="M1591" s="3" t="s">
        <v>41</v>
      </c>
    </row>
    <row r="1592" spans="1:13" ht="161.1">
      <c r="A1592" s="22" t="s">
        <v>14</v>
      </c>
      <c r="B1592" s="3" t="s">
        <v>5040</v>
      </c>
      <c r="C1592" s="3" t="s">
        <v>5041</v>
      </c>
      <c r="D1592" s="3" t="s">
        <v>70</v>
      </c>
      <c r="E1592" s="3" t="s">
        <v>46</v>
      </c>
      <c r="F1592" s="3" t="s">
        <v>4582</v>
      </c>
      <c r="G1592" s="3" t="s">
        <v>4614</v>
      </c>
      <c r="H1592" s="3" t="s">
        <v>5042</v>
      </c>
      <c r="I1592" s="3" t="str">
        <f>HYPERLINK("http://www.jccm.es/sede/tramite/KAE","ADMISION DE ALUMNADO EN LOS CICLOS FORMATIVOS DE GRADO BASICO EN REGIMEN PRESENCIAL.")</f>
        <v>ADMISION DE ALUMNADO EN LOS CICLOS FORMATIVOS DE GRADO BASICO EN REGIMEN PRESENCIAL.</v>
      </c>
      <c r="J1592" s="3" t="s">
        <v>42</v>
      </c>
      <c r="K1592" s="3" t="s">
        <v>41</v>
      </c>
      <c r="L1592" s="3" t="s">
        <v>42</v>
      </c>
      <c r="M1592" s="3" t="s">
        <v>41</v>
      </c>
    </row>
    <row r="1593" spans="1:13" ht="230.1">
      <c r="A1593" s="22" t="s">
        <v>14</v>
      </c>
      <c r="B1593" s="3" t="s">
        <v>5043</v>
      </c>
      <c r="C1593" s="3" t="s">
        <v>5044</v>
      </c>
      <c r="D1593" s="3" t="s">
        <v>327</v>
      </c>
      <c r="E1593" s="3" t="s">
        <v>46</v>
      </c>
      <c r="F1593" s="3" t="s">
        <v>4582</v>
      </c>
      <c r="G1593" s="3" t="s">
        <v>4587</v>
      </c>
      <c r="H1593" s="3" t="s">
        <v>5045</v>
      </c>
      <c r="I1593" s="3" t="str">
        <f>HYPERLINK("http://www.jccm.es/sede/tramite/KMB","RECONOCIMIENTO Y TRANSFERENCIA DE CREDITOS EN LAS ENSEÑANZAS ARTISTICAS SUPERIORES")</f>
        <v>RECONOCIMIENTO Y TRANSFERENCIA DE CREDITOS EN LAS ENSEÑANZAS ARTISTICAS SUPERIORES</v>
      </c>
      <c r="J1593" s="3" t="s">
        <v>42</v>
      </c>
      <c r="K1593" s="3" t="s">
        <v>41</v>
      </c>
      <c r="L1593" s="3" t="s">
        <v>42</v>
      </c>
      <c r="M1593" s="3" t="s">
        <v>41</v>
      </c>
    </row>
    <row r="1594" spans="1:13" ht="138">
      <c r="A1594" s="22" t="s">
        <v>14</v>
      </c>
      <c r="B1594" s="3" t="s">
        <v>5046</v>
      </c>
      <c r="C1594" s="3" t="s">
        <v>5047</v>
      </c>
      <c r="D1594" s="3" t="s">
        <v>442</v>
      </c>
      <c r="E1594" s="3" t="s">
        <v>46</v>
      </c>
      <c r="F1594" s="3" t="s">
        <v>4582</v>
      </c>
      <c r="G1594" s="3" t="s">
        <v>4587</v>
      </c>
      <c r="H1594" s="3" t="s">
        <v>5048</v>
      </c>
      <c r="I1594" s="3" t="str">
        <f>HYPERLINK("http://www.jccm.es/sede/tramite/KMW","SELECCION DE CENTROS EDUCATIVOS PARA CONSTITUIR CONSORCIOS ERASMUS+")</f>
        <v>SELECCION DE CENTROS EDUCATIVOS PARA CONSTITUIR CONSORCIOS ERASMUS+</v>
      </c>
      <c r="J1594" s="3" t="s">
        <v>41</v>
      </c>
      <c r="K1594" s="3" t="s">
        <v>41</v>
      </c>
      <c r="L1594" s="3" t="s">
        <v>42</v>
      </c>
      <c r="M1594" s="3" t="s">
        <v>41</v>
      </c>
    </row>
    <row r="1595" spans="1:13" ht="114.95">
      <c r="A1595" s="22" t="s">
        <v>14</v>
      </c>
      <c r="B1595" s="3" t="s">
        <v>5049</v>
      </c>
      <c r="C1595" s="3" t="s">
        <v>5050</v>
      </c>
      <c r="D1595" s="3" t="s">
        <v>374</v>
      </c>
      <c r="E1595" s="3" t="s">
        <v>37</v>
      </c>
      <c r="F1595" s="3" t="s">
        <v>4582</v>
      </c>
      <c r="G1595" s="3" t="s">
        <v>4583</v>
      </c>
      <c r="H1595" s="3" t="s">
        <v>5051</v>
      </c>
      <c r="I1595" s="3" t="str">
        <f>HYPERLINK("http://www.jccm.es/sede/tramite/KP4","OBTENCION DE CARNES DE JUVENTUD")</f>
        <v>OBTENCION DE CARNES DE JUVENTUD</v>
      </c>
      <c r="J1595" s="3" t="s">
        <v>42</v>
      </c>
      <c r="K1595" s="3" t="s">
        <v>41</v>
      </c>
      <c r="L1595" s="3" t="s">
        <v>42</v>
      </c>
      <c r="M1595" s="3" t="s">
        <v>41</v>
      </c>
    </row>
    <row r="1596" spans="1:13" ht="207">
      <c r="A1596" s="22" t="s">
        <v>14</v>
      </c>
      <c r="B1596" s="3" t="s">
        <v>5052</v>
      </c>
      <c r="C1596" s="3" t="s">
        <v>5053</v>
      </c>
      <c r="D1596" s="3" t="s">
        <v>70</v>
      </c>
      <c r="E1596" s="3" t="s">
        <v>46</v>
      </c>
      <c r="F1596" s="3" t="s">
        <v>4582</v>
      </c>
      <c r="G1596" s="3" t="s">
        <v>4591</v>
      </c>
      <c r="H1596" s="3" t="s">
        <v>5054</v>
      </c>
      <c r="I1596" s="3" t="str">
        <f>HYPERLINK("http://www.jccm.es/sede/tramite/KTZ","ADMISION DE ALUMNADO EN PROGRAMAS ESPECIFICOS DE FORMACION PROFESIONAL EN CENTROS PUBLICOS DE EDUCACION SECUNDARIA DE CASTILLA LA MANCHA")</f>
        <v>ADMISION DE ALUMNADO EN PROGRAMAS ESPECIFICOS DE FORMACION PROFESIONAL EN CENTROS PUBLICOS DE EDUCACION SECUNDARIA DE CASTILLA LA MANCHA</v>
      </c>
      <c r="J1596" s="3" t="s">
        <v>42</v>
      </c>
      <c r="K1596" s="3" t="s">
        <v>41</v>
      </c>
      <c r="L1596" s="3" t="s">
        <v>42</v>
      </c>
      <c r="M1596" s="3" t="s">
        <v>41</v>
      </c>
    </row>
    <row r="1597" spans="1:13" ht="321.95">
      <c r="A1597" s="22" t="s">
        <v>14</v>
      </c>
      <c r="B1597" s="3" t="s">
        <v>5055</v>
      </c>
      <c r="C1597" s="3" t="s">
        <v>5056</v>
      </c>
      <c r="D1597" s="3" t="s">
        <v>45</v>
      </c>
      <c r="E1597" s="3" t="s">
        <v>37</v>
      </c>
      <c r="F1597" s="3" t="s">
        <v>4582</v>
      </c>
      <c r="G1597" s="3" t="s">
        <v>4614</v>
      </c>
      <c r="H1597" s="3" t="s">
        <v>5057</v>
      </c>
      <c r="I1597" s="3" t="str">
        <f>HYPERLINK("http://www.jccm.es/sede/tramite/KWV","PROCEDIMIENTO PARA EL ALUMNADO DE BACHILLERATO DE ARTES CON MATERIAS PENDIENTES QUE HAN  AGOTADO LA PERMANENCIA EN EL REGIMEN ORDINARIO.")</f>
        <v>PROCEDIMIENTO PARA EL ALUMNADO DE BACHILLERATO DE ARTES CON MATERIAS PENDIENTES QUE HAN  AGOTADO LA PERMANENCIA EN EL REGIMEN ORDINARIO.</v>
      </c>
      <c r="J1597" s="3" t="s">
        <v>42</v>
      </c>
      <c r="K1597" s="3" t="s">
        <v>41</v>
      </c>
      <c r="L1597" s="3" t="s">
        <v>42</v>
      </c>
      <c r="M1597" s="3" t="s">
        <v>41</v>
      </c>
    </row>
    <row r="1598" spans="1:13" ht="149.44999999999999">
      <c r="A1598" s="22" t="s">
        <v>14</v>
      </c>
      <c r="B1598" s="3" t="s">
        <v>5058</v>
      </c>
      <c r="C1598" s="3" t="s">
        <v>5059</v>
      </c>
      <c r="D1598" s="3" t="s">
        <v>51</v>
      </c>
      <c r="E1598" s="3" t="s">
        <v>46</v>
      </c>
      <c r="F1598" s="3" t="s">
        <v>4582</v>
      </c>
      <c r="G1598" s="3" t="s">
        <v>4603</v>
      </c>
      <c r="H1598" s="3" t="s">
        <v>5060</v>
      </c>
      <c r="I1598" s="3" t="str">
        <f>HYPERLINK("http://www.jccm.es/sede/tramite/L1T","PROCEDIMIENTO PARA LA SELECCION DE CENTROS ESCOLARES EN EL PROGRAMA ESCOLAR DE CONSUMO DE FRUTAS, HORTALIZAS Y LECHE")</f>
        <v>PROCEDIMIENTO PARA LA SELECCION DE CENTROS ESCOLARES EN EL PROGRAMA ESCOLAR DE CONSUMO DE FRUTAS, HORTALIZAS Y LECHE</v>
      </c>
      <c r="J1598" s="3" t="s">
        <v>41</v>
      </c>
      <c r="K1598" s="3" t="s">
        <v>41</v>
      </c>
      <c r="L1598" s="3" t="s">
        <v>42</v>
      </c>
      <c r="M1598" s="3" t="s">
        <v>41</v>
      </c>
    </row>
    <row r="1599" spans="1:13" ht="218.45">
      <c r="A1599" s="22" t="s">
        <v>14</v>
      </c>
      <c r="B1599" s="3" t="s">
        <v>5061</v>
      </c>
      <c r="C1599" s="3" t="s">
        <v>5062</v>
      </c>
      <c r="D1599" s="3" t="s">
        <v>5063</v>
      </c>
      <c r="E1599" s="3" t="s">
        <v>46</v>
      </c>
      <c r="F1599" s="3" t="s">
        <v>4582</v>
      </c>
      <c r="G1599" s="3" t="s">
        <v>4591</v>
      </c>
      <c r="H1599" s="3" t="s">
        <v>5064</v>
      </c>
      <c r="I1599" s="3" t="str">
        <f>HYPERLINK("http://www.jccm.es/sede/tramite/L4G","RECONOCIMIENTO DE CREDITOS DE INNOVACION Y/O FORMACION AL PERSONAL DOCENTE PARTICIPANTE EN PROYECTOS ERASMUS+ DE LA COMUNIDAD AUTONOMA DE CASTILLA - LA MANCHA")</f>
        <v>RECONOCIMIENTO DE CREDITOS DE INNOVACION Y/O FORMACION AL PERSONAL DOCENTE PARTICIPANTE EN PROYECTOS ERASMUS+ DE LA COMUNIDAD AUTONOMA DE CASTILLA - LA MANCHA</v>
      </c>
      <c r="J1599" s="3" t="s">
        <v>41</v>
      </c>
      <c r="K1599" s="3" t="s">
        <v>41</v>
      </c>
      <c r="L1599" s="3" t="s">
        <v>42</v>
      </c>
      <c r="M1599" s="3" t="s">
        <v>41</v>
      </c>
    </row>
    <row r="1600" spans="1:13" ht="230.1">
      <c r="A1600" s="22" t="s">
        <v>14</v>
      </c>
      <c r="B1600" s="3" t="s">
        <v>5065</v>
      </c>
      <c r="C1600" s="3" t="s">
        <v>5066</v>
      </c>
      <c r="D1600" s="3" t="s">
        <v>45</v>
      </c>
      <c r="E1600" s="3" t="s">
        <v>46</v>
      </c>
      <c r="F1600" s="3" t="s">
        <v>4582</v>
      </c>
      <c r="G1600" s="3" t="s">
        <v>4582</v>
      </c>
      <c r="H1600" s="3" t="s">
        <v>5067</v>
      </c>
      <c r="I1600" s="3" t="str">
        <f>HYPERLINK("http://www.jccm.es/sede/tramite/L4J","PROGRAMAS PREPARA-T, ILUSIONA-T Y TITULA-S INTEGRADOS EN EL V PLAN DE EXITO EDUCATIVO Y PREVENCION DEL ABANDONO ESCOLAR TEMPRANO EN CENTROS PUBLICOS DE CASTILLA-LA MANCHA")</f>
        <v>PROGRAMAS PREPARA-T, ILUSIONA-T Y TITULA-S INTEGRADOS EN EL V PLAN DE EXITO EDUCATIVO Y PREVENCION DEL ABANDONO ESCOLAR TEMPRANO EN CENTROS PUBLICOS DE CASTILLA-LA MANCHA</v>
      </c>
      <c r="J1600" s="3" t="s">
        <v>41</v>
      </c>
      <c r="K1600" s="3" t="s">
        <v>41</v>
      </c>
      <c r="L1600" s="3" t="s">
        <v>42</v>
      </c>
      <c r="M1600" s="3" t="s">
        <v>41</v>
      </c>
    </row>
    <row r="1601" spans="1:13" ht="69">
      <c r="A1601" s="22" t="s">
        <v>14</v>
      </c>
      <c r="B1601" s="3" t="s">
        <v>5068</v>
      </c>
      <c r="C1601" s="3" t="s">
        <v>5069</v>
      </c>
      <c r="D1601" s="3" t="s">
        <v>95</v>
      </c>
      <c r="E1601" s="3" t="s">
        <v>46</v>
      </c>
      <c r="F1601" s="3" t="s">
        <v>4582</v>
      </c>
      <c r="G1601" s="3" t="s">
        <v>4582</v>
      </c>
      <c r="H1601" s="3" t="s">
        <v>5070</v>
      </c>
      <c r="I1601" s="3" t="str">
        <f>HYPERLINK("http://www.jccm.es/sede/tramite/LAA","BECAS Y AYUDAS A ALUMNOS DE NIVELES POSTOBLIGATORIOS")</f>
        <v>BECAS Y AYUDAS A ALUMNOS DE NIVELES POSTOBLIGATORIOS</v>
      </c>
      <c r="J1601" s="3" t="s">
        <v>42</v>
      </c>
      <c r="K1601" s="3" t="s">
        <v>41</v>
      </c>
      <c r="L1601" s="3" t="s">
        <v>42</v>
      </c>
      <c r="M1601" s="3" t="s">
        <v>41</v>
      </c>
    </row>
    <row r="1602" spans="1:13" ht="276">
      <c r="A1602" s="22" t="s">
        <v>14</v>
      </c>
      <c r="B1602" s="3" t="s">
        <v>5071</v>
      </c>
      <c r="C1602" s="3" t="s">
        <v>5072</v>
      </c>
      <c r="D1602" s="3" t="s">
        <v>70</v>
      </c>
      <c r="E1602" s="3" t="s">
        <v>46</v>
      </c>
      <c r="F1602" s="3" t="s">
        <v>4582</v>
      </c>
      <c r="G1602" s="3" t="s">
        <v>4587</v>
      </c>
      <c r="H1602" s="3" t="s">
        <v>5073</v>
      </c>
      <c r="I1602" s="3" t="str">
        <f>HYPERLINK("http://www.jccm.es/sede/tramite/LCB","PRUEBAS ESPECIFICAS DE CERTIFICACION NIVEL INTERMEDIO B1 EN IDIOMAS EN CENTROS EDUCATIVOS SOSTENIDOS CON FONDOS PUBLICOS EN EL MARCO DE UN PROYECTO BILINGUE -ALUMNADO 4º ESO Y 2º CCFF GRADO MEDIO.")</f>
        <v>PRUEBAS ESPECIFICAS DE CERTIFICACION NIVEL INTERMEDIO B1 EN IDIOMAS EN CENTROS EDUCATIVOS SOSTENIDOS CON FONDOS PUBLICOS EN EL MARCO DE UN PROYECTO BILINGUE -ALUMNADO 4º ESO Y 2º CCFF GRADO MEDIO.</v>
      </c>
      <c r="J1602" s="3" t="s">
        <v>42</v>
      </c>
      <c r="K1602" s="3" t="s">
        <v>41</v>
      </c>
      <c r="L1602" s="3" t="s">
        <v>42</v>
      </c>
      <c r="M1602" s="3" t="s">
        <v>41</v>
      </c>
    </row>
    <row r="1603" spans="1:13" ht="149.44999999999999">
      <c r="A1603" s="22" t="s">
        <v>14</v>
      </c>
      <c r="B1603" s="3" t="s">
        <v>5074</v>
      </c>
      <c r="C1603" s="3" t="s">
        <v>5075</v>
      </c>
      <c r="D1603" s="3" t="s">
        <v>95</v>
      </c>
      <c r="E1603" s="3" t="s">
        <v>95</v>
      </c>
      <c r="F1603" s="3" t="s">
        <v>4582</v>
      </c>
      <c r="G1603" s="3" t="s">
        <v>4591</v>
      </c>
      <c r="H1603" s="3" t="s">
        <v>5076</v>
      </c>
      <c r="I1603" s="3" t="str">
        <f>HYPERLINK("http://www.jccm.es/sede/tramite/LE5","APORTACION DE LA MEMORIA ANUAL DE LOS CENTROS EDUCATIVOS SOSTENIDOS CON FONDOS PUBLICOS DE CASTILLA - LA MANCHA")</f>
        <v>APORTACION DE LA MEMORIA ANUAL DE LOS CENTROS EDUCATIVOS SOSTENIDOS CON FONDOS PUBLICOS DE CASTILLA - LA MANCHA</v>
      </c>
      <c r="J1603" s="3" t="s">
        <v>41</v>
      </c>
      <c r="K1603" s="3" t="s">
        <v>41</v>
      </c>
      <c r="L1603" s="3" t="s">
        <v>42</v>
      </c>
      <c r="M1603" s="3" t="s">
        <v>41</v>
      </c>
    </row>
    <row r="1604" spans="1:13" ht="183.95">
      <c r="A1604" s="22" t="s">
        <v>14</v>
      </c>
      <c r="B1604" s="3" t="s">
        <v>5077</v>
      </c>
      <c r="C1604" s="3" t="s">
        <v>5078</v>
      </c>
      <c r="D1604" s="3" t="s">
        <v>45</v>
      </c>
      <c r="E1604" s="3" t="s">
        <v>46</v>
      </c>
      <c r="F1604" s="3" t="s">
        <v>4582</v>
      </c>
      <c r="G1604" s="3" t="s">
        <v>4614</v>
      </c>
      <c r="H1604" s="3" t="s">
        <v>5079</v>
      </c>
      <c r="I1604" s="3" t="str">
        <f>HYPERLINK("http://www.jccm.es/sede/tramite/LH4","ADMISION DE ALUMNADO EN CURSOS DE ESPECIALIZACION EN FORMACION PROFESIONAL EN CENTROS DOCENTES DE CASTILLA-LA MANCHA DE TITULARIDAD PUBLICA.")</f>
        <v>ADMISION DE ALUMNADO EN CURSOS DE ESPECIALIZACION EN FORMACION PROFESIONAL EN CENTROS DOCENTES DE CASTILLA-LA MANCHA DE TITULARIDAD PUBLICA.</v>
      </c>
      <c r="J1604" s="3" t="s">
        <v>41</v>
      </c>
      <c r="K1604" s="3" t="s">
        <v>41</v>
      </c>
      <c r="L1604" s="3" t="s">
        <v>42</v>
      </c>
      <c r="M1604" s="3" t="s">
        <v>41</v>
      </c>
    </row>
    <row r="1605" spans="1:13" ht="276">
      <c r="A1605" s="22" t="s">
        <v>14</v>
      </c>
      <c r="B1605" s="3" t="s">
        <v>5080</v>
      </c>
      <c r="C1605" s="3" t="s">
        <v>5081</v>
      </c>
      <c r="D1605" s="3" t="s">
        <v>70</v>
      </c>
      <c r="E1605" s="3" t="s">
        <v>46</v>
      </c>
      <c r="F1605" s="3" t="s">
        <v>4582</v>
      </c>
      <c r="G1605" s="3" t="s">
        <v>4614</v>
      </c>
      <c r="H1605" s="3" t="s">
        <v>5082</v>
      </c>
      <c r="I1605" s="3" t="str">
        <f>HYPERLINK("http://www.jccm.es/sede/tramite/LMJ","ADMISION ALUMNADO EN CENTROS DOCENTES DE EDUCACION PARA PERSONAS ADULTAS QUE IMPARTEN CICLOS FORMATIVOS DE GRADO BASICO DE TRES CURSOS ACADEMICOS Y FORMACION PROFESIONAL BASICA")</f>
        <v>ADMISION ALUMNADO EN CENTROS DOCENTES DE EDUCACION PARA PERSONAS ADULTAS QUE IMPARTEN CICLOS FORMATIVOS DE GRADO BASICO DE TRES CURSOS ACADEMICOS Y FORMACION PROFESIONAL BASICA</v>
      </c>
      <c r="J1605" s="3" t="s">
        <v>42</v>
      </c>
      <c r="K1605" s="3" t="s">
        <v>41</v>
      </c>
      <c r="L1605" s="3" t="s">
        <v>42</v>
      </c>
      <c r="M1605" s="3" t="s">
        <v>41</v>
      </c>
    </row>
    <row r="1606" spans="1:13" ht="333.6">
      <c r="A1606" s="22" t="s">
        <v>14</v>
      </c>
      <c r="B1606" s="3" t="s">
        <v>5083</v>
      </c>
      <c r="C1606" s="3" t="s">
        <v>5084</v>
      </c>
      <c r="D1606" s="3" t="s">
        <v>95</v>
      </c>
      <c r="E1606" s="3" t="s">
        <v>95</v>
      </c>
      <c r="F1606" s="3" t="s">
        <v>4582</v>
      </c>
      <c r="G1606" s="3" t="s">
        <v>4587</v>
      </c>
      <c r="H1606" s="3" t="s">
        <v>5085</v>
      </c>
      <c r="I1606" s="3" t="str">
        <f>HYPERLINK("http://www.jccm.es/sede/tramite/LP7","PROGRAMA DE COOPERACION TERRITORIAL PARA LA ORIENTACION, EL AVANCE Y EL ENRIQUECIMIENTO EDUCATIVO EN CENTROS DE ESPECIAL COMPLEJIDAD EDUCATIVA, PROGRAMA PROA+")</f>
        <v>PROGRAMA DE COOPERACION TERRITORIAL PARA LA ORIENTACION, EL AVANCE Y EL ENRIQUECIMIENTO EDUCATIVO EN CENTROS DE ESPECIAL COMPLEJIDAD EDUCATIVA, PROGRAMA PROA+</v>
      </c>
      <c r="J1606" s="3" t="s">
        <v>41</v>
      </c>
      <c r="K1606" s="3" t="s">
        <v>41</v>
      </c>
      <c r="L1606" s="3" t="s">
        <v>41</v>
      </c>
      <c r="M1606" s="3" t="s">
        <v>41</v>
      </c>
    </row>
    <row r="1607" spans="1:13" ht="92.1">
      <c r="A1607" s="22" t="s">
        <v>14</v>
      </c>
      <c r="B1607" s="3" t="s">
        <v>5086</v>
      </c>
      <c r="C1607" s="3" t="s">
        <v>5087</v>
      </c>
      <c r="D1607" s="3" t="s">
        <v>51</v>
      </c>
      <c r="E1607" s="3" t="s">
        <v>46</v>
      </c>
      <c r="F1607" s="3" t="s">
        <v>4582</v>
      </c>
      <c r="G1607" s="3" t="s">
        <v>4591</v>
      </c>
      <c r="H1607" s="3" t="s">
        <v>5088</v>
      </c>
      <c r="I1607" s="3" t="str">
        <f>HYPERLINK("http://www.jccm.es/sede/tramite/LPO","SOLICITUD DE PARTICIPACION EN EL PROYECTO DE FORMACION E INNOVACION  AULA DEL FUTURO ")</f>
        <v xml:space="preserve">SOLICITUD DE PARTICIPACION EN EL PROYECTO DE FORMACION E INNOVACION  AULA DEL FUTURO </v>
      </c>
      <c r="J1607" s="3" t="s">
        <v>41</v>
      </c>
      <c r="K1607" s="3" t="s">
        <v>41</v>
      </c>
      <c r="L1607" s="3" t="s">
        <v>42</v>
      </c>
      <c r="M1607" s="3" t="s">
        <v>41</v>
      </c>
    </row>
    <row r="1608" spans="1:13" ht="321.95">
      <c r="A1608" s="22" t="s">
        <v>14</v>
      </c>
      <c r="B1608" s="3" t="s">
        <v>5089</v>
      </c>
      <c r="C1608" s="3" t="s">
        <v>5090</v>
      </c>
      <c r="D1608" s="3" t="s">
        <v>70</v>
      </c>
      <c r="E1608" s="3" t="s">
        <v>46</v>
      </c>
      <c r="F1608" s="3" t="s">
        <v>4582</v>
      </c>
      <c r="G1608" s="3" t="s">
        <v>4614</v>
      </c>
      <c r="H1608" s="3" t="s">
        <v>5091</v>
      </c>
      <c r="I1608" s="3" t="str">
        <f>HYPERLINK("http://www.jccm.es/sede/tramite/LQN","CONSTITUCION Y ACTUACION DE LAS COMISIONES DE ELABORACION DE LAS PRUEBAS LIBRES PARA LA OBTENCION DEL TITULO DE BACHILLER Y DE LAS PRUEBAS LIBRES PARA LA OBTENCION DEL TITULO DE GRADUADO EN ESO")</f>
        <v>CONSTITUCION Y ACTUACION DE LAS COMISIONES DE ELABORACION DE LAS PRUEBAS LIBRES PARA LA OBTENCION DEL TITULO DE BACHILLER Y DE LAS PRUEBAS LIBRES PARA LA OBTENCION DEL TITULO DE GRADUADO EN ESO</v>
      </c>
      <c r="J1608" s="3" t="s">
        <v>41</v>
      </c>
      <c r="K1608" s="3" t="s">
        <v>41</v>
      </c>
      <c r="L1608" s="3" t="s">
        <v>42</v>
      </c>
      <c r="M1608" s="3" t="s">
        <v>41</v>
      </c>
    </row>
    <row r="1609" spans="1:13" ht="207">
      <c r="A1609" s="22" t="s">
        <v>14</v>
      </c>
      <c r="B1609" s="3" t="s">
        <v>5092</v>
      </c>
      <c r="C1609" s="3" t="s">
        <v>5093</v>
      </c>
      <c r="D1609" s="3" t="s">
        <v>5094</v>
      </c>
      <c r="E1609" s="3" t="s">
        <v>46</v>
      </c>
      <c r="F1609" s="3" t="s">
        <v>4582</v>
      </c>
      <c r="G1609" s="3" t="s">
        <v>4582</v>
      </c>
      <c r="H1609" s="3" t="s">
        <v>5095</v>
      </c>
      <c r="I1609" s="3" t="str">
        <f>HYPERLINK("http://www.jccm.es/sede/tramite/LTM","DECLARACION RESPONSABLE DE ACEPTACION DE IMPLANTACION DE UN AULA DE TECNOLOGIA APLICADA Y COMPROMISO DE LA REALIZACION DE PROYECTOS EDUCATIVOS RELACIONADOS CON EL USO DE LAS NUEVAS TECNOLOGIAS.")</f>
        <v>DECLARACION RESPONSABLE DE ACEPTACION DE IMPLANTACION DE UN AULA DE TECNOLOGIA APLICADA Y COMPROMISO DE LA REALIZACION DE PROYECTOS EDUCATIVOS RELACIONADOS CON EL USO DE LAS NUEVAS TECNOLOGIAS.</v>
      </c>
      <c r="J1609" s="3" t="s">
        <v>41</v>
      </c>
      <c r="K1609" s="3" t="s">
        <v>41</v>
      </c>
      <c r="L1609" s="3" t="s">
        <v>42</v>
      </c>
      <c r="M1609" s="3" t="s">
        <v>41</v>
      </c>
    </row>
    <row r="1610" spans="1:13" ht="230.1">
      <c r="A1610" s="22" t="s">
        <v>14</v>
      </c>
      <c r="B1610" s="3" t="s">
        <v>5096</v>
      </c>
      <c r="C1610" s="3" t="s">
        <v>5097</v>
      </c>
      <c r="D1610" s="3" t="s">
        <v>5098</v>
      </c>
      <c r="E1610" s="3" t="s">
        <v>46</v>
      </c>
      <c r="F1610" s="3" t="s">
        <v>4582</v>
      </c>
      <c r="G1610" s="3" t="s">
        <v>4582</v>
      </c>
      <c r="H1610" s="3" t="s">
        <v>5099</v>
      </c>
      <c r="I1610" s="3" t="str">
        <f>HYPERLINK("http://www.jccm.es/sede/tramite/LTN","DECLARACION RESPONSABLE DE ACEPTACION DE IMPLANTACION DE UN AULA PROFESIONAL DE EMPRENDIMIENTO Y COMPROMISO DE LA REALIZACION DE PROYECTOS EDUCATIVOS RELACIONADOS CON EL EMPRENDIMIENTO.")</f>
        <v>DECLARACION RESPONSABLE DE ACEPTACION DE IMPLANTACION DE UN AULA PROFESIONAL DE EMPRENDIMIENTO Y COMPROMISO DE LA REALIZACION DE PROYECTOS EDUCATIVOS RELACIONADOS CON EL EMPRENDIMIENTO.</v>
      </c>
      <c r="J1610" s="3" t="s">
        <v>42</v>
      </c>
      <c r="K1610" s="3" t="s">
        <v>41</v>
      </c>
      <c r="L1610" s="3" t="s">
        <v>42</v>
      </c>
      <c r="M1610" s="3" t="s">
        <v>41</v>
      </c>
    </row>
    <row r="1611" spans="1:13" ht="103.5">
      <c r="A1611" s="22" t="s">
        <v>14</v>
      </c>
      <c r="B1611" s="3" t="s">
        <v>5100</v>
      </c>
      <c r="C1611" s="3" t="s">
        <v>5101</v>
      </c>
      <c r="D1611" s="3" t="s">
        <v>459</v>
      </c>
      <c r="E1611" s="3" t="s">
        <v>46</v>
      </c>
      <c r="F1611" s="3" t="s">
        <v>4582</v>
      </c>
      <c r="G1611" s="3" t="s">
        <v>4582</v>
      </c>
      <c r="H1611" s="3" t="s">
        <v>5102</v>
      </c>
      <c r="I1611" s="3" t="str">
        <f>HYPERLINK("http://www.jccm.es/sede/tramite/LVH","ADMISION DE ALUMNADO PARA CURSAR ENSEÑANZAS SUPERIORES DE ARTE DRAMATICO.")</f>
        <v>ADMISION DE ALUMNADO PARA CURSAR ENSEÑANZAS SUPERIORES DE ARTE DRAMATICO.</v>
      </c>
      <c r="J1611" s="3" t="s">
        <v>42</v>
      </c>
      <c r="K1611" s="3" t="s">
        <v>41</v>
      </c>
      <c r="L1611" s="3" t="s">
        <v>42</v>
      </c>
      <c r="M1611" s="3" t="s">
        <v>41</v>
      </c>
    </row>
    <row r="1612" spans="1:13" ht="103.5">
      <c r="A1612" s="22" t="s">
        <v>14</v>
      </c>
      <c r="B1612" s="3" t="s">
        <v>5103</v>
      </c>
      <c r="C1612" s="3" t="s">
        <v>5104</v>
      </c>
      <c r="D1612" s="3" t="s">
        <v>327</v>
      </c>
      <c r="E1612" s="3" t="s">
        <v>37</v>
      </c>
      <c r="F1612" s="3" t="s">
        <v>4582</v>
      </c>
      <c r="G1612" s="3" t="s">
        <v>4610</v>
      </c>
      <c r="H1612" s="3" t="s">
        <v>5105</v>
      </c>
      <c r="I1612" s="3" t="str">
        <f>HYPERLINK("http://www.jccm.es/sede/tramite/LXP","RECONOCIMIENTO OFICIAL COMO CENTRO REGIONAL DE CULTURA DE CASTILLA-LA MANCHA")</f>
        <v>RECONOCIMIENTO OFICIAL COMO CENTRO REGIONAL DE CULTURA DE CASTILLA-LA MANCHA</v>
      </c>
      <c r="J1612" s="3" t="s">
        <v>41</v>
      </c>
      <c r="K1612" s="3" t="s">
        <v>41</v>
      </c>
      <c r="L1612" s="3" t="s">
        <v>42</v>
      </c>
      <c r="M1612" s="3" t="s">
        <v>41</v>
      </c>
    </row>
    <row r="1613" spans="1:13" ht="149.44999999999999">
      <c r="A1613" s="22" t="s">
        <v>14</v>
      </c>
      <c r="B1613" s="3" t="s">
        <v>5106</v>
      </c>
      <c r="C1613" s="3" t="s">
        <v>5107</v>
      </c>
      <c r="D1613" s="3" t="s">
        <v>51</v>
      </c>
      <c r="E1613" s="3" t="s">
        <v>46</v>
      </c>
      <c r="F1613" s="3" t="s">
        <v>4582</v>
      </c>
      <c r="G1613" s="3" t="s">
        <v>4614</v>
      </c>
      <c r="H1613" s="3" t="s">
        <v>5108</v>
      </c>
      <c r="I1613" s="3" t="str">
        <f>HYPERLINK("http://www.jccm.es/sede/tramite/KU3","ADMISION EN LA MODALIDAD OFERTA MODULAR PRESENCIAL EN CCFF DE FORMACION PROFESIONAL Y CURSOS DE ESPECIALIZACION.")</f>
        <v>ADMISION EN LA MODALIDAD OFERTA MODULAR PRESENCIAL EN CCFF DE FORMACION PROFESIONAL Y CURSOS DE ESPECIALIZACION.</v>
      </c>
      <c r="J1613" s="3" t="s">
        <v>42</v>
      </c>
      <c r="K1613" s="3" t="s">
        <v>41</v>
      </c>
      <c r="L1613" s="3" t="s">
        <v>42</v>
      </c>
      <c r="M1613" s="3" t="s">
        <v>41</v>
      </c>
    </row>
    <row r="1614" spans="1:13" ht="126.6">
      <c r="A1614" s="22" t="s">
        <v>14</v>
      </c>
      <c r="B1614" s="3" t="s">
        <v>5109</v>
      </c>
      <c r="C1614" s="3" t="s">
        <v>5110</v>
      </c>
      <c r="D1614" s="3" t="s">
        <v>70</v>
      </c>
      <c r="E1614" s="3" t="s">
        <v>46</v>
      </c>
      <c r="F1614" s="3" t="s">
        <v>4582</v>
      </c>
      <c r="G1614" s="3" t="s">
        <v>4614</v>
      </c>
      <c r="H1614" s="3" t="s">
        <v>5111</v>
      </c>
      <c r="I1614" s="3" t="str">
        <f>HYPERLINK("http://www.jccm.es/sede/tramite/K14","PROCESO DE ADMISION DE ALUMNADO PARA CURSAR ENSEÑANZAS ARTISTICAS SUPERIORES DE DISEÑO.")</f>
        <v>PROCESO DE ADMISION DE ALUMNADO PARA CURSAR ENSEÑANZAS ARTISTICAS SUPERIORES DE DISEÑO.</v>
      </c>
      <c r="J1614" s="3" t="s">
        <v>42</v>
      </c>
      <c r="K1614" s="3" t="s">
        <v>41</v>
      </c>
      <c r="L1614" s="3" t="s">
        <v>42</v>
      </c>
      <c r="M1614" s="3" t="s">
        <v>41</v>
      </c>
    </row>
    <row r="1615" spans="1:13" ht="114.95">
      <c r="A1615" s="22" t="s">
        <v>14</v>
      </c>
      <c r="B1615" s="3" t="s">
        <v>5112</v>
      </c>
      <c r="C1615" s="3" t="s">
        <v>5113</v>
      </c>
      <c r="D1615" s="3" t="s">
        <v>70</v>
      </c>
      <c r="E1615" s="3" t="s">
        <v>46</v>
      </c>
      <c r="F1615" s="3" t="s">
        <v>4582</v>
      </c>
      <c r="G1615" s="3" t="s">
        <v>4614</v>
      </c>
      <c r="H1615" s="3" t="s">
        <v>5114</v>
      </c>
      <c r="I1615" s="3" t="str">
        <f>HYPERLINK("http://www.jccm.es/sede/tramite/K13","PROCESO DE ADMISION A LOS ESTUDIOS DE CICLOS FORMATIVOS DE ARTES PLASTICAS Y DISEÑO.")</f>
        <v>PROCESO DE ADMISION A LOS ESTUDIOS DE CICLOS FORMATIVOS DE ARTES PLASTICAS Y DISEÑO.</v>
      </c>
      <c r="J1615" s="3" t="s">
        <v>42</v>
      </c>
      <c r="K1615" s="3" t="s">
        <v>41</v>
      </c>
      <c r="L1615" s="3" t="s">
        <v>42</v>
      </c>
      <c r="M1615" s="3" t="s">
        <v>41</v>
      </c>
    </row>
    <row r="1616" spans="1:13" ht="172.5">
      <c r="A1616" s="22" t="s">
        <v>14</v>
      </c>
      <c r="B1616" s="3" t="s">
        <v>5115</v>
      </c>
      <c r="C1616" s="3" t="s">
        <v>5116</v>
      </c>
      <c r="D1616" s="3" t="s">
        <v>70</v>
      </c>
      <c r="E1616" s="3" t="s">
        <v>46</v>
      </c>
      <c r="F1616" s="3" t="s">
        <v>4582</v>
      </c>
      <c r="G1616" s="3" t="s">
        <v>4587</v>
      </c>
      <c r="H1616" s="3" t="s">
        <v>5117</v>
      </c>
      <c r="I1616" s="3" t="str">
        <f>HYPERLINK("http://www.jccm.es/sede/tramite/K12","ADMISION DE ALUMNADO PARA LAS ENSEÑANZAS DE IDIOMAS EN ESCUELAS OFICIALES DE IDIOMAS Y CENTROS DE EDUCACION DE PERSONAS ADULTAS.")</f>
        <v>ADMISION DE ALUMNADO PARA LAS ENSEÑANZAS DE IDIOMAS EN ESCUELAS OFICIALES DE IDIOMAS Y CENTROS DE EDUCACION DE PERSONAS ADULTAS.</v>
      </c>
      <c r="J1616" s="3" t="s">
        <v>41</v>
      </c>
      <c r="K1616" s="3" t="s">
        <v>41</v>
      </c>
      <c r="L1616" s="3" t="s">
        <v>42</v>
      </c>
      <c r="M1616" s="3" t="s">
        <v>41</v>
      </c>
    </row>
    <row r="1617" spans="1:13" ht="114.95">
      <c r="A1617" s="22" t="s">
        <v>14</v>
      </c>
      <c r="B1617" s="3" t="s">
        <v>5118</v>
      </c>
      <c r="C1617" s="3" t="s">
        <v>5119</v>
      </c>
      <c r="D1617" s="3" t="s">
        <v>70</v>
      </c>
      <c r="E1617" s="3" t="s">
        <v>46</v>
      </c>
      <c r="F1617" s="3" t="s">
        <v>4582</v>
      </c>
      <c r="G1617" s="3" t="s">
        <v>4614</v>
      </c>
      <c r="H1617" s="3" t="s">
        <v>5120</v>
      </c>
      <c r="I1617" s="3" t="str">
        <f>HYPERLINK("http://www.jccm.es/sede/tramite/IQ8","ADMISION A LOS ESTUDIOS ELEMENTALES Y PROFESIONALES DE MUSICA Y DANZA")</f>
        <v>ADMISION A LOS ESTUDIOS ELEMENTALES Y PROFESIONALES DE MUSICA Y DANZA</v>
      </c>
      <c r="J1617" s="3" t="s">
        <v>42</v>
      </c>
      <c r="K1617" s="3" t="s">
        <v>41</v>
      </c>
      <c r="L1617" s="3" t="s">
        <v>42</v>
      </c>
      <c r="M1617" s="3" t="s">
        <v>41</v>
      </c>
    </row>
    <row r="1618" spans="1:13" ht="207">
      <c r="A1618" s="22" t="s">
        <v>14</v>
      </c>
      <c r="B1618" s="3" t="s">
        <v>5121</v>
      </c>
      <c r="C1618" s="3" t="s">
        <v>5122</v>
      </c>
      <c r="D1618" s="3" t="s">
        <v>45</v>
      </c>
      <c r="E1618" s="3" t="s">
        <v>46</v>
      </c>
      <c r="F1618" s="3" t="s">
        <v>4582</v>
      </c>
      <c r="G1618" s="3" t="s">
        <v>4591</v>
      </c>
      <c r="H1618" s="3" t="s">
        <v>5123</v>
      </c>
      <c r="I1618" s="3" t="str">
        <f>HYPERLINK("http://www.jccm.es/sede/tramite/LEF","SOLICITUD EQUIVALENCIA DE ESTUDIOS CON LOS TITULOS OFICIALES")</f>
        <v>SOLICITUD EQUIVALENCIA DE ESTUDIOS CON LOS TITULOS OFICIALES</v>
      </c>
      <c r="J1618" s="3" t="s">
        <v>42</v>
      </c>
      <c r="K1618" s="3" t="s">
        <v>41</v>
      </c>
      <c r="L1618" s="3" t="s">
        <v>42</v>
      </c>
      <c r="M1618" s="3" t="s">
        <v>41</v>
      </c>
    </row>
    <row r="1619" spans="1:13" ht="333.6">
      <c r="A1619" s="22" t="s">
        <v>14</v>
      </c>
      <c r="B1619" s="3" t="s">
        <v>5124</v>
      </c>
      <c r="C1619" s="3" t="s">
        <v>5125</v>
      </c>
      <c r="D1619" s="3" t="s">
        <v>327</v>
      </c>
      <c r="E1619" s="3" t="s">
        <v>46</v>
      </c>
      <c r="F1619" s="3" t="s">
        <v>4582</v>
      </c>
      <c r="G1619" s="3" t="s">
        <v>4668</v>
      </c>
      <c r="H1619" s="3" t="s">
        <v>5126</v>
      </c>
      <c r="I1619" s="3" t="str">
        <f>HYPERLINK("http://www.jccm.es/sede/tramite/INN","CONCURSO-OPOSICION PARA EL INGRESO EN EL CUERPO DE MAESTROS,  ADQUISICION DE NUEVAS ESPECIALIDADES Y SELECCION DE INTERINOS.")</f>
        <v>CONCURSO-OPOSICION PARA EL INGRESO EN EL CUERPO DE MAESTROS,  ADQUISICION DE NUEVAS ESPECIALIDADES Y SELECCION DE INTERINOS.</v>
      </c>
      <c r="J1619" s="3" t="s">
        <v>42</v>
      </c>
      <c r="K1619" s="3" t="s">
        <v>41</v>
      </c>
      <c r="L1619" s="3" t="s">
        <v>42</v>
      </c>
      <c r="M1619" s="3" t="s">
        <v>41</v>
      </c>
    </row>
    <row r="1620" spans="1:13" ht="114.95">
      <c r="A1620" s="22" t="s">
        <v>14</v>
      </c>
      <c r="B1620" s="3" t="s">
        <v>5127</v>
      </c>
      <c r="C1620" s="3" t="s">
        <v>5128</v>
      </c>
      <c r="D1620" s="3" t="s">
        <v>45</v>
      </c>
      <c r="E1620" s="3" t="s">
        <v>46</v>
      </c>
      <c r="F1620" s="3" t="s">
        <v>4582</v>
      </c>
      <c r="G1620" s="3" t="s">
        <v>4603</v>
      </c>
      <c r="H1620" s="3" t="s">
        <v>5129</v>
      </c>
      <c r="I1620" s="3" t="str">
        <f>HYPERLINK("http://www.jccm.es/sede/tramite/KS5","PROCESO SELECTIVO CONSTITUCION DE BOLSAS DE TRABAJO PERSONAL DOCENTE")</f>
        <v>PROCESO SELECTIVO CONSTITUCION DE BOLSAS DE TRABAJO PERSONAL DOCENTE</v>
      </c>
      <c r="J1620" s="3" t="s">
        <v>42</v>
      </c>
      <c r="K1620" s="3" t="s">
        <v>41</v>
      </c>
      <c r="L1620" s="3" t="s">
        <v>42</v>
      </c>
      <c r="M1620" s="3" t="s">
        <v>41</v>
      </c>
    </row>
    <row r="1621" spans="1:13" ht="230.1">
      <c r="A1621" s="22" t="s">
        <v>14</v>
      </c>
      <c r="B1621" s="3" t="s">
        <v>5130</v>
      </c>
      <c r="C1621" s="3" t="s">
        <v>5131</v>
      </c>
      <c r="D1621" s="3" t="s">
        <v>70</v>
      </c>
      <c r="E1621" s="3" t="s">
        <v>46</v>
      </c>
      <c r="F1621" s="3" t="s">
        <v>4582</v>
      </c>
      <c r="G1621" s="3" t="s">
        <v>5132</v>
      </c>
      <c r="H1621" s="3" t="s">
        <v>5133</v>
      </c>
      <c r="I1621" s="3" t="str">
        <f>HYPERLINK("http://www.jccm.es/sede/tramite/LH1","PROCESO SELECTIVO PARA CONSTITUCION DE UNA BOLSA DE PROFESORES ESPECIALISTAS DEL CICLO FORMATIVO DE GRADO SUPERIOR EN FORMACION PARA LA MOVILIDAD SEGURA Y SOSTENIBLE")</f>
        <v>PROCESO SELECTIVO PARA CONSTITUCION DE UNA BOLSA DE PROFESORES ESPECIALISTAS DEL CICLO FORMATIVO DE GRADO SUPERIOR EN FORMACION PARA LA MOVILIDAD SEGURA Y SOSTENIBLE</v>
      </c>
      <c r="J1621" s="3" t="s">
        <v>42</v>
      </c>
      <c r="K1621" s="3" t="s">
        <v>41</v>
      </c>
      <c r="L1621" s="3" t="s">
        <v>42</v>
      </c>
      <c r="M1621" s="3" t="s">
        <v>41</v>
      </c>
    </row>
    <row r="1622" spans="1:13" ht="161.1">
      <c r="A1622" s="22" t="s">
        <v>14</v>
      </c>
      <c r="B1622" s="3" t="s">
        <v>5134</v>
      </c>
      <c r="C1622" s="3" t="s">
        <v>5135</v>
      </c>
      <c r="D1622" s="3" t="s">
        <v>45</v>
      </c>
      <c r="E1622" s="3" t="s">
        <v>46</v>
      </c>
      <c r="F1622" s="3" t="s">
        <v>4582</v>
      </c>
      <c r="G1622" s="3" t="s">
        <v>5132</v>
      </c>
      <c r="H1622" s="3" t="s">
        <v>5136</v>
      </c>
      <c r="I1622" s="3" t="str">
        <f>HYPERLINK("http://www.jccm.es/sede/tramite/LH2","BOLSAS DE TRABAJO DE PROFESORADO ESPECIALISTA - ESCALADA")</f>
        <v>BOLSAS DE TRABAJO DE PROFESORADO ESPECIALISTA - ESCALADA</v>
      </c>
      <c r="J1622" s="3" t="s">
        <v>41</v>
      </c>
      <c r="K1622" s="3" t="s">
        <v>41</v>
      </c>
      <c r="L1622" s="3" t="s">
        <v>42</v>
      </c>
      <c r="M1622" s="3" t="s">
        <v>41</v>
      </c>
    </row>
    <row r="1623" spans="1:13" ht="172.5">
      <c r="A1623" s="22" t="s">
        <v>14</v>
      </c>
      <c r="B1623" s="3" t="s">
        <v>5137</v>
      </c>
      <c r="C1623" s="3" t="s">
        <v>5138</v>
      </c>
      <c r="D1623" s="3" t="s">
        <v>5139</v>
      </c>
      <c r="E1623" s="3" t="s">
        <v>46</v>
      </c>
      <c r="F1623" s="3" t="s">
        <v>4582</v>
      </c>
      <c r="G1623" s="3" t="s">
        <v>4668</v>
      </c>
      <c r="H1623" s="3" t="s">
        <v>5140</v>
      </c>
      <c r="I1623" s="3" t="str">
        <f>HYPERLINK("http://www.jccm.es/sede/tramite/LM2","PROCEDIMIENTO DE LIBRE DESIGNACION PARA LA PROVISION DE PUESTOS DE DIRECCION EN CENTROS INTEGRADOS PUBLICOS DE FORMACION PROFESIONAL.")</f>
        <v>PROCEDIMIENTO DE LIBRE DESIGNACION PARA LA PROVISION DE PUESTOS DE DIRECCION EN CENTROS INTEGRADOS PUBLICOS DE FORMACION PROFESIONAL.</v>
      </c>
      <c r="J1623" s="3" t="s">
        <v>41</v>
      </c>
      <c r="K1623" s="3" t="s">
        <v>41</v>
      </c>
      <c r="L1623" s="3" t="s">
        <v>42</v>
      </c>
      <c r="M1623" s="3" t="s">
        <v>41</v>
      </c>
    </row>
    <row r="1624" spans="1:13" ht="241.5">
      <c r="A1624" s="22" t="s">
        <v>14</v>
      </c>
      <c r="B1624" s="3" t="s">
        <v>5141</v>
      </c>
      <c r="C1624" s="3" t="s">
        <v>5142</v>
      </c>
      <c r="D1624" s="3" t="s">
        <v>1401</v>
      </c>
      <c r="E1624" s="3" t="s">
        <v>46</v>
      </c>
      <c r="F1624" s="3" t="s">
        <v>4582</v>
      </c>
      <c r="G1624" s="3" t="s">
        <v>4668</v>
      </c>
      <c r="H1624" s="3" t="s">
        <v>5143</v>
      </c>
      <c r="I1624" s="3" t="str">
        <f>HYPERLINK("http://www.jccm.es/sede/tramite/LZ7","PROCEDIMIENTO SELECTIVO PARA EL INGRESO MEDIANTE CONCURSO DE MERITOS, TURNO LIBRE, EN LOS CUERPOS DE SECUNDARIA, FORMACION PROFESIONAL Y ENSEÑANZAS DE REGIMEN ESPECIAL.")</f>
        <v>PROCEDIMIENTO SELECTIVO PARA EL INGRESO MEDIANTE CONCURSO DE MERITOS, TURNO LIBRE, EN LOS CUERPOS DE SECUNDARIA, FORMACION PROFESIONAL Y ENSEÑANZAS DE REGIMEN ESPECIAL.</v>
      </c>
      <c r="J1624" s="3" t="s">
        <v>41</v>
      </c>
      <c r="K1624" s="3" t="s">
        <v>41</v>
      </c>
      <c r="L1624" s="3" t="s">
        <v>42</v>
      </c>
      <c r="M1624" s="3" t="s">
        <v>41</v>
      </c>
    </row>
    <row r="1625" spans="1:13" ht="241.5">
      <c r="A1625" s="22" t="s">
        <v>14</v>
      </c>
      <c r="B1625" s="3" t="s">
        <v>5144</v>
      </c>
      <c r="C1625" s="3" t="s">
        <v>5145</v>
      </c>
      <c r="D1625" s="3" t="s">
        <v>232</v>
      </c>
      <c r="E1625" s="3" t="s">
        <v>46</v>
      </c>
      <c r="F1625" s="3" t="s">
        <v>4582</v>
      </c>
      <c r="G1625" s="3" t="s">
        <v>4668</v>
      </c>
      <c r="H1625" s="3" t="s">
        <v>5146</v>
      </c>
      <c r="I1625" s="3" t="str">
        <f>HYPERLINK("http://www.jccm.es/sede/tramite/KES","PRUEBAS SELECTIVAS PARA INGRESO EN EL CUERPO DE PROFESORES DE ARTES PLASTICAS Y DISEÑO, ADQUISICION DE NUEVAS ESPECIALIDADES, Y SELECCION DE ASPIRANTES A PUESTOS EN REGIMEN DE INTERINIDAD.")</f>
        <v>PRUEBAS SELECTIVAS PARA INGRESO EN EL CUERPO DE PROFESORES DE ARTES PLASTICAS Y DISEÑO, ADQUISICION DE NUEVAS ESPECIALIDADES, Y SELECCION DE ASPIRANTES A PUESTOS EN REGIMEN DE INTERINIDAD.</v>
      </c>
      <c r="J1625" s="3" t="s">
        <v>42</v>
      </c>
      <c r="K1625" s="3" t="s">
        <v>41</v>
      </c>
      <c r="L1625" s="3" t="s">
        <v>42</v>
      </c>
      <c r="M1625" s="3" t="s">
        <v>41</v>
      </c>
    </row>
    <row r="1626" spans="1:13" ht="241.5">
      <c r="A1626" s="22" t="s">
        <v>14</v>
      </c>
      <c r="B1626" s="3" t="s">
        <v>5147</v>
      </c>
      <c r="C1626" s="3" t="s">
        <v>5148</v>
      </c>
      <c r="D1626" s="3" t="s">
        <v>232</v>
      </c>
      <c r="E1626" s="3" t="s">
        <v>46</v>
      </c>
      <c r="F1626" s="3" t="s">
        <v>4582</v>
      </c>
      <c r="G1626" s="3" t="s">
        <v>4668</v>
      </c>
      <c r="H1626" s="3" t="s">
        <v>5149</v>
      </c>
      <c r="I1626" s="3" t="str">
        <f>HYPERLINK("http://www.jccm.es/sede/tramite/I06","CONCURSO-OPOSICION PARA EL INGRESO EN EL CUERPO DE PROFESORES DE ENSEÑANZA SECUNDARIA Y MUSICA Y ARTES ESCENICAS, ACCESO, ADQUISICION DE ESPECIALIDADES Y SELECCION DE INTERINOS.")</f>
        <v>CONCURSO-OPOSICION PARA EL INGRESO EN EL CUERPO DE PROFESORES DE ENSEÑANZA SECUNDARIA Y MUSICA Y ARTES ESCENICAS, ACCESO, ADQUISICION DE ESPECIALIDADES Y SELECCION DE INTERINOS.</v>
      </c>
      <c r="J1626" s="3" t="s">
        <v>42</v>
      </c>
      <c r="K1626" s="3" t="s">
        <v>41</v>
      </c>
      <c r="L1626" s="3" t="s">
        <v>42</v>
      </c>
      <c r="M1626" s="3" t="s">
        <v>41</v>
      </c>
    </row>
    <row r="1627" spans="1:13" ht="218.45">
      <c r="A1627" s="22" t="s">
        <v>14</v>
      </c>
      <c r="B1627" s="3" t="s">
        <v>5150</v>
      </c>
      <c r="C1627" s="3" t="s">
        <v>5151</v>
      </c>
      <c r="D1627" s="3" t="s">
        <v>232</v>
      </c>
      <c r="E1627" s="3" t="s">
        <v>46</v>
      </c>
      <c r="F1627" s="3" t="s">
        <v>4582</v>
      </c>
      <c r="G1627" s="3" t="s">
        <v>4668</v>
      </c>
      <c r="H1627" s="3" t="s">
        <v>5152</v>
      </c>
      <c r="I1627" s="3" t="str">
        <f>HYPERLINK("http://www.jccm.es/sede/tramite/KEV","CONCURSO-OPOSICION PARA EL INGRESO EN EL CUERPO DE PROFESORES TECNICOS DE FORMACION PROFESIONAL, ADQUISICION DE ESPECIALIDADES Y SELECCION DE INTERINOS.")</f>
        <v>CONCURSO-OPOSICION PARA EL INGRESO EN EL CUERPO DE PROFESORES TECNICOS DE FORMACION PROFESIONAL, ADQUISICION DE ESPECIALIDADES Y SELECCION DE INTERINOS.</v>
      </c>
      <c r="J1627" s="3" t="s">
        <v>42</v>
      </c>
      <c r="K1627" s="3" t="s">
        <v>41</v>
      </c>
      <c r="L1627" s="3" t="s">
        <v>42</v>
      </c>
      <c r="M1627" s="3" t="s">
        <v>41</v>
      </c>
    </row>
    <row r="1628" spans="1:13" ht="252.95">
      <c r="A1628" s="22" t="s">
        <v>14</v>
      </c>
      <c r="B1628" s="3" t="s">
        <v>5153</v>
      </c>
      <c r="C1628" s="3" t="s">
        <v>5154</v>
      </c>
      <c r="D1628" s="3" t="s">
        <v>45</v>
      </c>
      <c r="E1628" s="3" t="s">
        <v>46</v>
      </c>
      <c r="F1628" s="3" t="s">
        <v>4582</v>
      </c>
      <c r="G1628" s="3" t="s">
        <v>4668</v>
      </c>
      <c r="H1628" s="3" t="s">
        <v>5155</v>
      </c>
      <c r="I1628" s="3" t="str">
        <f>HYPERLINK("http://www.jccm.es/sede/tramite/KFJ","PROCESO DE AMPLIACION DE BOLSAS DE TRABAJO DE ASPIRANTES A INTERINIDADES DE DISTINTAS ESPECIALIDADES DE CUERPOS DOCENTES (SECUNDARIA, PTFP, MUSICA,PROF. ARTES PLASTICAS Y DISEÑO Y MAESTROS)")</f>
        <v>PROCESO DE AMPLIACION DE BOLSAS DE TRABAJO DE ASPIRANTES A INTERINIDADES DE DISTINTAS ESPECIALIDADES DE CUERPOS DOCENTES (SECUNDARIA, PTFP, MUSICA,PROF. ARTES PLASTICAS Y DISEÑO Y MAESTROS)</v>
      </c>
      <c r="J1628" s="3" t="s">
        <v>41</v>
      </c>
      <c r="K1628" s="3" t="s">
        <v>41</v>
      </c>
      <c r="L1628" s="3" t="s">
        <v>42</v>
      </c>
      <c r="M1628" s="3" t="s">
        <v>41</v>
      </c>
    </row>
    <row r="1629" spans="1:13" ht="138">
      <c r="A1629" s="22" t="s">
        <v>14</v>
      </c>
      <c r="B1629" s="3" t="s">
        <v>5156</v>
      </c>
      <c r="C1629" s="3" t="s">
        <v>5157</v>
      </c>
      <c r="D1629" s="3" t="s">
        <v>45</v>
      </c>
      <c r="E1629" s="3" t="s">
        <v>46</v>
      </c>
      <c r="F1629" s="3" t="s">
        <v>4582</v>
      </c>
      <c r="G1629" s="3" t="s">
        <v>4668</v>
      </c>
      <c r="H1629" s="3" t="s">
        <v>5158</v>
      </c>
      <c r="I1629" s="3" t="str">
        <f>HYPERLINK("http://www.jccm.es/sede/tramite/JYL","SELECCION PROFESORADO ESPECIALISTA PARA LA ESCUELA SUPERIOR DE ARTE DRAMATICO DE CASTILLA-LA MANCHA")</f>
        <v>SELECCION PROFESORADO ESPECIALISTA PARA LA ESCUELA SUPERIOR DE ARTE DRAMATICO DE CASTILLA-LA MANCHA</v>
      </c>
      <c r="J1629" s="3" t="s">
        <v>41</v>
      </c>
      <c r="K1629" s="3" t="s">
        <v>41</v>
      </c>
      <c r="L1629" s="3" t="s">
        <v>42</v>
      </c>
      <c r="M1629" s="3" t="s">
        <v>41</v>
      </c>
    </row>
    <row r="1630" spans="1:13" ht="138">
      <c r="A1630" s="22" t="s">
        <v>14</v>
      </c>
      <c r="B1630" s="3" t="s">
        <v>5159</v>
      </c>
      <c r="C1630" s="3" t="s">
        <v>5160</v>
      </c>
      <c r="D1630" s="3" t="s">
        <v>51</v>
      </c>
      <c r="E1630" s="3" t="s">
        <v>46</v>
      </c>
      <c r="F1630" s="3" t="s">
        <v>4582</v>
      </c>
      <c r="G1630" s="3" t="s">
        <v>4668</v>
      </c>
      <c r="H1630" s="3" t="s">
        <v>5161</v>
      </c>
      <c r="I1630" s="3" t="str">
        <f>HYPERLINK("http://www.jccm.es/sede/tramite/K9S","GESTION BOLSAS DE TRABAJO DE PERSONAL DOCENTE NO UNIVERSITARIO")</f>
        <v>GESTION BOLSAS DE TRABAJO DE PERSONAL DOCENTE NO UNIVERSITARIO</v>
      </c>
      <c r="J1630" s="3" t="s">
        <v>41</v>
      </c>
      <c r="K1630" s="3" t="s">
        <v>41</v>
      </c>
      <c r="L1630" s="3" t="s">
        <v>42</v>
      </c>
      <c r="M1630" s="3" t="s">
        <v>41</v>
      </c>
    </row>
    <row r="1631" spans="1:13" ht="161.1">
      <c r="A1631" s="22" t="s">
        <v>14</v>
      </c>
      <c r="B1631" s="3" t="s">
        <v>5162</v>
      </c>
      <c r="C1631" s="3" t="s">
        <v>5163</v>
      </c>
      <c r="D1631" s="3" t="s">
        <v>232</v>
      </c>
      <c r="E1631" s="3" t="s">
        <v>46</v>
      </c>
      <c r="F1631" s="3" t="s">
        <v>4582</v>
      </c>
      <c r="G1631" s="3" t="s">
        <v>4587</v>
      </c>
      <c r="H1631" s="3" t="s">
        <v>5164</v>
      </c>
      <c r="I1631" s="3" t="str">
        <f>HYPERLINK("http://www.jccm.es/sede/tramite/C32","PROCEDIMIENTO DE ADMISION DE LAS ESCUELAS INFANTILES DE TITULARIDAD AUTONOMICA")</f>
        <v>PROCEDIMIENTO DE ADMISION DE LAS ESCUELAS INFANTILES DE TITULARIDAD AUTONOMICA</v>
      </c>
      <c r="J1631" s="3" t="s">
        <v>42</v>
      </c>
      <c r="K1631" s="3" t="s">
        <v>41</v>
      </c>
      <c r="L1631" s="3" t="s">
        <v>42</v>
      </c>
      <c r="M1631" s="3" t="s">
        <v>41</v>
      </c>
    </row>
    <row r="1632" spans="1:13" ht="114.95">
      <c r="A1632" s="22" t="s">
        <v>14</v>
      </c>
      <c r="B1632" s="3" t="s">
        <v>5165</v>
      </c>
      <c r="C1632" s="3" t="s">
        <v>5166</v>
      </c>
      <c r="D1632" s="3" t="s">
        <v>1655</v>
      </c>
      <c r="E1632" s="3" t="s">
        <v>95</v>
      </c>
      <c r="F1632" s="3" t="s">
        <v>4582</v>
      </c>
      <c r="G1632" s="3" t="s">
        <v>4603</v>
      </c>
      <c r="H1632" s="3" t="s">
        <v>5167</v>
      </c>
      <c r="I1632" s="3" t="str">
        <f>HYPERLINK("http://www.jccm.es/sede/tramite/I4J","ADMISION DE ALUMNOS EN COMEDORES ESCOLARES")</f>
        <v>ADMISION DE ALUMNOS EN COMEDORES ESCOLARES</v>
      </c>
      <c r="J1632" s="3" t="s">
        <v>42</v>
      </c>
      <c r="K1632" s="3" t="s">
        <v>41</v>
      </c>
      <c r="L1632" s="3" t="s">
        <v>42</v>
      </c>
      <c r="M1632" s="3" t="s">
        <v>41</v>
      </c>
    </row>
    <row r="1633" spans="1:13" ht="114.95">
      <c r="A1633" s="22" t="s">
        <v>14</v>
      </c>
      <c r="B1633" s="3" t="s">
        <v>5168</v>
      </c>
      <c r="C1633" s="3" t="s">
        <v>5169</v>
      </c>
      <c r="D1633" s="3" t="s">
        <v>1655</v>
      </c>
      <c r="E1633" s="3" t="s">
        <v>95</v>
      </c>
      <c r="F1633" s="3" t="s">
        <v>4582</v>
      </c>
      <c r="G1633" s="3" t="s">
        <v>4603</v>
      </c>
      <c r="H1633" s="3" t="s">
        <v>5170</v>
      </c>
      <c r="I1633" s="3" t="str">
        <f>HYPERLINK("http://www.jccm.es/sede/tramite/J2T","SOLICITUD DE PLAZA EN EL TRANSPORTE ESCOLAR")</f>
        <v>SOLICITUD DE PLAZA EN EL TRANSPORTE ESCOLAR</v>
      </c>
      <c r="J1633" s="3" t="s">
        <v>42</v>
      </c>
      <c r="K1633" s="3" t="s">
        <v>41</v>
      </c>
      <c r="L1633" s="3" t="s">
        <v>42</v>
      </c>
      <c r="M1633" s="3" t="s">
        <v>41</v>
      </c>
    </row>
    <row r="1634" spans="1:13" ht="183.95">
      <c r="A1634" s="22" t="s">
        <v>14</v>
      </c>
      <c r="B1634" s="3" t="s">
        <v>5171</v>
      </c>
      <c r="C1634" s="3" t="s">
        <v>5172</v>
      </c>
      <c r="D1634" s="3" t="s">
        <v>1655</v>
      </c>
      <c r="E1634" s="3" t="s">
        <v>95</v>
      </c>
      <c r="F1634" s="3" t="s">
        <v>4582</v>
      </c>
      <c r="G1634" s="3" t="s">
        <v>4587</v>
      </c>
      <c r="H1634" s="3" t="s">
        <v>5173</v>
      </c>
      <c r="I1634" s="3" t="str">
        <f>HYPERLINK("http://www.jccm.es/sede/tramite/JN0","ASISTENCIA SANITARIA AL ALUMNADO DE CENTROS DOCENTES NO UNIVERSITARIOS  CON ENFERMEDAD CRONICA O QUE PRECISE ATENCION SANITARIA ESPECIFICA.")</f>
        <v>ASISTENCIA SANITARIA AL ALUMNADO DE CENTROS DOCENTES NO UNIVERSITARIOS  CON ENFERMEDAD CRONICA O QUE PRECISE ATENCION SANITARIA ESPECIFICA.</v>
      </c>
      <c r="J1634" s="3" t="s">
        <v>42</v>
      </c>
      <c r="K1634" s="3" t="s">
        <v>41</v>
      </c>
      <c r="L1634" s="3" t="s">
        <v>42</v>
      </c>
      <c r="M1634" s="3" t="s">
        <v>41</v>
      </c>
    </row>
    <row r="1635" spans="1:13" ht="126.6">
      <c r="A1635" s="22" t="s">
        <v>14</v>
      </c>
      <c r="B1635" s="3" t="s">
        <v>5174</v>
      </c>
      <c r="C1635" s="3" t="s">
        <v>5175</v>
      </c>
      <c r="D1635" s="3" t="s">
        <v>5176</v>
      </c>
      <c r="E1635" s="3" t="s">
        <v>46</v>
      </c>
      <c r="F1635" s="3" t="s">
        <v>4582</v>
      </c>
      <c r="G1635" s="3" t="s">
        <v>4603</v>
      </c>
      <c r="H1635" s="3" t="s">
        <v>5177</v>
      </c>
      <c r="I1635" s="3" t="str">
        <f>HYPERLINK("http://www.jccm.es/sede/tramite/LER","RECLAMACION DE RESPONSABILIDAD PATRIMONIAL DE LA CONSEJERIA DE EDUCACION, CULTURA Y DEPORTES")</f>
        <v>RECLAMACION DE RESPONSABILIDAD PATRIMONIAL DE LA CONSEJERIA DE EDUCACION, CULTURA Y DEPORTES</v>
      </c>
      <c r="J1635" s="3" t="s">
        <v>42</v>
      </c>
      <c r="K1635" s="3" t="s">
        <v>41</v>
      </c>
      <c r="L1635" s="3" t="s">
        <v>42</v>
      </c>
      <c r="M1635" s="3" t="s">
        <v>41</v>
      </c>
    </row>
    <row r="1636" spans="1:13" ht="161.1">
      <c r="A1636" s="22" t="s">
        <v>14</v>
      </c>
      <c r="B1636" s="3" t="s">
        <v>5178</v>
      </c>
      <c r="C1636" s="3" t="s">
        <v>5179</v>
      </c>
      <c r="D1636" s="3" t="s">
        <v>4820</v>
      </c>
      <c r="E1636" s="3" t="s">
        <v>46</v>
      </c>
      <c r="F1636" s="3" t="s">
        <v>4582</v>
      </c>
      <c r="G1636" s="3" t="s">
        <v>4591</v>
      </c>
      <c r="H1636" s="3" t="s">
        <v>5180</v>
      </c>
      <c r="I1636" s="3" t="str">
        <f>HYPERLINK("http://www.jccm.es/sede/tramite/I03","CONVOCATORIA DEL PROCEDIMIENTO PARA LA SUSCRIPCION Y MODIFICACION DE CONCIERTOS EDUCATIVOS EN CASTILLA-LA MANCHA. EDUCACION PRIMARIA.")</f>
        <v>CONVOCATORIA DEL PROCEDIMIENTO PARA LA SUSCRIPCION Y MODIFICACION DE CONCIERTOS EDUCATIVOS EN CASTILLA-LA MANCHA. EDUCACION PRIMARIA.</v>
      </c>
      <c r="J1636" s="3" t="s">
        <v>41</v>
      </c>
      <c r="K1636" s="3" t="s">
        <v>41</v>
      </c>
      <c r="L1636" s="3" t="s">
        <v>42</v>
      </c>
      <c r="M1636" s="3" t="s">
        <v>41</v>
      </c>
    </row>
    <row r="1637" spans="1:13" ht="183.95">
      <c r="A1637" s="22" t="s">
        <v>14</v>
      </c>
      <c r="B1637" s="3" t="s">
        <v>5181</v>
      </c>
      <c r="C1637" s="3" t="s">
        <v>5182</v>
      </c>
      <c r="D1637" s="3" t="s">
        <v>62</v>
      </c>
      <c r="E1637" s="3" t="s">
        <v>46</v>
      </c>
      <c r="F1637" s="3" t="s">
        <v>4582</v>
      </c>
      <c r="G1637" s="3" t="s">
        <v>4591</v>
      </c>
      <c r="H1637" s="3" t="s">
        <v>5183</v>
      </c>
      <c r="I1637" s="3" t="str">
        <f>HYPERLINK("http://www.jccm.es/sede/tramite/JLC","HOMOLOGACION, RECONOCIMIENTO, REGISTRO Y CERTIFICACION DE ACTIVIDADES DE FORMACION PERMANENTE DEL PROFESORADO NO UNIVERSITARIO.")</f>
        <v>HOMOLOGACION, RECONOCIMIENTO, REGISTRO Y CERTIFICACION DE ACTIVIDADES DE FORMACION PERMANENTE DEL PROFESORADO NO UNIVERSITARIO.</v>
      </c>
      <c r="J1637" s="3" t="s">
        <v>41</v>
      </c>
      <c r="K1637" s="3" t="s">
        <v>41</v>
      </c>
      <c r="L1637" s="3" t="s">
        <v>42</v>
      </c>
      <c r="M1637" s="3" t="s">
        <v>41</v>
      </c>
    </row>
    <row r="1638" spans="1:13" ht="195.6">
      <c r="A1638" s="22" t="s">
        <v>14</v>
      </c>
      <c r="B1638" s="3" t="s">
        <v>5184</v>
      </c>
      <c r="C1638" s="3" t="s">
        <v>5185</v>
      </c>
      <c r="D1638" s="3" t="s">
        <v>327</v>
      </c>
      <c r="E1638" s="3" t="s">
        <v>46</v>
      </c>
      <c r="F1638" s="3" t="s">
        <v>4582</v>
      </c>
      <c r="G1638" s="3" t="s">
        <v>4668</v>
      </c>
      <c r="H1638" s="3" t="s">
        <v>5186</v>
      </c>
      <c r="I1638" s="3" t="str">
        <f>HYPERLINK("http://www.jccm.es/sede/tramite/K0I","CONCURSO-OPOSICION PARA EL ACCESO AL CUERPO DE INSPECTORES DE EDUCACION, EN PLAZAS VACANTES DEL AMBITO DE GESTION DE LA COMUNIDAD AUTONOMA DE CASTILLA- LA MANCHA.")</f>
        <v>CONCURSO-OPOSICION PARA EL ACCESO AL CUERPO DE INSPECTORES DE EDUCACION, EN PLAZAS VACANTES DEL AMBITO DE GESTION DE LA COMUNIDAD AUTONOMA DE CASTILLA- LA MANCHA.</v>
      </c>
      <c r="J1638" s="3" t="s">
        <v>42</v>
      </c>
      <c r="K1638" s="3" t="s">
        <v>41</v>
      </c>
      <c r="L1638" s="3" t="s">
        <v>42</v>
      </c>
      <c r="M1638" s="3" t="s">
        <v>41</v>
      </c>
    </row>
    <row r="1639" spans="1:13" ht="390.95">
      <c r="A1639" s="22" t="s">
        <v>14</v>
      </c>
      <c r="B1639" s="3" t="s">
        <v>5187</v>
      </c>
      <c r="C1639" s="3" t="s">
        <v>5188</v>
      </c>
      <c r="D1639" s="3" t="s">
        <v>232</v>
      </c>
      <c r="E1639" s="3" t="s">
        <v>46</v>
      </c>
      <c r="F1639" s="3" t="s">
        <v>4582</v>
      </c>
      <c r="G1639" s="3" t="s">
        <v>4668</v>
      </c>
      <c r="H1639" s="3" t="s">
        <v>5189</v>
      </c>
      <c r="I1639" s="3" t="str">
        <f>HYPERLINK("http://www.jccm.es/sede/tramite/K79","CONCURSO DE TRASLADOS DE AMBITO AUTONOMICO ENTRE FUNCIONARIOS Y FUNCIONARIAS DOCENTES DE LOS CUERPOS DE ENSEÑANZAS MEDIAS.")</f>
        <v>CONCURSO DE TRASLADOS DE AMBITO AUTONOMICO ENTRE FUNCIONARIOS Y FUNCIONARIAS DOCENTES DE LOS CUERPOS DE ENSEÑANZAS MEDIAS.</v>
      </c>
      <c r="J1639" s="3" t="s">
        <v>41</v>
      </c>
      <c r="K1639" s="3" t="s">
        <v>41</v>
      </c>
      <c r="L1639" s="3" t="s">
        <v>42</v>
      </c>
      <c r="M1639" s="3" t="s">
        <v>41</v>
      </c>
    </row>
    <row r="1640" spans="1:13" ht="333.6">
      <c r="A1640" s="22" t="s">
        <v>14</v>
      </c>
      <c r="B1640" s="3" t="s">
        <v>5190</v>
      </c>
      <c r="C1640" s="3" t="s">
        <v>5191</v>
      </c>
      <c r="D1640" s="3" t="s">
        <v>327</v>
      </c>
      <c r="E1640" s="3" t="s">
        <v>46</v>
      </c>
      <c r="F1640" s="3" t="s">
        <v>4582</v>
      </c>
      <c r="G1640" s="3" t="s">
        <v>4668</v>
      </c>
      <c r="H1640" s="3" t="s">
        <v>5192</v>
      </c>
      <c r="I1640" s="3" t="str">
        <f>HYPERLINK("http://www.jccm.es/sede/tramite/K7A","CONCURSO DE TRASLADOS DE AMBITO ESTATAL ENTRE FUNCIONARIOS Y FUNCIONARIAS DE LOS CUERPOS DE INSPECTORES AL SERVICIO DE LA ADMINISTRACION EDUCATIVA Y DE INSPECTORES DE EDUCACION.")</f>
        <v>CONCURSO DE TRASLADOS DE AMBITO ESTATAL ENTRE FUNCIONARIOS Y FUNCIONARIAS DE LOS CUERPOS DE INSPECTORES AL SERVICIO DE LA ADMINISTRACION EDUCATIVA Y DE INSPECTORES DE EDUCACION.</v>
      </c>
      <c r="J1640" s="3" t="s">
        <v>41</v>
      </c>
      <c r="K1640" s="3" t="s">
        <v>41</v>
      </c>
      <c r="L1640" s="3" t="s">
        <v>42</v>
      </c>
      <c r="M1640" s="3" t="s">
        <v>41</v>
      </c>
    </row>
    <row r="1641" spans="1:13" ht="138">
      <c r="A1641" s="22" t="s">
        <v>14</v>
      </c>
      <c r="B1641" s="3" t="s">
        <v>5193</v>
      </c>
      <c r="C1641" s="3" t="s">
        <v>5194</v>
      </c>
      <c r="D1641" s="3" t="s">
        <v>327</v>
      </c>
      <c r="E1641" s="3" t="s">
        <v>46</v>
      </c>
      <c r="F1641" s="3" t="s">
        <v>4582</v>
      </c>
      <c r="G1641" s="3" t="s">
        <v>4668</v>
      </c>
      <c r="H1641" s="3" t="s">
        <v>5195</v>
      </c>
      <c r="I1641" s="3" t="str">
        <f>HYPERLINK("http://www.jccm.es/sede/tramite/K7B","CONCURSO DE TRASLADOS DE AMBITO ESTATAL Y PROCESOS PREVIOS DEL CUERPO DE MAESTROS.")</f>
        <v>CONCURSO DE TRASLADOS DE AMBITO ESTATAL Y PROCESOS PREVIOS DEL CUERPO DE MAESTROS.</v>
      </c>
      <c r="J1641" s="3" t="s">
        <v>41</v>
      </c>
      <c r="K1641" s="3" t="s">
        <v>41</v>
      </c>
      <c r="L1641" s="3" t="s">
        <v>42</v>
      </c>
      <c r="M1641" s="3" t="s">
        <v>41</v>
      </c>
    </row>
    <row r="1642" spans="1:13" ht="230.1">
      <c r="A1642" s="22" t="s">
        <v>14</v>
      </c>
      <c r="B1642" s="3" t="s">
        <v>5196</v>
      </c>
      <c r="C1642" s="3" t="s">
        <v>5197</v>
      </c>
      <c r="D1642" s="3" t="s">
        <v>45</v>
      </c>
      <c r="E1642" s="3" t="s">
        <v>46</v>
      </c>
      <c r="F1642" s="3" t="s">
        <v>4582</v>
      </c>
      <c r="G1642" s="3" t="s">
        <v>4668</v>
      </c>
      <c r="H1642" s="3" t="s">
        <v>5198</v>
      </c>
      <c r="I1642" s="3" t="str">
        <f>HYPERLINK("http://www.jccm.es/sede/tramite/KJ5","PROCESO DE SELECCION PARA ELABORAR UNA LISTA EXTRAORDINARIA DE ASPIRANTES A OCUPAR PUESTOS COMO INSPECTORES ACCIDENTALES, EN REGIMEN DE COMISION DE SERVICIOS.")</f>
        <v>PROCESO DE SELECCION PARA ELABORAR UNA LISTA EXTRAORDINARIA DE ASPIRANTES A OCUPAR PUESTOS COMO INSPECTORES ACCIDENTALES, EN REGIMEN DE COMISION DE SERVICIOS.</v>
      </c>
      <c r="J1642" s="3" t="s">
        <v>41</v>
      </c>
      <c r="K1642" s="3" t="s">
        <v>41</v>
      </c>
      <c r="L1642" s="3" t="s">
        <v>42</v>
      </c>
      <c r="M1642" s="3" t="s">
        <v>41</v>
      </c>
    </row>
    <row r="1643" spans="1:13" ht="161.1">
      <c r="A1643" s="22" t="s">
        <v>14</v>
      </c>
      <c r="B1643" s="3" t="s">
        <v>5199</v>
      </c>
      <c r="C1643" s="3" t="s">
        <v>5200</v>
      </c>
      <c r="D1643" s="3" t="s">
        <v>45</v>
      </c>
      <c r="E1643" s="3" t="s">
        <v>46</v>
      </c>
      <c r="F1643" s="3" t="s">
        <v>4582</v>
      </c>
      <c r="G1643" s="3" t="s">
        <v>4587</v>
      </c>
      <c r="H1643" s="3" t="s">
        <v>5201</v>
      </c>
      <c r="I1643" s="3" t="str">
        <f>HYPERLINK("http://www.jccm.es/sede/tramite/KLZ","SOLICITUD Y ADJUDICACION DE AUXILIARES DE CONVERSACION A CENTROS PUBLICOS DOCENTES NO UNIVERSITARIOS")</f>
        <v>SOLICITUD Y ADJUDICACION DE AUXILIARES DE CONVERSACION A CENTROS PUBLICOS DOCENTES NO UNIVERSITARIOS</v>
      </c>
      <c r="J1643" s="3" t="s">
        <v>41</v>
      </c>
      <c r="K1643" s="3" t="s">
        <v>41</v>
      </c>
      <c r="L1643" s="3" t="s">
        <v>42</v>
      </c>
      <c r="M1643" s="3" t="s">
        <v>41</v>
      </c>
    </row>
    <row r="1644" spans="1:13" ht="92.1">
      <c r="A1644" s="22" t="s">
        <v>14</v>
      </c>
      <c r="B1644" s="3" t="s">
        <v>5202</v>
      </c>
      <c r="C1644" s="3" t="s">
        <v>5203</v>
      </c>
      <c r="D1644" s="3" t="s">
        <v>442</v>
      </c>
      <c r="E1644" s="3" t="s">
        <v>46</v>
      </c>
      <c r="F1644" s="3" t="s">
        <v>4582</v>
      </c>
      <c r="G1644" s="3" t="s">
        <v>4591</v>
      </c>
      <c r="H1644" s="3" t="s">
        <v>5204</v>
      </c>
      <c r="I1644" s="3" t="str">
        <f>HYPERLINK("http://www.jccm.es/sede/tramite/KVM","CONVOCATORIA DE GRUPOS DE TRABAJO, SEMINARIOS Y CURSOS DE FORMACION EN CENTROS EDUCATIVOS")</f>
        <v>CONVOCATORIA DE GRUPOS DE TRABAJO, SEMINARIOS Y CURSOS DE FORMACION EN CENTROS EDUCATIVOS</v>
      </c>
      <c r="J1644" s="3" t="s">
        <v>41</v>
      </c>
      <c r="K1644" s="3" t="s">
        <v>41</v>
      </c>
      <c r="L1644" s="3" t="s">
        <v>42</v>
      </c>
      <c r="M1644" s="3" t="s">
        <v>41</v>
      </c>
    </row>
    <row r="1645" spans="1:13" ht="114.95">
      <c r="A1645" s="22" t="s">
        <v>14</v>
      </c>
      <c r="B1645" s="3" t="s">
        <v>5205</v>
      </c>
      <c r="C1645" s="3" t="s">
        <v>5206</v>
      </c>
      <c r="D1645" s="3" t="s">
        <v>51</v>
      </c>
      <c r="E1645" s="3" t="s">
        <v>46</v>
      </c>
      <c r="F1645" s="3" t="s">
        <v>4582</v>
      </c>
      <c r="G1645" s="3" t="s">
        <v>4582</v>
      </c>
      <c r="H1645" s="3" t="s">
        <v>5207</v>
      </c>
      <c r="I1645" s="3" t="str">
        <f>HYPERLINK("http://www.jccm.es/sede/tramite/KWP","ACREDITACION DE NUEVOS DE MERITOS EN BOLSAS PROVINCIALES DEL PROFESORADO DE RELIGION")</f>
        <v>ACREDITACION DE NUEVOS DE MERITOS EN BOLSAS PROVINCIALES DEL PROFESORADO DE RELIGION</v>
      </c>
      <c r="J1645" s="3" t="s">
        <v>41</v>
      </c>
      <c r="K1645" s="3" t="s">
        <v>41</v>
      </c>
      <c r="L1645" s="3" t="s">
        <v>42</v>
      </c>
      <c r="M1645" s="3" t="s">
        <v>41</v>
      </c>
    </row>
    <row r="1646" spans="1:13" ht="321.95">
      <c r="A1646" s="22" t="s">
        <v>14</v>
      </c>
      <c r="B1646" s="3" t="s">
        <v>5208</v>
      </c>
      <c r="C1646" s="3" t="s">
        <v>5209</v>
      </c>
      <c r="D1646" s="3" t="s">
        <v>45</v>
      </c>
      <c r="E1646" s="3" t="s">
        <v>46</v>
      </c>
      <c r="F1646" s="3" t="s">
        <v>4582</v>
      </c>
      <c r="G1646" s="3" t="s">
        <v>4587</v>
      </c>
      <c r="H1646" s="3" t="s">
        <v>5210</v>
      </c>
      <c r="I1646" s="3" t="str">
        <f>HYPERLINK("http://www.jccm.es/sede/tramite/L1U","PROCEDIMIENTO DE CONSTITUCION DE LAS COMISIONES DE ELABORACION DE PRUEBAS DE CERTIFICACION DE NIVEL DE COMPETENCIA LINGUISTICA DE ENSEÑANZAS DE IDIOMAS DE REGIMEN ESPECIAL.")</f>
        <v>PROCEDIMIENTO DE CONSTITUCION DE LAS COMISIONES DE ELABORACION DE PRUEBAS DE CERTIFICACION DE NIVEL DE COMPETENCIA LINGUISTICA DE ENSEÑANZAS DE IDIOMAS DE REGIMEN ESPECIAL.</v>
      </c>
      <c r="J1646" s="3" t="s">
        <v>41</v>
      </c>
      <c r="K1646" s="3" t="s">
        <v>41</v>
      </c>
      <c r="L1646" s="3" t="s">
        <v>42</v>
      </c>
      <c r="M1646" s="3" t="s">
        <v>41</v>
      </c>
    </row>
    <row r="1647" spans="1:13" ht="138">
      <c r="A1647" s="22" t="s">
        <v>14</v>
      </c>
      <c r="B1647" s="3" t="s">
        <v>5211</v>
      </c>
      <c r="C1647" s="3" t="s">
        <v>5212</v>
      </c>
      <c r="D1647" s="3" t="s">
        <v>5213</v>
      </c>
      <c r="E1647" s="3" t="s">
        <v>95</v>
      </c>
      <c r="F1647" s="3" t="s">
        <v>4582</v>
      </c>
      <c r="G1647" s="3" t="s">
        <v>4668</v>
      </c>
      <c r="H1647" s="3" t="s">
        <v>5214</v>
      </c>
      <c r="I1647" s="3" t="str">
        <f>HYPERLINK("http://www.jccm.es/sede/tramite/LK2","COMUNICACION DE PRESUNTO ACOSO SEXUAL O POR RAZON DE SEXO AL PERSONAL EN EL  AMBITO EDUCATIVO")</f>
        <v>COMUNICACION DE PRESUNTO ACOSO SEXUAL O POR RAZON DE SEXO AL PERSONAL EN EL  AMBITO EDUCATIVO</v>
      </c>
      <c r="J1647" s="3" t="s">
        <v>42</v>
      </c>
      <c r="K1647" s="3" t="s">
        <v>41</v>
      </c>
      <c r="L1647" s="3" t="s">
        <v>42</v>
      </c>
      <c r="M1647" s="3" t="s">
        <v>41</v>
      </c>
    </row>
    <row r="1648" spans="1:13" ht="264.60000000000002">
      <c r="A1648" s="22" t="s">
        <v>14</v>
      </c>
      <c r="B1648" s="3" t="s">
        <v>5215</v>
      </c>
      <c r="C1648" s="3" t="s">
        <v>5216</v>
      </c>
      <c r="D1648" s="3" t="s">
        <v>51</v>
      </c>
      <c r="E1648" s="3" t="s">
        <v>46</v>
      </c>
      <c r="F1648" s="3" t="s">
        <v>4582</v>
      </c>
      <c r="G1648" s="3" t="s">
        <v>4668</v>
      </c>
      <c r="H1648" s="3" t="s">
        <v>5217</v>
      </c>
      <c r="I1648" s="3" t="str">
        <f>HYPERLINK("http://www.jccm.es/sede/tramite/LLY","PROCESO MOVILIDAD  PARAR LA PROVISION DE PUESTOS DEL PROFESORADO RELIGION EN LOS CENTROS DOCENTES PUBLICOS NO UNIVERSITARIOS DEPENDIENTES DE CASTILLA - LA MANCHA")</f>
        <v>PROCESO MOVILIDAD  PARAR LA PROVISION DE PUESTOS DEL PROFESORADO RELIGION EN LOS CENTROS DOCENTES PUBLICOS NO UNIVERSITARIOS DEPENDIENTES DE CASTILLA - LA MANCHA</v>
      </c>
      <c r="J1648" s="3" t="s">
        <v>41</v>
      </c>
      <c r="K1648" s="3" t="s">
        <v>41</v>
      </c>
      <c r="L1648" s="3" t="s">
        <v>42</v>
      </c>
      <c r="M1648" s="3" t="s">
        <v>41</v>
      </c>
    </row>
    <row r="1649" spans="1:13" ht="276">
      <c r="A1649" s="22" t="s">
        <v>14</v>
      </c>
      <c r="B1649" s="3" t="s">
        <v>5218</v>
      </c>
      <c r="C1649" s="3" t="s">
        <v>5219</v>
      </c>
      <c r="D1649" s="3" t="s">
        <v>45</v>
      </c>
      <c r="E1649" s="3" t="s">
        <v>46</v>
      </c>
      <c r="F1649" s="3" t="s">
        <v>4582</v>
      </c>
      <c r="G1649" s="3" t="s">
        <v>4582</v>
      </c>
      <c r="H1649" s="3" t="s">
        <v>5220</v>
      </c>
      <c r="I1649" s="3" t="str">
        <f>HYPERLINK("http://www.jccm.es/sede/tramite/LNM","LIQUIDACION DE GASTOS POR TRASLADOS, ALOJAMIENTO Y MANUTENCION DEL PROFESORADO DE FP PARTICIPANTE EN ACCIONES FORMATIVAS ORGANIZADAS POR EL CRFP")</f>
        <v>LIQUIDACION DE GASTOS POR TRASLADOS, ALOJAMIENTO Y MANUTENCION DEL PROFESORADO DE FP PARTICIPANTE EN ACCIONES FORMATIVAS ORGANIZADAS POR EL CRFP</v>
      </c>
      <c r="J1649" s="3" t="s">
        <v>42</v>
      </c>
      <c r="K1649" s="3" t="s">
        <v>41</v>
      </c>
      <c r="L1649" s="3" t="s">
        <v>42</v>
      </c>
      <c r="M1649" s="3" t="s">
        <v>41</v>
      </c>
    </row>
    <row r="1650" spans="1:13" ht="218.45">
      <c r="A1650" s="22" t="s">
        <v>14</v>
      </c>
      <c r="B1650" s="3" t="s">
        <v>5221</v>
      </c>
      <c r="C1650" s="3" t="s">
        <v>5222</v>
      </c>
      <c r="D1650" s="3" t="s">
        <v>5223</v>
      </c>
      <c r="E1650" s="3" t="s">
        <v>46</v>
      </c>
      <c r="F1650" s="3" t="s">
        <v>4582</v>
      </c>
      <c r="G1650" s="3" t="s">
        <v>4603</v>
      </c>
      <c r="H1650" s="3" t="s">
        <v>5224</v>
      </c>
      <c r="I1650" s="3" t="str">
        <f>HYPERLINK("http://www.jccm.es/sede/tramite/LTJ","PROVISION DE PUESTOS DE TRABAJO DE PERSONAL FUNCIONARIO POR EL PROCEDIMIENTO DE LIBRE DESIGNACION (LD EDCD F2/2022) EN LA CONSEJERIA DE EDUCACION, CULTURA Y DEPORTES.")</f>
        <v>PROVISION DE PUESTOS DE TRABAJO DE PERSONAL FUNCIONARIO POR EL PROCEDIMIENTO DE LIBRE DESIGNACION (LD EDCD F2/2022) EN LA CONSEJERIA DE EDUCACION, CULTURA Y DEPORTES.</v>
      </c>
      <c r="J1650" s="3" t="s">
        <v>41</v>
      </c>
      <c r="K1650" s="3" t="s">
        <v>41</v>
      </c>
      <c r="L1650" s="3" t="s">
        <v>42</v>
      </c>
      <c r="M1650" s="3" t="s">
        <v>41</v>
      </c>
    </row>
    <row r="1651" spans="1:13" ht="230.1">
      <c r="A1651" s="22" t="s">
        <v>14</v>
      </c>
      <c r="B1651" s="3" t="s">
        <v>5225</v>
      </c>
      <c r="C1651" s="3" t="s">
        <v>5226</v>
      </c>
      <c r="D1651" s="3" t="s">
        <v>45</v>
      </c>
      <c r="E1651" s="3" t="s">
        <v>46</v>
      </c>
      <c r="F1651" s="3" t="s">
        <v>4582</v>
      </c>
      <c r="G1651" s="3" t="s">
        <v>4587</v>
      </c>
      <c r="H1651" s="3" t="s">
        <v>5227</v>
      </c>
      <c r="I1651" s="3" t="str">
        <f>HYPERLINK("http://www.jccm.es/sede/tramite/LYH","SOLICITUD DE ADJUDICACION DE AUXILIARES DE CONVERSACION A CENTROS PUBLICOS DOCENTES NO UNIVERSITARIOS CON PROYECTOS BILINGUES EN CICLOS FORMATIVOS DE FORMACION PROFESIONAL.")</f>
        <v>SOLICITUD DE ADJUDICACION DE AUXILIARES DE CONVERSACION A CENTROS PUBLICOS DOCENTES NO UNIVERSITARIOS CON PROYECTOS BILINGUES EN CICLOS FORMATIVOS DE FORMACION PROFESIONAL.</v>
      </c>
      <c r="J1651" s="3" t="s">
        <v>41</v>
      </c>
      <c r="K1651" s="3" t="s">
        <v>41</v>
      </c>
      <c r="L1651" s="3" t="s">
        <v>42</v>
      </c>
      <c r="M1651" s="3" t="s">
        <v>41</v>
      </c>
    </row>
    <row r="1652" spans="1:13" ht="218.45">
      <c r="A1652" s="22" t="s">
        <v>14</v>
      </c>
      <c r="B1652" s="3" t="s">
        <v>5228</v>
      </c>
      <c r="C1652" s="3" t="s">
        <v>5229</v>
      </c>
      <c r="D1652" s="3" t="s">
        <v>51</v>
      </c>
      <c r="E1652" s="3" t="s">
        <v>46</v>
      </c>
      <c r="F1652" s="3" t="s">
        <v>4582</v>
      </c>
      <c r="G1652" s="3" t="s">
        <v>4603</v>
      </c>
      <c r="H1652" s="3" t="s">
        <v>5230</v>
      </c>
      <c r="I1652" s="3" t="str">
        <f>HYPERLINK("http://www.jccm.es/sede/tramite/J4U","PROVISION DE PUESTOS DE TRABAJO DE PERSONAL FUNCIONARIO POR EL PROCEDIMIENTO DE LIBRE DESIGNACION (LD EDCD F3/2022) EN LA CONSEJERIA DE EDUCACION, CULTURA Y DEPORTES.")</f>
        <v>PROVISION DE PUESTOS DE TRABAJO DE PERSONAL FUNCIONARIO POR EL PROCEDIMIENTO DE LIBRE DESIGNACION (LD EDCD F3/2022) EN LA CONSEJERIA DE EDUCACION, CULTURA Y DEPORTES.</v>
      </c>
      <c r="J1652" s="3" t="s">
        <v>41</v>
      </c>
      <c r="K1652" s="3" t="s">
        <v>41</v>
      </c>
      <c r="L1652" s="3" t="s">
        <v>42</v>
      </c>
      <c r="M1652" s="3" t="s">
        <v>41</v>
      </c>
    </row>
    <row r="1653" spans="1:13" ht="172.5">
      <c r="A1653" s="22" t="s">
        <v>14</v>
      </c>
      <c r="B1653" s="3" t="s">
        <v>5231</v>
      </c>
      <c r="C1653" s="3" t="s">
        <v>5232</v>
      </c>
      <c r="D1653" s="3" t="s">
        <v>36</v>
      </c>
      <c r="E1653" s="3" t="s">
        <v>46</v>
      </c>
      <c r="F1653" s="3" t="s">
        <v>4582</v>
      </c>
      <c r="G1653" s="3" t="s">
        <v>4603</v>
      </c>
      <c r="H1653" s="3" t="s">
        <v>5233</v>
      </c>
      <c r="I1653" s="3" t="str">
        <f>HYPERLINK("http://www.jccm.es/sede/tramite/L5U","CONVOCATORIA DE CONCURSO SINGULARIZADO DE MERITOS PARA LA PROVISION DE PUESTOS DE TRABAJO VACANTES  (PERSONAL OTRAS ADMINISTRACIONES)")</f>
        <v>CONVOCATORIA DE CONCURSO SINGULARIZADO DE MERITOS PARA LA PROVISION DE PUESTOS DE TRABAJO VACANTES  (PERSONAL OTRAS ADMINISTRACIONES)</v>
      </c>
      <c r="J1653" s="3" t="s">
        <v>41</v>
      </c>
      <c r="K1653" s="3" t="s">
        <v>41</v>
      </c>
      <c r="L1653" s="3" t="s">
        <v>42</v>
      </c>
      <c r="M1653" s="3" t="s">
        <v>41</v>
      </c>
    </row>
    <row r="1654" spans="1:13" ht="183.95">
      <c r="A1654" s="22" t="s">
        <v>14</v>
      </c>
      <c r="B1654" s="3" t="s">
        <v>5234</v>
      </c>
      <c r="C1654" s="3" t="s">
        <v>5235</v>
      </c>
      <c r="D1654" s="3" t="s">
        <v>36</v>
      </c>
      <c r="E1654" s="3" t="s">
        <v>46</v>
      </c>
      <c r="F1654" s="3" t="s">
        <v>4582</v>
      </c>
      <c r="G1654" s="3" t="s">
        <v>4603</v>
      </c>
      <c r="H1654" s="3" t="s">
        <v>5236</v>
      </c>
      <c r="I1654" s="3" t="str">
        <f>HYPERLINK("http://www.jccm.es/sede/tramite/JUD","CONVOCATORIA DE CONCURSO SINGULARIZADO DE MERITOS PARA LA PROVISION DE PUESTOS DE TRABAJO VACANTES  (PERSONAL DE LA ADMINISTRACION DE LA JCCM)")</f>
        <v>CONVOCATORIA DE CONCURSO SINGULARIZADO DE MERITOS PARA LA PROVISION DE PUESTOS DE TRABAJO VACANTES  (PERSONAL DE LA ADMINISTRACION DE LA JCCM)</v>
      </c>
      <c r="J1654" s="3" t="s">
        <v>41</v>
      </c>
      <c r="K1654" s="3" t="s">
        <v>41</v>
      </c>
      <c r="L1654" s="3" t="s">
        <v>42</v>
      </c>
      <c r="M1654" s="3" t="s">
        <v>41</v>
      </c>
    </row>
    <row r="1655" spans="1:13" ht="230.1">
      <c r="A1655" s="22" t="s">
        <v>14</v>
      </c>
      <c r="B1655" s="3" t="s">
        <v>5237</v>
      </c>
      <c r="C1655" s="3" t="s">
        <v>5238</v>
      </c>
      <c r="D1655" s="3" t="s">
        <v>5239</v>
      </c>
      <c r="E1655" s="3" t="s">
        <v>46</v>
      </c>
      <c r="F1655" s="3" t="s">
        <v>4582</v>
      </c>
      <c r="G1655" s="3" t="s">
        <v>4587</v>
      </c>
      <c r="H1655" s="3" t="s">
        <v>5240</v>
      </c>
      <c r="I1655" s="3" t="str">
        <f>HYPERLINK("http://www.jccm.es/sede/tramite/L96","PROCEDIMIENTO DE SELECCION DE DIRECTORAS Y DIRECTORES DE LOS CENTROS DOCENTES PUBLICOS RECONOCIDOS COMO COMUNIDAD DE APRENDIZAJE: CEIP LA PAZ Y CEIP ENTRE CULTURAS.")</f>
        <v>PROCEDIMIENTO DE SELECCION DE DIRECTORAS Y DIRECTORES DE LOS CENTROS DOCENTES PUBLICOS RECONOCIDOS COMO COMUNIDAD DE APRENDIZAJE: CEIP LA PAZ Y CEIP ENTRE CULTURAS.</v>
      </c>
      <c r="J1655" s="3" t="s">
        <v>41</v>
      </c>
      <c r="K1655" s="3" t="s">
        <v>41</v>
      </c>
      <c r="L1655" s="3" t="s">
        <v>42</v>
      </c>
      <c r="M1655" s="3" t="s">
        <v>41</v>
      </c>
    </row>
    <row r="1656" spans="1:13" ht="195.6">
      <c r="A1656" s="22" t="s">
        <v>14</v>
      </c>
      <c r="B1656" s="3" t="s">
        <v>5241</v>
      </c>
      <c r="C1656" s="3" t="s">
        <v>5242</v>
      </c>
      <c r="D1656" s="3" t="s">
        <v>5243</v>
      </c>
      <c r="E1656" s="3" t="s">
        <v>46</v>
      </c>
      <c r="F1656" s="3" t="s">
        <v>4582</v>
      </c>
      <c r="G1656" s="3" t="s">
        <v>4587</v>
      </c>
      <c r="H1656" s="3" t="s">
        <v>5244</v>
      </c>
      <c r="I1656" s="3" t="str">
        <f>HYPERLINK("http://www.jccm.es/sede/tramite/JUH","PROCEDIMIENTOS DE RENOVACION, SELECCION Y NOMBRAMIENTO DE DIRECTORAS Y DE DIRECTORES DE LOS CENTROS DOCENTES PUBLICOS NO UNIVERSITARIOS DE CASTILLA-LA MANCHA.")</f>
        <v>PROCEDIMIENTOS DE RENOVACION, SELECCION Y NOMBRAMIENTO DE DIRECTORAS Y DE DIRECTORES DE LOS CENTROS DOCENTES PUBLICOS NO UNIVERSITARIOS DE CASTILLA-LA MANCHA.</v>
      </c>
      <c r="J1656" s="3" t="s">
        <v>41</v>
      </c>
      <c r="K1656" s="3" t="s">
        <v>41</v>
      </c>
      <c r="L1656" s="3" t="s">
        <v>42</v>
      </c>
      <c r="M1656" s="3" t="s">
        <v>41</v>
      </c>
    </row>
    <row r="1657" spans="1:13" ht="149.44999999999999">
      <c r="A1657" s="22" t="s">
        <v>14</v>
      </c>
      <c r="B1657" s="3" t="s">
        <v>5245</v>
      </c>
      <c r="C1657" s="3" t="s">
        <v>5246</v>
      </c>
      <c r="D1657" s="3" t="s">
        <v>70</v>
      </c>
      <c r="E1657" s="3" t="s">
        <v>46</v>
      </c>
      <c r="F1657" s="3" t="s">
        <v>4582</v>
      </c>
      <c r="G1657" s="3" t="s">
        <v>4614</v>
      </c>
      <c r="H1657" s="3" t="s">
        <v>5247</v>
      </c>
      <c r="I1657" s="3" t="str">
        <f>HYPERLINK("http://www.jccm.es/sede/tramite/LDL","CONVOCATORIA DE PROCEDIMIENTO PARA LA RENOVACION O RENUNCIA DE COMISION DE SERVICIO EN PUESTOS ESPECIFICOS DE CICLOS FORMATIVOS")</f>
        <v>CONVOCATORIA DE PROCEDIMIENTO PARA LA RENOVACION O RENUNCIA DE COMISION DE SERVICIO EN PUESTOS ESPECIFICOS DE CICLOS FORMATIVOS</v>
      </c>
      <c r="J1657" s="3" t="s">
        <v>41</v>
      </c>
      <c r="K1657" s="3" t="s">
        <v>41</v>
      </c>
      <c r="L1657" s="3" t="s">
        <v>42</v>
      </c>
      <c r="M1657" s="3" t="s">
        <v>41</v>
      </c>
    </row>
    <row r="1658" spans="1:13" ht="218.45">
      <c r="A1658" s="22" t="s">
        <v>14</v>
      </c>
      <c r="B1658" s="3" t="s">
        <v>5248</v>
      </c>
      <c r="C1658" s="3" t="s">
        <v>5249</v>
      </c>
      <c r="D1658" s="3" t="s">
        <v>70</v>
      </c>
      <c r="E1658" s="3" t="s">
        <v>46</v>
      </c>
      <c r="F1658" s="3" t="s">
        <v>4582</v>
      </c>
      <c r="G1658" s="3" t="s">
        <v>4587</v>
      </c>
      <c r="H1658" s="3" t="s">
        <v>5250</v>
      </c>
      <c r="I1658" s="3" t="str">
        <f>HYPERLINK("http://www.jccm.es/sede/tramite/KL9","CONVOCATORIA DE PROCEDIMIENTO PARA LA  PROVISION DE PUESTOS EN COMISION DE SERVICIO EN AULAS ABIERTAS ESPECIALIZADAS Y EQUIPOS DE ATENCION EDUCATIVA PARA ALUMNADO CON TEA.")</f>
        <v>CONVOCATORIA DE PROCEDIMIENTO PARA LA  PROVISION DE PUESTOS EN COMISION DE SERVICIO EN AULAS ABIERTAS ESPECIALIZADAS Y EQUIPOS DE ATENCION EDUCATIVA PARA ALUMNADO CON TEA.</v>
      </c>
      <c r="J1658" s="3" t="s">
        <v>41</v>
      </c>
      <c r="K1658" s="3" t="s">
        <v>41</v>
      </c>
      <c r="L1658" s="3" t="s">
        <v>42</v>
      </c>
      <c r="M1658" s="3" t="s">
        <v>41</v>
      </c>
    </row>
    <row r="1659" spans="1:13" ht="287.45">
      <c r="A1659" s="22" t="s">
        <v>14</v>
      </c>
      <c r="B1659" s="3" t="s">
        <v>5251</v>
      </c>
      <c r="C1659" s="3" t="s">
        <v>5252</v>
      </c>
      <c r="D1659" s="3" t="s">
        <v>70</v>
      </c>
      <c r="E1659" s="3" t="s">
        <v>46</v>
      </c>
      <c r="F1659" s="3" t="s">
        <v>4582</v>
      </c>
      <c r="G1659" s="3" t="s">
        <v>4587</v>
      </c>
      <c r="H1659" s="3" t="s">
        <v>5253</v>
      </c>
      <c r="I1659" s="3" t="str">
        <f>HYPERLINK("http://www.jccm.es/sede/tramite/LLA","COMISIONES DE SERVICIO PARA PERSONAL DOCENTE EN CENTROS DE EDUCACION ESPECIAL Y PARA PERSONAL DOCENTE DEL SERVICIO DEL ASESORAMIENTO Y APOYO ESPECIALIZADO EN LOS CENTROS DE EDUCACION ESPECIAL")</f>
        <v>COMISIONES DE SERVICIO PARA PERSONAL DOCENTE EN CENTROS DE EDUCACION ESPECIAL Y PARA PERSONAL DOCENTE DEL SERVICIO DEL ASESORAMIENTO Y APOYO ESPECIALIZADO EN LOS CENTROS DE EDUCACION ESPECIAL</v>
      </c>
      <c r="J1659" s="3" t="s">
        <v>41</v>
      </c>
      <c r="K1659" s="3" t="s">
        <v>41</v>
      </c>
      <c r="L1659" s="3" t="s">
        <v>42</v>
      </c>
      <c r="M1659" s="3" t="s">
        <v>41</v>
      </c>
    </row>
    <row r="1660" spans="1:13" ht="149.44999999999999">
      <c r="A1660" s="22" t="s">
        <v>14</v>
      </c>
      <c r="B1660" s="3" t="s">
        <v>5254</v>
      </c>
      <c r="C1660" s="3" t="s">
        <v>5255</v>
      </c>
      <c r="D1660" s="3" t="s">
        <v>70</v>
      </c>
      <c r="E1660" s="3" t="s">
        <v>46</v>
      </c>
      <c r="F1660" s="3" t="s">
        <v>4582</v>
      </c>
      <c r="G1660" s="3" t="s">
        <v>4587</v>
      </c>
      <c r="H1660" s="3" t="s">
        <v>5256</v>
      </c>
      <c r="I1660" s="3" t="str">
        <f>HYPERLINK("http://www.jccm.es/sede/tramite/LDN","CONVOCATORIA DE PROCEDIMIENTO PARA LA RENOVACION DE COMISION DE SERVICIO EN UNIDADES DE EDUCACION ESPECIAL.")</f>
        <v>CONVOCATORIA DE PROCEDIMIENTO PARA LA RENOVACION DE COMISION DE SERVICIO EN UNIDADES DE EDUCACION ESPECIAL.</v>
      </c>
      <c r="J1660" s="3" t="s">
        <v>41</v>
      </c>
      <c r="K1660" s="3" t="s">
        <v>41</v>
      </c>
      <c r="L1660" s="3" t="s">
        <v>42</v>
      </c>
      <c r="M1660" s="3" t="s">
        <v>41</v>
      </c>
    </row>
    <row r="1661" spans="1:13" ht="276">
      <c r="A1661" s="22" t="s">
        <v>14</v>
      </c>
      <c r="B1661" s="3" t="s">
        <v>5257</v>
      </c>
      <c r="C1661" s="3" t="s">
        <v>5258</v>
      </c>
      <c r="D1661" s="3" t="s">
        <v>70</v>
      </c>
      <c r="E1661" s="3" t="s">
        <v>46</v>
      </c>
      <c r="F1661" s="3" t="s">
        <v>4582</v>
      </c>
      <c r="G1661" s="3" t="s">
        <v>4668</v>
      </c>
      <c r="H1661" s="3" t="s">
        <v>5259</v>
      </c>
      <c r="I1661" s="3" t="str">
        <f>HYPERLINK("http://www.jccm.es/sede/tramite/LDM","CONVOCATORIA DE CONCESION DE COMISIONES DE SERVICIO A FUNCIONARIOS/AS DOCENTES DE NIVELES DE ENSEÑANZA NO UNIVERSITARIA EN PUESTOS DEPENDIENTES DE LA CONSEJERIA DE EDUCACION, CULTURA Y DEPORTES")</f>
        <v>CONVOCATORIA DE CONCESION DE COMISIONES DE SERVICIO A FUNCIONARIOS/AS DOCENTES DE NIVELES DE ENSEÑANZA NO UNIVERSITARIA EN PUESTOS DEPENDIENTES DE LA CONSEJERIA DE EDUCACION, CULTURA Y DEPORTES</v>
      </c>
      <c r="J1661" s="3" t="s">
        <v>41</v>
      </c>
      <c r="K1661" s="3" t="s">
        <v>41</v>
      </c>
      <c r="L1661" s="3" t="s">
        <v>42</v>
      </c>
      <c r="M1661" s="3" t="s">
        <v>41</v>
      </c>
    </row>
    <row r="1662" spans="1:13" ht="149.44999999999999">
      <c r="A1662" s="22" t="s">
        <v>14</v>
      </c>
      <c r="B1662" s="3" t="s">
        <v>5260</v>
      </c>
      <c r="C1662" s="3" t="s">
        <v>5261</v>
      </c>
      <c r="D1662" s="3" t="s">
        <v>70</v>
      </c>
      <c r="E1662" s="3" t="s">
        <v>46</v>
      </c>
      <c r="F1662" s="3" t="s">
        <v>4582</v>
      </c>
      <c r="G1662" s="3" t="s">
        <v>4587</v>
      </c>
      <c r="H1662" s="3" t="s">
        <v>5262</v>
      </c>
      <c r="I1662" s="3" t="str">
        <f>HYPERLINK("http://www.jccm.es/sede/tramite/IMH","RENOVACION, RENUNCIA Y PROVISION DE PUESTOS DE TRABAJO EN COMISION DE SERVICIO EN LOS EAEHD Y EAERM DE CASTILLA-LA MANCHA.")</f>
        <v>RENOVACION, RENUNCIA Y PROVISION DE PUESTOS DE TRABAJO EN COMISION DE SERVICIO EN LOS EAEHD Y EAERM DE CASTILLA-LA MANCHA.</v>
      </c>
      <c r="J1662" s="3" t="s">
        <v>41</v>
      </c>
      <c r="K1662" s="3" t="s">
        <v>41</v>
      </c>
      <c r="L1662" s="3" t="s">
        <v>42</v>
      </c>
      <c r="M1662" s="3" t="s">
        <v>41</v>
      </c>
    </row>
    <row r="1663" spans="1:13" ht="241.5">
      <c r="A1663" s="22" t="s">
        <v>14</v>
      </c>
      <c r="B1663" s="3" t="s">
        <v>5263</v>
      </c>
      <c r="C1663" s="3" t="s">
        <v>5264</v>
      </c>
      <c r="D1663" s="3" t="s">
        <v>70</v>
      </c>
      <c r="E1663" s="3" t="s">
        <v>46</v>
      </c>
      <c r="F1663" s="3" t="s">
        <v>4582</v>
      </c>
      <c r="G1663" s="3" t="s">
        <v>4587</v>
      </c>
      <c r="H1663" s="3" t="s">
        <v>5265</v>
      </c>
      <c r="I1663" s="3" t="str">
        <f>HYPERLINK("http://www.jccm.es/sede/tramite/KL8","CONVOCATORIA DE PROCEDIMIENTO PARA LA  PROVISION Y RENOVACION DE PUESTOS EN COMISION DE SERVICIO PARA LOS EQUIPOS DE ATENCION EDUCATIVA PARA EL ALUMNADO CON CEGUERA O DISCAPACIDAD VISUAL GRAVE.")</f>
        <v>CONVOCATORIA DE PROCEDIMIENTO PARA LA  PROVISION Y RENOVACION DE PUESTOS EN COMISION DE SERVICIO PARA LOS EQUIPOS DE ATENCION EDUCATIVA PARA EL ALUMNADO CON CEGUERA O DISCAPACIDAD VISUAL GRAVE.</v>
      </c>
      <c r="J1663" s="3" t="s">
        <v>41</v>
      </c>
      <c r="K1663" s="3" t="s">
        <v>41</v>
      </c>
      <c r="L1663" s="3" t="s">
        <v>42</v>
      </c>
      <c r="M1663" s="3" t="s">
        <v>41</v>
      </c>
    </row>
    <row r="1664" spans="1:13" ht="207">
      <c r="A1664" s="22" t="s">
        <v>14</v>
      </c>
      <c r="B1664" s="3" t="s">
        <v>5266</v>
      </c>
      <c r="C1664" s="3" t="s">
        <v>5267</v>
      </c>
      <c r="D1664" s="3" t="s">
        <v>70</v>
      </c>
      <c r="E1664" s="3" t="s">
        <v>46</v>
      </c>
      <c r="F1664" s="3" t="s">
        <v>4582</v>
      </c>
      <c r="G1664" s="3" t="s">
        <v>4587</v>
      </c>
      <c r="H1664" s="3" t="s">
        <v>5268</v>
      </c>
      <c r="I1664" s="3" t="str">
        <f>HYPERLINK("http://www.jccm.es/sede/tramite/L0N","RENOVACION, RENUNCIA Y PROVISION DE PUESTOS DE TRABAJO EN COMISION DE SERVICIO EN LOS CENTROS RECONOCIDOS COMO COMUNIDAD DE APRENDIZAJE DE CASTILLA-LA MANCHA.")</f>
        <v>RENOVACION, RENUNCIA Y PROVISION DE PUESTOS DE TRABAJO EN COMISION DE SERVICIO EN LOS CENTROS RECONOCIDOS COMO COMUNIDAD DE APRENDIZAJE DE CASTILLA-LA MANCHA.</v>
      </c>
      <c r="J1664" s="3" t="s">
        <v>41</v>
      </c>
      <c r="K1664" s="3" t="s">
        <v>41</v>
      </c>
      <c r="L1664" s="3" t="s">
        <v>42</v>
      </c>
      <c r="M1664" s="3" t="s">
        <v>41</v>
      </c>
    </row>
    <row r="1665" spans="1:13" ht="183.95">
      <c r="A1665" s="22" t="s">
        <v>14</v>
      </c>
      <c r="B1665" s="3" t="s">
        <v>5269</v>
      </c>
      <c r="C1665" s="3" t="s">
        <v>5270</v>
      </c>
      <c r="D1665" s="3" t="s">
        <v>70</v>
      </c>
      <c r="E1665" s="3" t="s">
        <v>46</v>
      </c>
      <c r="F1665" s="3" t="s">
        <v>4582</v>
      </c>
      <c r="G1665" s="3" t="s">
        <v>4587</v>
      </c>
      <c r="H1665" s="3" t="s">
        <v>5271</v>
      </c>
      <c r="I1665" s="3" t="str">
        <f>HYPERLINK("http://www.jccm.es/sede/tramite/LVT","RENOVACION, RENUNCIA Y PROVISION DE PUESTOS DE TRABAJO EN COMISION DE SERVICIO PARA CONFORMAR UNIDADES DE ACOMPAÑAMIENTO Y ORIENTACION-C-LM.")</f>
        <v>RENOVACION, RENUNCIA Y PROVISION DE PUESTOS DE TRABAJO EN COMISION DE SERVICIO PARA CONFORMAR UNIDADES DE ACOMPAÑAMIENTO Y ORIENTACION-C-LM.</v>
      </c>
      <c r="J1665" s="3" t="s">
        <v>41</v>
      </c>
      <c r="K1665" s="3" t="s">
        <v>41</v>
      </c>
      <c r="L1665" s="3" t="s">
        <v>42</v>
      </c>
      <c r="M1665" s="3" t="s">
        <v>41</v>
      </c>
    </row>
    <row r="1666" spans="1:13" ht="230.1">
      <c r="A1666" s="22" t="s">
        <v>14</v>
      </c>
      <c r="B1666" s="3" t="s">
        <v>5272</v>
      </c>
      <c r="C1666" s="3" t="s">
        <v>5273</v>
      </c>
      <c r="D1666" s="3" t="s">
        <v>70</v>
      </c>
      <c r="E1666" s="3" t="s">
        <v>46</v>
      </c>
      <c r="F1666" s="3" t="s">
        <v>4582</v>
      </c>
      <c r="G1666" s="3" t="s">
        <v>4582</v>
      </c>
      <c r="H1666" s="3" t="s">
        <v>5274</v>
      </c>
      <c r="I1666" s="3" t="str">
        <f>HYPERLINK("http://www.jccm.es/sede/tramite/LW9","PROVISION DE COMISIONES DE SERVICIO PARA LA OFERTA DE CARACTER EXPERIMENTAL DE LOS CURSOS DE ESPECIALIZACION EN FABRICACION ADITIVA Y EN AERONAVES PILOTADAS DE FORMA REMOTA-DRONES")</f>
        <v>PROVISION DE COMISIONES DE SERVICIO PARA LA OFERTA DE CARACTER EXPERIMENTAL DE LOS CURSOS DE ESPECIALIZACION EN FABRICACION ADITIVA Y EN AERONAVES PILOTADAS DE FORMA REMOTA-DRONES</v>
      </c>
      <c r="J1666" s="3" t="s">
        <v>41</v>
      </c>
      <c r="K1666" s="3" t="s">
        <v>41</v>
      </c>
      <c r="L1666" s="3" t="s">
        <v>42</v>
      </c>
      <c r="M1666" s="3" t="s">
        <v>41</v>
      </c>
    </row>
    <row r="1667" spans="1:13" ht="207">
      <c r="A1667" s="22" t="s">
        <v>14</v>
      </c>
      <c r="B1667" s="3" t="s">
        <v>5275</v>
      </c>
      <c r="C1667" s="3" t="s">
        <v>5276</v>
      </c>
      <c r="D1667" s="3" t="s">
        <v>1899</v>
      </c>
      <c r="E1667" s="3" t="s">
        <v>95</v>
      </c>
      <c r="F1667" s="3" t="s">
        <v>4582</v>
      </c>
      <c r="G1667" s="3" t="s">
        <v>4668</v>
      </c>
      <c r="H1667" s="3" t="s">
        <v>5277</v>
      </c>
      <c r="I1667" s="3" t="str">
        <f>HYPERLINK("http://www.jccm.es/sede/tramite/L77","COMUNICACION  DE PRESUNTO ACOSO LABORAL EN EL AMBITO EDUCATIVO")</f>
        <v>COMUNICACION  DE PRESUNTO ACOSO LABORAL EN EL AMBITO EDUCATIVO</v>
      </c>
      <c r="J1667" s="3" t="s">
        <v>41</v>
      </c>
      <c r="K1667" s="3" t="s">
        <v>41</v>
      </c>
      <c r="L1667" s="3" t="s">
        <v>42</v>
      </c>
      <c r="M1667" s="3" t="s">
        <v>41</v>
      </c>
    </row>
    <row r="1668" spans="1:13" ht="103.5">
      <c r="A1668" s="22" t="s">
        <v>14</v>
      </c>
      <c r="B1668" s="3" t="s">
        <v>5278</v>
      </c>
      <c r="C1668" s="3" t="s">
        <v>5279</v>
      </c>
      <c r="D1668" s="3" t="s">
        <v>45</v>
      </c>
      <c r="E1668" s="3" t="s">
        <v>46</v>
      </c>
      <c r="F1668" s="3" t="s">
        <v>4582</v>
      </c>
      <c r="G1668" s="3" t="s">
        <v>4610</v>
      </c>
      <c r="H1668" s="3" t="s">
        <v>5280</v>
      </c>
      <c r="I1668" s="3" t="str">
        <f>HYPERLINK("http://www.jccm.es/sede/tramite/JQX","AUTORIZACION DEL CAMBIO DE USO DE LOS BIENES DE INTERES CULTURAL")</f>
        <v>AUTORIZACION DEL CAMBIO DE USO DE LOS BIENES DE INTERES CULTURAL</v>
      </c>
      <c r="J1668" s="3" t="s">
        <v>42</v>
      </c>
      <c r="K1668" s="3" t="s">
        <v>41</v>
      </c>
      <c r="L1668" s="3" t="s">
        <v>42</v>
      </c>
      <c r="M1668" s="3" t="s">
        <v>41</v>
      </c>
    </row>
    <row r="1669" spans="1:13" ht="138">
      <c r="A1669" s="22" t="s">
        <v>14</v>
      </c>
      <c r="B1669" s="3" t="s">
        <v>5281</v>
      </c>
      <c r="C1669" s="3" t="s">
        <v>5282</v>
      </c>
      <c r="D1669" s="3" t="s">
        <v>327</v>
      </c>
      <c r="E1669" s="3" t="s">
        <v>46</v>
      </c>
      <c r="F1669" s="3" t="s">
        <v>4582</v>
      </c>
      <c r="G1669" s="3" t="s">
        <v>4610</v>
      </c>
      <c r="H1669" s="3" t="s">
        <v>5283</v>
      </c>
      <c r="I1669" s="3" t="str">
        <f>HYPERLINK("http://www.jccm.es/sede/tramite/J0G","CONVOCATORIA A LAS PERSONAS FISICAS Y JURIDICAS DEDICADAS A LA ACTIVIDAD EDITORIAL PARA SU INCLUSION EN EL CATALOGO DE OBRAS DE CARACTER DOCUMENTAL DE INTERES PARA C-LM")</f>
        <v>CONVOCATORIA A LAS PERSONAS FISICAS Y JURIDICAS DEDICADAS A LA ACTIVIDAD EDITORIAL PARA SU INCLUSION EN EL CATALOGO DE OBRAS DE CARACTER DOCUMENTAL DE INTERES PARA C-LM</v>
      </c>
      <c r="J1669" s="3" t="s">
        <v>42</v>
      </c>
      <c r="K1669" s="3" t="s">
        <v>41</v>
      </c>
      <c r="L1669" s="3" t="s">
        <v>42</v>
      </c>
      <c r="M1669" s="3" t="s">
        <v>41</v>
      </c>
    </row>
    <row r="1670" spans="1:13" ht="207">
      <c r="A1670" s="22" t="s">
        <v>14</v>
      </c>
      <c r="B1670" s="3" t="s">
        <v>5284</v>
      </c>
      <c r="C1670" s="3" t="s">
        <v>5285</v>
      </c>
      <c r="D1670" s="3" t="s">
        <v>700</v>
      </c>
      <c r="E1670" s="3" t="s">
        <v>46</v>
      </c>
      <c r="F1670" s="3" t="s">
        <v>4582</v>
      </c>
      <c r="G1670" s="3" t="s">
        <v>4591</v>
      </c>
      <c r="H1670" s="3" t="s">
        <v>5286</v>
      </c>
      <c r="I1670" s="3" t="str">
        <f>HYPERLINK("http://www.jccm.es/sede/tramite/L2Z","PARTICIPACION DE LOS CENTROS DOCENTES EN EL PROYECTO FORMACION EN COMPETENCIA  (STEAM) EN PRIMARIA,SECUNDARIA, REGIMEN ESPECIAL Y EDUCACION DE PERSONAS ADULTAS.")</f>
        <v>PARTICIPACION DE LOS CENTROS DOCENTES EN EL PROYECTO FORMACION EN COMPETENCIA  (STEAM) EN PRIMARIA,SECUNDARIA, REGIMEN ESPECIAL Y EDUCACION DE PERSONAS ADULTAS.</v>
      </c>
      <c r="J1670" s="3" t="s">
        <v>41</v>
      </c>
      <c r="K1670" s="3" t="s">
        <v>41</v>
      </c>
      <c r="L1670" s="3" t="s">
        <v>42</v>
      </c>
      <c r="M1670" s="3" t="s">
        <v>41</v>
      </c>
    </row>
    <row r="1671" spans="1:13" ht="264.60000000000002">
      <c r="A1671" s="22" t="s">
        <v>14</v>
      </c>
      <c r="B1671" s="3" t="s">
        <v>5287</v>
      </c>
      <c r="C1671" s="3" t="s">
        <v>5288</v>
      </c>
      <c r="D1671" s="3" t="s">
        <v>45</v>
      </c>
      <c r="E1671" s="3" t="s">
        <v>46</v>
      </c>
      <c r="F1671" s="3" t="s">
        <v>4582</v>
      </c>
      <c r="G1671" s="3" t="s">
        <v>4591</v>
      </c>
      <c r="H1671" s="3" t="s">
        <v>5289</v>
      </c>
      <c r="I1671" s="3" t="str">
        <f>HYPERLINK("http://www.jccm.es/sede/tramite/LZF","LIBRAMIENTO DE FONDOS PARA LA IMPLANTACION Y DESARROLLO DEL PROGRAMA DE REFUERZO DE COMPETENCIAS ESPECIFICAS, OCIO RESPONSABLE, CULTURA Y DEPORTE EN CRA Y CENTROS INCOMPLETOS")</f>
        <v>LIBRAMIENTO DE FONDOS PARA LA IMPLANTACION Y DESARROLLO DEL PROGRAMA DE REFUERZO DE COMPETENCIAS ESPECIFICAS, OCIO RESPONSABLE, CULTURA Y DEPORTE EN CRA Y CENTROS INCOMPLETOS</v>
      </c>
      <c r="J1671" s="3" t="s">
        <v>41</v>
      </c>
      <c r="K1671" s="3" t="s">
        <v>41</v>
      </c>
      <c r="L1671" s="3" t="s">
        <v>42</v>
      </c>
      <c r="M1671" s="3" t="s">
        <v>41</v>
      </c>
    </row>
    <row r="1672" spans="1:13" ht="230.1">
      <c r="A1672" s="22" t="s">
        <v>14</v>
      </c>
      <c r="B1672" s="3" t="s">
        <v>5196</v>
      </c>
      <c r="C1672" s="3" t="s">
        <v>5197</v>
      </c>
      <c r="D1672" s="3" t="s">
        <v>45</v>
      </c>
      <c r="E1672" s="3" t="s">
        <v>46</v>
      </c>
      <c r="F1672" s="3" t="s">
        <v>4582</v>
      </c>
      <c r="G1672" s="3" t="s">
        <v>4668</v>
      </c>
      <c r="H1672" s="3" t="s">
        <v>5198</v>
      </c>
      <c r="I1672" s="3" t="str">
        <f>HYPERLINK("http://www.jccm.es/sede/tramite/KJ5","PROCESO DE SELECCION PARA ELABORAR UNA LISTA EXTRAORDINARIA DE ASPIRANTES A OCUPAR PUESTOS COMO INSPECTORES ACCIDENTALES, EN REGIMEN DE COMISION DE SERVICIOS.")</f>
        <v>PROCESO DE SELECCION PARA ELABORAR UNA LISTA EXTRAORDINARIA DE ASPIRANTES A OCUPAR PUESTOS COMO INSPECTORES ACCIDENTALES, EN REGIMEN DE COMISION DE SERVICIOS.</v>
      </c>
      <c r="J1672" s="3" t="s">
        <v>41</v>
      </c>
      <c r="K1672" s="3" t="s">
        <v>41</v>
      </c>
      <c r="L1672" s="3" t="s">
        <v>42</v>
      </c>
      <c r="M1672" s="3" t="s">
        <v>41</v>
      </c>
    </row>
    <row r="1673" spans="1:13" ht="161.1">
      <c r="A1673" s="22" t="s">
        <v>14</v>
      </c>
      <c r="B1673" s="3" t="s">
        <v>5199</v>
      </c>
      <c r="C1673" s="3" t="s">
        <v>5200</v>
      </c>
      <c r="D1673" s="3" t="s">
        <v>45</v>
      </c>
      <c r="E1673" s="3" t="s">
        <v>46</v>
      </c>
      <c r="F1673" s="3" t="s">
        <v>4582</v>
      </c>
      <c r="G1673" s="3" t="s">
        <v>4587</v>
      </c>
      <c r="H1673" s="3" t="s">
        <v>5201</v>
      </c>
      <c r="I1673" s="3" t="str">
        <f>HYPERLINK("http://www.jccm.es/sede/tramite/KLZ","SOLICITUD Y ADJUDICACION DE AUXILIARES DE CONVERSACION A CENTROS PUBLICOS DOCENTES NO UNIVERSITARIOS")</f>
        <v>SOLICITUD Y ADJUDICACION DE AUXILIARES DE CONVERSACION A CENTROS PUBLICOS DOCENTES NO UNIVERSITARIOS</v>
      </c>
      <c r="J1673" s="3" t="s">
        <v>41</v>
      </c>
      <c r="K1673" s="3" t="s">
        <v>41</v>
      </c>
      <c r="L1673" s="3" t="s">
        <v>42</v>
      </c>
      <c r="M1673" s="3" t="s">
        <v>41</v>
      </c>
    </row>
    <row r="1674" spans="1:13" ht="183.95">
      <c r="A1674" s="22" t="s">
        <v>14</v>
      </c>
      <c r="B1674" s="3" t="s">
        <v>5290</v>
      </c>
      <c r="C1674" s="3" t="s">
        <v>5291</v>
      </c>
      <c r="D1674" s="3" t="s">
        <v>327</v>
      </c>
      <c r="E1674" s="3" t="s">
        <v>46</v>
      </c>
      <c r="F1674" s="3" t="s">
        <v>4582</v>
      </c>
      <c r="G1674" s="3" t="s">
        <v>4610</v>
      </c>
      <c r="H1674" s="3" t="s">
        <v>5292</v>
      </c>
      <c r="I1674" s="3" t="str">
        <f>HYPERLINK("http://www.jccm.es/sede/tramite/IKL","NOMBRAMIENTO DE PERSONAL FUNCIONARIO INTERINO DEL CUERPO TECNICO, ESCALA DE ARCHIVOS, BIBLIOTECAS Y MUSEOS, ESPECIALIDAD DE BIBLIOTECAS.")</f>
        <v>NOMBRAMIENTO DE PERSONAL FUNCIONARIO INTERINO DEL CUERPO TECNICO, ESCALA DE ARCHIVOS, BIBLIOTECAS Y MUSEOS, ESPECIALIDAD DE BIBLIOTECAS.</v>
      </c>
      <c r="J1674" s="3" t="s">
        <v>42</v>
      </c>
      <c r="K1674" s="3" t="s">
        <v>41</v>
      </c>
      <c r="L1674" s="3" t="s">
        <v>42</v>
      </c>
      <c r="M1674" s="3" t="s">
        <v>41</v>
      </c>
    </row>
    <row r="1675" spans="1:13" ht="92.1">
      <c r="A1675" s="22" t="s">
        <v>14</v>
      </c>
      <c r="B1675" s="3" t="s">
        <v>5202</v>
      </c>
      <c r="C1675" s="3" t="s">
        <v>5203</v>
      </c>
      <c r="D1675" s="3" t="s">
        <v>442</v>
      </c>
      <c r="E1675" s="3" t="s">
        <v>46</v>
      </c>
      <c r="F1675" s="3" t="s">
        <v>4582</v>
      </c>
      <c r="G1675" s="3" t="s">
        <v>4591</v>
      </c>
      <c r="H1675" s="3" t="s">
        <v>5204</v>
      </c>
      <c r="I1675" s="3" t="str">
        <f>HYPERLINK("http://www.jccm.es/sede/tramite/KVM","CONVOCATORIA DE GRUPOS DE TRABAJO, SEMINARIOS Y CURSOS DE FORMACION EN CENTROS EDUCATIVOS")</f>
        <v>CONVOCATORIA DE GRUPOS DE TRABAJO, SEMINARIOS Y CURSOS DE FORMACION EN CENTROS EDUCATIVOS</v>
      </c>
      <c r="J1675" s="3" t="s">
        <v>41</v>
      </c>
      <c r="K1675" s="3" t="s">
        <v>41</v>
      </c>
      <c r="L1675" s="3" t="s">
        <v>42</v>
      </c>
      <c r="M1675" s="3" t="s">
        <v>41</v>
      </c>
    </row>
    <row r="1676" spans="1:13" ht="114.95">
      <c r="A1676" s="22" t="s">
        <v>14</v>
      </c>
      <c r="B1676" s="3" t="s">
        <v>5205</v>
      </c>
      <c r="C1676" s="3" t="s">
        <v>5206</v>
      </c>
      <c r="D1676" s="3" t="s">
        <v>51</v>
      </c>
      <c r="E1676" s="3" t="s">
        <v>46</v>
      </c>
      <c r="F1676" s="3" t="s">
        <v>4582</v>
      </c>
      <c r="G1676" s="3" t="s">
        <v>4582</v>
      </c>
      <c r="H1676" s="3" t="s">
        <v>5207</v>
      </c>
      <c r="I1676" s="3" t="str">
        <f>HYPERLINK("http://www.jccm.es/sede/tramite/KWP","ACREDITACION DE NUEVOS DE MERITOS EN BOLSAS PROVINCIALES DEL PROFESORADO DE RELIGION")</f>
        <v>ACREDITACION DE NUEVOS DE MERITOS EN BOLSAS PROVINCIALES DEL PROFESORADO DE RELIGION</v>
      </c>
      <c r="J1676" s="3" t="s">
        <v>41</v>
      </c>
      <c r="K1676" s="3" t="s">
        <v>41</v>
      </c>
      <c r="L1676" s="3" t="s">
        <v>42</v>
      </c>
      <c r="M1676" s="3" t="s">
        <v>41</v>
      </c>
    </row>
    <row r="1677" spans="1:13" ht="276">
      <c r="A1677" s="22" t="s">
        <v>14</v>
      </c>
      <c r="B1677" s="3" t="s">
        <v>5293</v>
      </c>
      <c r="C1677" s="3" t="s">
        <v>5294</v>
      </c>
      <c r="D1677" s="3" t="s">
        <v>1899</v>
      </c>
      <c r="E1677" s="3" t="s">
        <v>95</v>
      </c>
      <c r="F1677" s="3" t="s">
        <v>4582</v>
      </c>
      <c r="G1677" s="3" t="s">
        <v>4668</v>
      </c>
      <c r="H1677" s="3" t="s">
        <v>5277</v>
      </c>
      <c r="I1677" s="3" t="str">
        <f>HYPERLINK("http://www.jccm.es/sede/tramite/L77","COMUNICACION  DE PRESUNTO ACOSO LABORAL EN EL AMBITO EDUCATIVO")</f>
        <v>COMUNICACION  DE PRESUNTO ACOSO LABORAL EN EL AMBITO EDUCATIVO</v>
      </c>
      <c r="J1677" s="3" t="s">
        <v>41</v>
      </c>
      <c r="K1677" s="3" t="s">
        <v>41</v>
      </c>
      <c r="L1677" s="3" t="s">
        <v>42</v>
      </c>
      <c r="M1677" s="3" t="s">
        <v>41</v>
      </c>
    </row>
    <row r="1678" spans="1:13" ht="321.95">
      <c r="A1678" s="22" t="s">
        <v>14</v>
      </c>
      <c r="B1678" s="3" t="s">
        <v>5208</v>
      </c>
      <c r="C1678" s="3" t="s">
        <v>5209</v>
      </c>
      <c r="D1678" s="3" t="s">
        <v>45</v>
      </c>
      <c r="E1678" s="3" t="s">
        <v>46</v>
      </c>
      <c r="F1678" s="3" t="s">
        <v>4582</v>
      </c>
      <c r="G1678" s="3" t="s">
        <v>4587</v>
      </c>
      <c r="H1678" s="3" t="s">
        <v>5210</v>
      </c>
      <c r="I1678" s="3" t="str">
        <f>HYPERLINK("http://www.jccm.es/sede/tramite/L1U","PROCEDIMIENTO DE CONSTITUCION DE LAS COMISIONES DE ELABORACION DE PRUEBAS DE CERTIFICACION DE NIVEL DE COMPETENCIA LINGUISTICA DE ENSEÑANZAS DE IDIOMAS DE REGIMEN ESPECIAL.")</f>
        <v>PROCEDIMIENTO DE CONSTITUCION DE LAS COMISIONES DE ELABORACION DE PRUEBAS DE CERTIFICACION DE NIVEL DE COMPETENCIA LINGUISTICA DE ENSEÑANZAS DE IDIOMAS DE REGIMEN ESPECIAL.</v>
      </c>
      <c r="J1678" s="3" t="s">
        <v>41</v>
      </c>
      <c r="K1678" s="3" t="s">
        <v>41</v>
      </c>
      <c r="L1678" s="3" t="s">
        <v>42</v>
      </c>
      <c r="M1678" s="3" t="s">
        <v>41</v>
      </c>
    </row>
    <row r="1679" spans="1:13" ht="138">
      <c r="A1679" s="22" t="s">
        <v>14</v>
      </c>
      <c r="B1679" s="3" t="s">
        <v>5211</v>
      </c>
      <c r="C1679" s="3" t="s">
        <v>5212</v>
      </c>
      <c r="D1679" s="3" t="s">
        <v>5213</v>
      </c>
      <c r="E1679" s="3" t="s">
        <v>95</v>
      </c>
      <c r="F1679" s="3" t="s">
        <v>4582</v>
      </c>
      <c r="G1679" s="3" t="s">
        <v>4668</v>
      </c>
      <c r="H1679" s="3" t="s">
        <v>5214</v>
      </c>
      <c r="I1679" s="3" t="str">
        <f>HYPERLINK("http://www.jccm.es/sede/tramite/LK2","COMUNICACION DE PRESUNTO ACOSO SEXUAL O POR RAZON DE SEXO AL PERSONAL EN EL  AMBITO EDUCATIVO")</f>
        <v>COMUNICACION DE PRESUNTO ACOSO SEXUAL O POR RAZON DE SEXO AL PERSONAL EN EL  AMBITO EDUCATIVO</v>
      </c>
      <c r="J1679" s="3" t="s">
        <v>42</v>
      </c>
      <c r="K1679" s="3" t="s">
        <v>41</v>
      </c>
      <c r="L1679" s="3" t="s">
        <v>42</v>
      </c>
      <c r="M1679" s="3" t="s">
        <v>41</v>
      </c>
    </row>
    <row r="1680" spans="1:13" ht="264.60000000000002">
      <c r="A1680" s="22" t="s">
        <v>14</v>
      </c>
      <c r="B1680" s="3" t="s">
        <v>5215</v>
      </c>
      <c r="C1680" s="3" t="s">
        <v>5216</v>
      </c>
      <c r="D1680" s="3" t="s">
        <v>51</v>
      </c>
      <c r="E1680" s="3" t="s">
        <v>46</v>
      </c>
      <c r="F1680" s="3" t="s">
        <v>4582</v>
      </c>
      <c r="G1680" s="3" t="s">
        <v>4668</v>
      </c>
      <c r="H1680" s="3" t="s">
        <v>5217</v>
      </c>
      <c r="I1680" s="3" t="str">
        <f>HYPERLINK("http://www.jccm.es/sede/tramite/LLY","PROCESO MOVILIDAD  PARAR LA PROVISION DE PUESTOS DEL PROFESORADO RELIGION EN LOS CENTROS DOCENTES PUBLICOS NO UNIVERSITARIOS DEPENDIENTES DE CASTILLA - LA MANCHA")</f>
        <v>PROCESO MOVILIDAD  PARAR LA PROVISION DE PUESTOS DEL PROFESORADO RELIGION EN LOS CENTROS DOCENTES PUBLICOS NO UNIVERSITARIOS DEPENDIENTES DE CASTILLA - LA MANCHA</v>
      </c>
      <c r="J1680" s="3" t="s">
        <v>41</v>
      </c>
      <c r="K1680" s="3" t="s">
        <v>41</v>
      </c>
      <c r="L1680" s="3" t="s">
        <v>42</v>
      </c>
      <c r="M1680" s="3" t="s">
        <v>41</v>
      </c>
    </row>
    <row r="1681" spans="1:13" ht="276">
      <c r="A1681" s="22" t="s">
        <v>14</v>
      </c>
      <c r="B1681" s="3" t="s">
        <v>5218</v>
      </c>
      <c r="C1681" s="3" t="s">
        <v>5219</v>
      </c>
      <c r="D1681" s="3" t="s">
        <v>45</v>
      </c>
      <c r="E1681" s="3" t="s">
        <v>46</v>
      </c>
      <c r="F1681" s="3" t="s">
        <v>4582</v>
      </c>
      <c r="G1681" s="3" t="s">
        <v>4582</v>
      </c>
      <c r="H1681" s="3" t="s">
        <v>5220</v>
      </c>
      <c r="I1681" s="3" t="str">
        <f>HYPERLINK("http://www.jccm.es/sede/tramite/LNM","LIQUIDACION DE GASTOS POR TRASLADOS, ALOJAMIENTO Y MANUTENCION DEL PROFESORADO DE FP PARTICIPANTE EN ACCIONES FORMATIVAS ORGANIZADAS POR EL CRFP")</f>
        <v>LIQUIDACION DE GASTOS POR TRASLADOS, ALOJAMIENTO Y MANUTENCION DEL PROFESORADO DE FP PARTICIPANTE EN ACCIONES FORMATIVAS ORGANIZADAS POR EL CRFP</v>
      </c>
      <c r="J1681" s="3" t="s">
        <v>42</v>
      </c>
      <c r="K1681" s="3" t="s">
        <v>41</v>
      </c>
      <c r="L1681" s="3" t="s">
        <v>42</v>
      </c>
      <c r="M1681" s="3" t="s">
        <v>41</v>
      </c>
    </row>
    <row r="1682" spans="1:13" ht="218.45">
      <c r="A1682" s="22" t="s">
        <v>14</v>
      </c>
      <c r="B1682" s="3" t="s">
        <v>5221</v>
      </c>
      <c r="C1682" s="3" t="s">
        <v>5222</v>
      </c>
      <c r="D1682" s="3" t="s">
        <v>5223</v>
      </c>
      <c r="E1682" s="3" t="s">
        <v>46</v>
      </c>
      <c r="F1682" s="3" t="s">
        <v>4582</v>
      </c>
      <c r="G1682" s="3" t="s">
        <v>4603</v>
      </c>
      <c r="H1682" s="3" t="s">
        <v>5224</v>
      </c>
      <c r="I1682" s="3" t="str">
        <f>HYPERLINK("http://www.jccm.es/sede/tramite/LTJ","PROVISION DE PUESTOS DE TRABAJO DE PERSONAL FUNCIONARIO POR EL PROCEDIMIENTO DE LIBRE DESIGNACION (LD EDCD F2/2022) EN LA CONSEJERIA DE EDUCACION, CULTURA Y DEPORTES.")</f>
        <v>PROVISION DE PUESTOS DE TRABAJO DE PERSONAL FUNCIONARIO POR EL PROCEDIMIENTO DE LIBRE DESIGNACION (LD EDCD F2/2022) EN LA CONSEJERIA DE EDUCACION, CULTURA Y DEPORTES.</v>
      </c>
      <c r="J1682" s="3" t="s">
        <v>41</v>
      </c>
      <c r="K1682" s="3" t="s">
        <v>41</v>
      </c>
      <c r="L1682" s="3" t="s">
        <v>42</v>
      </c>
      <c r="M1682" s="3" t="s">
        <v>41</v>
      </c>
    </row>
    <row r="1683" spans="1:13" ht="230.1">
      <c r="A1683" s="22" t="s">
        <v>14</v>
      </c>
      <c r="B1683" s="3" t="s">
        <v>5225</v>
      </c>
      <c r="C1683" s="3" t="s">
        <v>5226</v>
      </c>
      <c r="D1683" s="3" t="s">
        <v>45</v>
      </c>
      <c r="E1683" s="3" t="s">
        <v>46</v>
      </c>
      <c r="F1683" s="3" t="s">
        <v>4582</v>
      </c>
      <c r="G1683" s="3" t="s">
        <v>4587</v>
      </c>
      <c r="H1683" s="3" t="s">
        <v>5227</v>
      </c>
      <c r="I1683" s="3" t="str">
        <f>HYPERLINK("http://www.jccm.es/sede/tramite/LYH","SOLICITUD DE ADJUDICACION DE AUXILIARES DE CONVERSACION A CENTROS PUBLICOS DOCENTES NO UNIVERSITARIOS CON PROYECTOS BILINGUES EN CICLOS FORMATIVOS DE FORMACION PROFESIONAL.")</f>
        <v>SOLICITUD DE ADJUDICACION DE AUXILIARES DE CONVERSACION A CENTROS PUBLICOS DOCENTES NO UNIVERSITARIOS CON PROYECTOS BILINGUES EN CICLOS FORMATIVOS DE FORMACION PROFESIONAL.</v>
      </c>
      <c r="J1683" s="3" t="s">
        <v>41</v>
      </c>
      <c r="K1683" s="3" t="s">
        <v>41</v>
      </c>
      <c r="L1683" s="3" t="s">
        <v>42</v>
      </c>
      <c r="M1683" s="3" t="s">
        <v>41</v>
      </c>
    </row>
    <row r="1684" spans="1:13" ht="103.5">
      <c r="A1684" s="22" t="s">
        <v>14</v>
      </c>
      <c r="B1684" s="3" t="s">
        <v>5278</v>
      </c>
      <c r="C1684" s="3" t="s">
        <v>5279</v>
      </c>
      <c r="D1684" s="3" t="s">
        <v>45</v>
      </c>
      <c r="E1684" s="3" t="s">
        <v>46</v>
      </c>
      <c r="F1684" s="3" t="s">
        <v>4582</v>
      </c>
      <c r="G1684" s="3" t="s">
        <v>4610</v>
      </c>
      <c r="H1684" s="3" t="s">
        <v>5280</v>
      </c>
      <c r="I1684" s="3" t="str">
        <f>HYPERLINK("http://www.jccm.es/sede/tramite/JQX","AUTORIZACION DEL CAMBIO DE USO DE LOS BIENES DE INTERES CULTURAL")</f>
        <v>AUTORIZACION DEL CAMBIO DE USO DE LOS BIENES DE INTERES CULTURAL</v>
      </c>
      <c r="J1684" s="3" t="s">
        <v>42</v>
      </c>
      <c r="K1684" s="3" t="s">
        <v>41</v>
      </c>
      <c r="L1684" s="3" t="s">
        <v>42</v>
      </c>
      <c r="M1684" s="3" t="s">
        <v>41</v>
      </c>
    </row>
    <row r="1685" spans="1:13" ht="138">
      <c r="A1685" s="22" t="s">
        <v>14</v>
      </c>
      <c r="B1685" s="3" t="s">
        <v>5281</v>
      </c>
      <c r="C1685" s="3" t="s">
        <v>5282</v>
      </c>
      <c r="D1685" s="3" t="s">
        <v>327</v>
      </c>
      <c r="E1685" s="3" t="s">
        <v>46</v>
      </c>
      <c r="F1685" s="3" t="s">
        <v>4582</v>
      </c>
      <c r="G1685" s="3" t="s">
        <v>4610</v>
      </c>
      <c r="H1685" s="3" t="s">
        <v>5283</v>
      </c>
      <c r="I1685" s="3" t="str">
        <f>HYPERLINK("http://www.jccm.es/sede/tramite/J0G","CONVOCATORIA A LAS PERSONAS FISICAS Y JURIDICAS DEDICADAS A LA ACTIVIDAD EDITORIAL PARA SU INCLUSION EN EL CATALOGO DE OBRAS DE CARACTER DOCUMENTAL DE INTERES PARA C-LM")</f>
        <v>CONVOCATORIA A LAS PERSONAS FISICAS Y JURIDICAS DEDICADAS A LA ACTIVIDAD EDITORIAL PARA SU INCLUSION EN EL CATALOGO DE OBRAS DE CARACTER DOCUMENTAL DE INTERES PARA C-LM</v>
      </c>
      <c r="J1685" s="3" t="s">
        <v>42</v>
      </c>
      <c r="K1685" s="3" t="s">
        <v>41</v>
      </c>
      <c r="L1685" s="3" t="s">
        <v>42</v>
      </c>
      <c r="M1685" s="3" t="s">
        <v>41</v>
      </c>
    </row>
    <row r="1686" spans="1:13" ht="207">
      <c r="A1686" s="22" t="s">
        <v>14</v>
      </c>
      <c r="B1686" s="3" t="s">
        <v>5284</v>
      </c>
      <c r="C1686" s="3" t="s">
        <v>5285</v>
      </c>
      <c r="D1686" s="3" t="s">
        <v>700</v>
      </c>
      <c r="E1686" s="3" t="s">
        <v>46</v>
      </c>
      <c r="F1686" s="3" t="s">
        <v>4582</v>
      </c>
      <c r="G1686" s="3" t="s">
        <v>4591</v>
      </c>
      <c r="H1686" s="3" t="s">
        <v>5286</v>
      </c>
      <c r="I1686" s="3" t="str">
        <f>HYPERLINK("http://www.jccm.es/sede/tramite/L2Z","PARTICIPACION DE LOS CENTROS DOCENTES EN EL PROYECTO FORMACION EN COMPETENCIA  (STEAM) EN PRIMARIA,SECUNDARIA, REGIMEN ESPECIAL Y EDUCACION DE PERSONAS ADULTAS.")</f>
        <v>PARTICIPACION DE LOS CENTROS DOCENTES EN EL PROYECTO FORMACION EN COMPETENCIA  (STEAM) EN PRIMARIA,SECUNDARIA, REGIMEN ESPECIAL Y EDUCACION DE PERSONAS ADULTAS.</v>
      </c>
      <c r="J1686" s="3" t="s">
        <v>41</v>
      </c>
      <c r="K1686" s="3" t="s">
        <v>41</v>
      </c>
      <c r="L1686" s="3" t="s">
        <v>42</v>
      </c>
      <c r="M1686" s="3" t="s">
        <v>41</v>
      </c>
    </row>
    <row r="1687" spans="1:13" ht="80.45">
      <c r="A1687" s="22" t="s">
        <v>16</v>
      </c>
      <c r="B1687" s="3" t="s">
        <v>5295</v>
      </c>
      <c r="C1687" s="3" t="s">
        <v>5296</v>
      </c>
      <c r="D1687" s="3" t="s">
        <v>45</v>
      </c>
      <c r="E1687" s="3" t="s">
        <v>46</v>
      </c>
      <c r="F1687" s="3" t="s">
        <v>5297</v>
      </c>
      <c r="G1687" s="3" t="s">
        <v>5298</v>
      </c>
      <c r="H1687" s="3" t="s">
        <v>5299</v>
      </c>
      <c r="I1687" s="3" t="str">
        <f>HYPERLINK("http://www.jccm.es/sede/tramite/J7B","AUTORIZACION DE ESTABLECIMIENTO DE ESTACIONES DE SERVICIO EN CARRETERAS TITULARIDAD DE LA JUNTA DE COMUNIDADES")</f>
        <v>AUTORIZACION DE ESTABLECIMIENTO DE ESTACIONES DE SERVICIO EN CARRETERAS TITULARIDAD DE LA JUNTA DE COMUNIDADES</v>
      </c>
      <c r="J1687" s="3" t="s">
        <v>42</v>
      </c>
      <c r="K1687" s="3" t="s">
        <v>41</v>
      </c>
      <c r="L1687" s="3" t="s">
        <v>42</v>
      </c>
      <c r="M1687" s="3" t="s">
        <v>42</v>
      </c>
    </row>
    <row r="1688" spans="1:13" ht="161.1">
      <c r="A1688" s="22" t="s">
        <v>16</v>
      </c>
      <c r="B1688" s="3" t="s">
        <v>5300</v>
      </c>
      <c r="C1688" s="3" t="s">
        <v>5301</v>
      </c>
      <c r="D1688" s="3" t="s">
        <v>45</v>
      </c>
      <c r="E1688" s="3" t="s">
        <v>46</v>
      </c>
      <c r="F1688" s="3" t="s">
        <v>5297</v>
      </c>
      <c r="G1688" s="3" t="s">
        <v>5298</v>
      </c>
      <c r="H1688" s="3" t="s">
        <v>5302</v>
      </c>
      <c r="I1688" s="3" t="str">
        <f>HYPERLINK("http://www.jccm.es/sede/tramite/127","AUTORIZACION DE ACCESOS A CARRETERAS O CAMBIO DE USO DE LOS EXISTENTES EN CARRETERAS DE LA JUNTA DE COMUNIDADES")</f>
        <v>AUTORIZACION DE ACCESOS A CARRETERAS O CAMBIO DE USO DE LOS EXISTENTES EN CARRETERAS DE LA JUNTA DE COMUNIDADES</v>
      </c>
      <c r="J1688" s="3" t="s">
        <v>42</v>
      </c>
      <c r="K1688" s="3" t="s">
        <v>41</v>
      </c>
      <c r="L1688" s="3" t="s">
        <v>42</v>
      </c>
      <c r="M1688" s="3" t="s">
        <v>41</v>
      </c>
    </row>
    <row r="1689" spans="1:13" ht="161.1">
      <c r="A1689" s="22" t="s">
        <v>16</v>
      </c>
      <c r="B1689" s="3" t="s">
        <v>5303</v>
      </c>
      <c r="C1689" s="3" t="s">
        <v>5304</v>
      </c>
      <c r="D1689" s="3" t="s">
        <v>45</v>
      </c>
      <c r="E1689" s="3" t="s">
        <v>46</v>
      </c>
      <c r="F1689" s="3" t="s">
        <v>5297</v>
      </c>
      <c r="G1689" s="3" t="s">
        <v>5298</v>
      </c>
      <c r="H1689" s="3" t="s">
        <v>5305</v>
      </c>
      <c r="I1689" s="3" t="str">
        <f>HYPERLINK("http://www.jccm.es/sede/tramite/241","AUTORIZACION DE OBRAS DE CONDUCCION, EN PARALELO O CRUCE, EN CARRETERAS TITULARIDAD DE LA JUNTA DE COMUNIDADES")</f>
        <v>AUTORIZACION DE OBRAS DE CONDUCCION, EN PARALELO O CRUCE, EN CARRETERAS TITULARIDAD DE LA JUNTA DE COMUNIDADES</v>
      </c>
      <c r="J1689" s="3" t="s">
        <v>42</v>
      </c>
      <c r="K1689" s="3" t="s">
        <v>41</v>
      </c>
      <c r="L1689" s="3" t="s">
        <v>42</v>
      </c>
      <c r="M1689" s="3" t="s">
        <v>41</v>
      </c>
    </row>
    <row r="1690" spans="1:13" ht="80.45">
      <c r="A1690" s="22" t="s">
        <v>16</v>
      </c>
      <c r="B1690" s="3" t="s">
        <v>5306</v>
      </c>
      <c r="C1690" s="3" t="s">
        <v>5307</v>
      </c>
      <c r="D1690" s="3" t="s">
        <v>45</v>
      </c>
      <c r="E1690" s="3" t="s">
        <v>46</v>
      </c>
      <c r="F1690" s="3" t="s">
        <v>5297</v>
      </c>
      <c r="G1690" s="3" t="s">
        <v>5298</v>
      </c>
      <c r="H1690" s="3" t="s">
        <v>5308</v>
      </c>
      <c r="I1690" s="3" t="str">
        <f>HYPERLINK("http://www.jccm.es/sede/tramite/J4Z","AUTORIZACION PARA ACTIVIDADES DIVERSAS EN LAS ZONAS DE SERVIDUMBRE Y DE PROTECCION DE LAS CARRETERAS TITULARIDAD DE LA JUNTA DE COMUNIDADES")</f>
        <v>AUTORIZACION PARA ACTIVIDADES DIVERSAS EN LAS ZONAS DE SERVIDUMBRE Y DE PROTECCION DE LAS CARRETERAS TITULARIDAD DE LA JUNTA DE COMUNIDADES</v>
      </c>
      <c r="J1690" s="3" t="s">
        <v>41</v>
      </c>
      <c r="K1690" s="3" t="s">
        <v>41</v>
      </c>
      <c r="L1690" s="3" t="s">
        <v>42</v>
      </c>
      <c r="M1690" s="3" t="s">
        <v>41</v>
      </c>
    </row>
    <row r="1691" spans="1:13" ht="80.45">
      <c r="A1691" s="22" t="s">
        <v>16</v>
      </c>
      <c r="B1691" s="3" t="s">
        <v>5309</v>
      </c>
      <c r="C1691" s="3" t="s">
        <v>5310</v>
      </c>
      <c r="D1691" s="3" t="s">
        <v>45</v>
      </c>
      <c r="E1691" s="3" t="s">
        <v>46</v>
      </c>
      <c r="F1691" s="3" t="s">
        <v>5297</v>
      </c>
      <c r="G1691" s="3" t="s">
        <v>5298</v>
      </c>
      <c r="H1691" s="3" t="s">
        <v>5311</v>
      </c>
      <c r="I1691" s="3" t="str">
        <f>HYPERLINK("http://www.jccm.es/sede/tramite/IIX","AUTORIZACION PARA LA INSTALACION DE CARTELES INFORMATIVOS (SIN PUBLICIDAD)")</f>
        <v>AUTORIZACION PARA LA INSTALACION DE CARTELES INFORMATIVOS (SIN PUBLICIDAD)</v>
      </c>
      <c r="J1691" s="3" t="s">
        <v>42</v>
      </c>
      <c r="K1691" s="3" t="s">
        <v>41</v>
      </c>
      <c r="L1691" s="3" t="s">
        <v>42</v>
      </c>
      <c r="M1691" s="3" t="s">
        <v>41</v>
      </c>
    </row>
    <row r="1692" spans="1:13" ht="69">
      <c r="A1692" s="22" t="s">
        <v>16</v>
      </c>
      <c r="B1692" s="3" t="s">
        <v>5312</v>
      </c>
      <c r="C1692" s="3" t="s">
        <v>5313</v>
      </c>
      <c r="D1692" s="3" t="s">
        <v>45</v>
      </c>
      <c r="E1692" s="3" t="s">
        <v>37</v>
      </c>
      <c r="F1692" s="3" t="s">
        <v>5297</v>
      </c>
      <c r="G1692" s="3" t="s">
        <v>5314</v>
      </c>
      <c r="H1692" s="3" t="s">
        <v>5315</v>
      </c>
      <c r="I1692" s="3" t="str">
        <f>HYPERLINK("http://www.jccm.es/sede/tramite/JQC","AUTORIZACION DE VENTA DE VIVIENDAS PROTEGIDAS")</f>
        <v>AUTORIZACION DE VENTA DE VIVIENDAS PROTEGIDAS</v>
      </c>
      <c r="J1692" s="3" t="s">
        <v>42</v>
      </c>
      <c r="K1692" s="3" t="s">
        <v>41</v>
      </c>
      <c r="L1692" s="3" t="s">
        <v>42</v>
      </c>
      <c r="M1692" s="3" t="s">
        <v>41</v>
      </c>
    </row>
    <row r="1693" spans="1:13" ht="69">
      <c r="A1693" s="22" t="s">
        <v>16</v>
      </c>
      <c r="B1693" s="3" t="s">
        <v>5316</v>
      </c>
      <c r="C1693" s="3" t="s">
        <v>5317</v>
      </c>
      <c r="D1693" s="3" t="s">
        <v>45</v>
      </c>
      <c r="E1693" s="3" t="s">
        <v>37</v>
      </c>
      <c r="F1693" s="3" t="s">
        <v>5297</v>
      </c>
      <c r="G1693" s="3" t="s">
        <v>5314</v>
      </c>
      <c r="H1693" s="3" t="s">
        <v>5318</v>
      </c>
      <c r="I1693" s="3" t="str">
        <f>HYPERLINK("http://www.jccm.es/sede/tramite/JQE","AUTORIZACION  PERCIBO DE CANTIDADES A CUENTA")</f>
        <v>AUTORIZACION  PERCIBO DE CANTIDADES A CUENTA</v>
      </c>
      <c r="J1693" s="3" t="s">
        <v>42</v>
      </c>
      <c r="K1693" s="3" t="s">
        <v>41</v>
      </c>
      <c r="L1693" s="3" t="s">
        <v>42</v>
      </c>
      <c r="M1693" s="3" t="s">
        <v>41</v>
      </c>
    </row>
    <row r="1694" spans="1:13" ht="126.6">
      <c r="A1694" s="22" t="s">
        <v>16</v>
      </c>
      <c r="B1694" s="3" t="s">
        <v>5319</v>
      </c>
      <c r="C1694" s="3" t="s">
        <v>5320</v>
      </c>
      <c r="D1694" s="3" t="s">
        <v>45</v>
      </c>
      <c r="E1694" s="3" t="s">
        <v>37</v>
      </c>
      <c r="F1694" s="3" t="s">
        <v>5297</v>
      </c>
      <c r="G1694" s="3" t="s">
        <v>5321</v>
      </c>
      <c r="H1694" s="3" t="s">
        <v>5322</v>
      </c>
      <c r="I1694" s="3" t="str">
        <f>HYPERLINK("http://www.jccm.es/sede/tramite/059","AUTORIZACION DE TRANSMISION DE CONCESION DE SERVICIO PUBLICO REGULAR DE TRANSPORTE DE VIAJEROS")</f>
        <v>AUTORIZACION DE TRANSMISION DE CONCESION DE SERVICIO PUBLICO REGULAR DE TRANSPORTE DE VIAJEROS</v>
      </c>
      <c r="J1694" s="3" t="s">
        <v>41</v>
      </c>
      <c r="K1694" s="3" t="s">
        <v>41</v>
      </c>
      <c r="L1694" s="3" t="s">
        <v>42</v>
      </c>
      <c r="M1694" s="3" t="s">
        <v>41</v>
      </c>
    </row>
    <row r="1695" spans="1:13" ht="103.5">
      <c r="A1695" s="22" t="s">
        <v>16</v>
      </c>
      <c r="B1695" s="3" t="s">
        <v>5323</v>
      </c>
      <c r="C1695" s="3" t="s">
        <v>5324</v>
      </c>
      <c r="D1695" s="3" t="s">
        <v>556</v>
      </c>
      <c r="E1695" s="3" t="s">
        <v>46</v>
      </c>
      <c r="F1695" s="3" t="s">
        <v>5297</v>
      </c>
      <c r="G1695" s="3" t="s">
        <v>5321</v>
      </c>
      <c r="H1695" s="3" t="s">
        <v>5325</v>
      </c>
      <c r="I1695" s="3" t="str">
        <f>HYPERLINK("http://www.jccm.es/sede/tramite/128","AUTORIZACION DE TRANSPORTE PUBLICO DISCRECIONAL DE VIAJEROS EN AUTOBUS (VD)")</f>
        <v>AUTORIZACION DE TRANSPORTE PUBLICO DISCRECIONAL DE VIAJEROS EN AUTOBUS (VD)</v>
      </c>
      <c r="J1695" s="3" t="s">
        <v>41</v>
      </c>
      <c r="K1695" s="3" t="s">
        <v>41</v>
      </c>
      <c r="L1695" s="3" t="s">
        <v>42</v>
      </c>
      <c r="M1695" s="3" t="s">
        <v>42</v>
      </c>
    </row>
    <row r="1696" spans="1:13" ht="172.5">
      <c r="A1696" s="22" t="s">
        <v>16</v>
      </c>
      <c r="B1696" s="3" t="s">
        <v>5326</v>
      </c>
      <c r="C1696" s="3" t="s">
        <v>5327</v>
      </c>
      <c r="D1696" s="3" t="s">
        <v>45</v>
      </c>
      <c r="E1696" s="3" t="s">
        <v>46</v>
      </c>
      <c r="F1696" s="3" t="s">
        <v>5297</v>
      </c>
      <c r="G1696" s="3" t="s">
        <v>5298</v>
      </c>
      <c r="H1696" s="3" t="s">
        <v>5328</v>
      </c>
      <c r="I1696" s="3" t="str">
        <f>HYPERLINK("http://www.jccm.es/sede/tramite/213","AUTORIZACION DE INSTALACION DE LINEAS AEREAS ELECTRICAS Y TELEFONICAS QUE AFECTEN A CARRETERAS DE LA JUNTA DE COMUNIDADES")</f>
        <v>AUTORIZACION DE INSTALACION DE LINEAS AEREAS ELECTRICAS Y TELEFONICAS QUE AFECTEN A CARRETERAS DE LA JUNTA DE COMUNIDADES</v>
      </c>
      <c r="J1696" s="3" t="s">
        <v>42</v>
      </c>
      <c r="K1696" s="3" t="s">
        <v>41</v>
      </c>
      <c r="L1696" s="3" t="s">
        <v>42</v>
      </c>
      <c r="M1696" s="3" t="s">
        <v>41</v>
      </c>
    </row>
    <row r="1697" spans="1:13" ht="114.95">
      <c r="A1697" s="22" t="s">
        <v>16</v>
      </c>
      <c r="B1697" s="3" t="s">
        <v>5329</v>
      </c>
      <c r="C1697" s="3" t="s">
        <v>5330</v>
      </c>
      <c r="D1697" s="3" t="s">
        <v>556</v>
      </c>
      <c r="E1697" s="3" t="s">
        <v>46</v>
      </c>
      <c r="F1697" s="3" t="s">
        <v>5297</v>
      </c>
      <c r="G1697" s="3" t="s">
        <v>5321</v>
      </c>
      <c r="H1697" s="3" t="s">
        <v>5331</v>
      </c>
      <c r="I1697" s="3" t="str">
        <f>HYPERLINK("http://www.jccm.es/sede/tramite/271","AUTORIZACION DE TRANSPORTE REGULAR DE USO ESPECIAL (TRANSPORTE DE TRABAJADORES)")</f>
        <v>AUTORIZACION DE TRANSPORTE REGULAR DE USO ESPECIAL (TRANSPORTE DE TRABAJADORES)</v>
      </c>
      <c r="J1697" s="3" t="s">
        <v>41</v>
      </c>
      <c r="K1697" s="3" t="s">
        <v>41</v>
      </c>
      <c r="L1697" s="3" t="s">
        <v>42</v>
      </c>
      <c r="M1697" s="3" t="s">
        <v>41</v>
      </c>
    </row>
    <row r="1698" spans="1:13" ht="92.1">
      <c r="A1698" s="22" t="s">
        <v>16</v>
      </c>
      <c r="B1698" s="3" t="s">
        <v>5332</v>
      </c>
      <c r="C1698" s="3" t="s">
        <v>5333</v>
      </c>
      <c r="D1698" s="3" t="s">
        <v>556</v>
      </c>
      <c r="E1698" s="3" t="s">
        <v>46</v>
      </c>
      <c r="F1698" s="3" t="s">
        <v>5297</v>
      </c>
      <c r="G1698" s="3" t="s">
        <v>5321</v>
      </c>
      <c r="H1698" s="3" t="s">
        <v>5334</v>
      </c>
      <c r="I1698" s="3" t="str">
        <f>HYPERLINK("http://www.jccm.es/sede/tramite/272","AUTORIZACION DE TRANSPORTE ESCOLAR")</f>
        <v>AUTORIZACION DE TRANSPORTE ESCOLAR</v>
      </c>
      <c r="J1698" s="3" t="s">
        <v>41</v>
      </c>
      <c r="K1698" s="3" t="s">
        <v>41</v>
      </c>
      <c r="L1698" s="3" t="s">
        <v>42</v>
      </c>
      <c r="M1698" s="3" t="s">
        <v>41</v>
      </c>
    </row>
    <row r="1699" spans="1:13" ht="103.5">
      <c r="A1699" s="22" t="s">
        <v>16</v>
      </c>
      <c r="B1699" s="3" t="s">
        <v>5335</v>
      </c>
      <c r="C1699" s="3" t="s">
        <v>5336</v>
      </c>
      <c r="D1699" s="3" t="s">
        <v>556</v>
      </c>
      <c r="E1699" s="3" t="s">
        <v>46</v>
      </c>
      <c r="F1699" s="3" t="s">
        <v>5297</v>
      </c>
      <c r="G1699" s="3" t="s">
        <v>5321</v>
      </c>
      <c r="H1699" s="3" t="s">
        <v>5337</v>
      </c>
      <c r="I1699" s="3" t="str">
        <f>HYPERLINK("http://www.jccm.es/sede/tramite/273","AUTORIZACIONES DE TRANSPORTE SANITARIO PUBLICO (VS) Y PRIVADO COMPLEMENTARIO (VSPC)")</f>
        <v>AUTORIZACIONES DE TRANSPORTE SANITARIO PUBLICO (VS) Y PRIVADO COMPLEMENTARIO (VSPC)</v>
      </c>
      <c r="J1699" s="3" t="s">
        <v>41</v>
      </c>
      <c r="K1699" s="3" t="s">
        <v>41</v>
      </c>
      <c r="L1699" s="3" t="s">
        <v>42</v>
      </c>
      <c r="M1699" s="3" t="s">
        <v>41</v>
      </c>
    </row>
    <row r="1700" spans="1:13" ht="92.1">
      <c r="A1700" s="22" t="s">
        <v>16</v>
      </c>
      <c r="B1700" s="3" t="s">
        <v>5338</v>
      </c>
      <c r="C1700" s="3" t="s">
        <v>5339</v>
      </c>
      <c r="D1700" s="3" t="s">
        <v>556</v>
      </c>
      <c r="E1700" s="3" t="s">
        <v>46</v>
      </c>
      <c r="F1700" s="3" t="s">
        <v>5297</v>
      </c>
      <c r="G1700" s="3" t="s">
        <v>5321</v>
      </c>
      <c r="H1700" s="3" t="s">
        <v>5340</v>
      </c>
      <c r="I1700" s="3" t="str">
        <f>HYPERLINK("http://www.jccm.es/sede/tramite/I5C","AUTORIZACION DE TRANSPORTE PRIVADO DE MERCANCIAS (MPC)")</f>
        <v>AUTORIZACION DE TRANSPORTE PRIVADO DE MERCANCIAS (MPC)</v>
      </c>
      <c r="J1700" s="3" t="s">
        <v>41</v>
      </c>
      <c r="K1700" s="3" t="s">
        <v>41</v>
      </c>
      <c r="L1700" s="3" t="s">
        <v>42</v>
      </c>
      <c r="M1700" s="3" t="s">
        <v>42</v>
      </c>
    </row>
    <row r="1701" spans="1:13" ht="92.1">
      <c r="A1701" s="22" t="s">
        <v>16</v>
      </c>
      <c r="B1701" s="3" t="s">
        <v>5341</v>
      </c>
      <c r="C1701" s="3" t="s">
        <v>5342</v>
      </c>
      <c r="D1701" s="3" t="s">
        <v>556</v>
      </c>
      <c r="E1701" s="3" t="s">
        <v>46</v>
      </c>
      <c r="F1701" s="3" t="s">
        <v>5297</v>
      </c>
      <c r="G1701" s="3" t="s">
        <v>5321</v>
      </c>
      <c r="H1701" s="3" t="s">
        <v>5343</v>
      </c>
      <c r="I1701" s="3" t="str">
        <f>HYPERLINK("http://www.jccm.es/sede/tramite/I5D","AUTORIZACION DE TRANSPORTE PUBLICO DE MERCANCIAS (MDP Y MDL)")</f>
        <v>AUTORIZACION DE TRANSPORTE PUBLICO DE MERCANCIAS (MDP Y MDL)</v>
      </c>
      <c r="J1701" s="3" t="s">
        <v>41</v>
      </c>
      <c r="K1701" s="3" t="s">
        <v>41</v>
      </c>
      <c r="L1701" s="3" t="s">
        <v>42</v>
      </c>
      <c r="M1701" s="3" t="s">
        <v>42</v>
      </c>
    </row>
    <row r="1702" spans="1:13" ht="92.1">
      <c r="A1702" s="22" t="s">
        <v>16</v>
      </c>
      <c r="B1702" s="3" t="s">
        <v>5344</v>
      </c>
      <c r="C1702" s="3" t="s">
        <v>5345</v>
      </c>
      <c r="D1702" s="3" t="s">
        <v>556</v>
      </c>
      <c r="E1702" s="3" t="s">
        <v>46</v>
      </c>
      <c r="F1702" s="3" t="s">
        <v>5297</v>
      </c>
      <c r="G1702" s="3" t="s">
        <v>5321</v>
      </c>
      <c r="H1702" s="3" t="s">
        <v>5346</v>
      </c>
      <c r="I1702" s="3" t="str">
        <f>HYPERLINK("http://www.jccm.es/sede/tramite/I5G","AUTORIZACION DE ARRENDAMIENTO DE VEHICULOS CON CONDUCTOR (VTC)")</f>
        <v>AUTORIZACION DE ARRENDAMIENTO DE VEHICULOS CON CONDUCTOR (VTC)</v>
      </c>
      <c r="J1702" s="3" t="s">
        <v>41</v>
      </c>
      <c r="K1702" s="3" t="s">
        <v>41</v>
      </c>
      <c r="L1702" s="3" t="s">
        <v>42</v>
      </c>
      <c r="M1702" s="3" t="s">
        <v>41</v>
      </c>
    </row>
    <row r="1703" spans="1:13" ht="92.1">
      <c r="A1703" s="22" t="s">
        <v>16</v>
      </c>
      <c r="B1703" s="3" t="s">
        <v>5347</v>
      </c>
      <c r="C1703" s="3" t="s">
        <v>5348</v>
      </c>
      <c r="D1703" s="3" t="s">
        <v>556</v>
      </c>
      <c r="E1703" s="3" t="s">
        <v>46</v>
      </c>
      <c r="F1703" s="3" t="s">
        <v>5297</v>
      </c>
      <c r="G1703" s="3" t="s">
        <v>5321</v>
      </c>
      <c r="H1703" s="3" t="s">
        <v>5349</v>
      </c>
      <c r="I1703" s="3" t="str">
        <f>HYPERLINK("http://www.jccm.es/sede/tramite/I5H","AUTORIZACION DE TRANSPORTE PRIVADO DE VIAJEROS (VPC)")</f>
        <v>AUTORIZACION DE TRANSPORTE PRIVADO DE VIAJEROS (VPC)</v>
      </c>
      <c r="J1703" s="3" t="s">
        <v>41</v>
      </c>
      <c r="K1703" s="3" t="s">
        <v>41</v>
      </c>
      <c r="L1703" s="3" t="s">
        <v>42</v>
      </c>
      <c r="M1703" s="3" t="s">
        <v>42</v>
      </c>
    </row>
    <row r="1704" spans="1:13" ht="103.5">
      <c r="A1704" s="22" t="s">
        <v>16</v>
      </c>
      <c r="B1704" s="3" t="s">
        <v>5350</v>
      </c>
      <c r="C1704" s="3" t="s">
        <v>5351</v>
      </c>
      <c r="D1704" s="3" t="s">
        <v>45</v>
      </c>
      <c r="E1704" s="3" t="s">
        <v>46</v>
      </c>
      <c r="F1704" s="3" t="s">
        <v>5297</v>
      </c>
      <c r="G1704" s="3" t="s">
        <v>5298</v>
      </c>
      <c r="H1704" s="3" t="s">
        <v>5352</v>
      </c>
      <c r="I1704" s="3" t="str">
        <f>HYPERLINK("http://www.jccm.es/sede/tramite/J4X","AUTORIZACION DE CERRAMIENTOS PROXIMOS A CARRETERAS DE LA JUNTA DE COMUNIDADES")</f>
        <v>AUTORIZACION DE CERRAMIENTOS PROXIMOS A CARRETERAS DE LA JUNTA DE COMUNIDADES</v>
      </c>
      <c r="J1704" s="3" t="s">
        <v>42</v>
      </c>
      <c r="K1704" s="3" t="s">
        <v>41</v>
      </c>
      <c r="L1704" s="3" t="s">
        <v>42</v>
      </c>
      <c r="M1704" s="3" t="s">
        <v>41</v>
      </c>
    </row>
    <row r="1705" spans="1:13" ht="161.1">
      <c r="A1705" s="22" t="s">
        <v>16</v>
      </c>
      <c r="B1705" s="3" t="s">
        <v>5353</v>
      </c>
      <c r="C1705" s="3" t="s">
        <v>5354</v>
      </c>
      <c r="D1705" s="3" t="s">
        <v>45</v>
      </c>
      <c r="E1705" s="3" t="s">
        <v>37</v>
      </c>
      <c r="F1705" s="3" t="s">
        <v>5297</v>
      </c>
      <c r="G1705" s="3" t="s">
        <v>5314</v>
      </c>
      <c r="H1705" s="3" t="s">
        <v>5355</v>
      </c>
      <c r="I1705" s="3" t="str">
        <f>HYPERLINK("http://www.jccm.es/sede/tramite/J7I","INSCRIPCION LABORATORIOS DE ENSAYOS PARA EL CONTROL DE LA CALIDAD DE LA EDIFICACION DECLARADOS EN CASTILLA- LA MANCHA")</f>
        <v>INSCRIPCION LABORATORIOS DE ENSAYOS PARA EL CONTROL DE LA CALIDAD DE LA EDIFICACION DECLARADOS EN CASTILLA- LA MANCHA</v>
      </c>
      <c r="J1705" s="3" t="s">
        <v>42</v>
      </c>
      <c r="K1705" s="3" t="s">
        <v>41</v>
      </c>
      <c r="L1705" s="3" t="s">
        <v>42</v>
      </c>
      <c r="M1705" s="3" t="s">
        <v>41</v>
      </c>
    </row>
    <row r="1706" spans="1:13" ht="207">
      <c r="A1706" s="22" t="s">
        <v>16</v>
      </c>
      <c r="B1706" s="3" t="s">
        <v>5356</v>
      </c>
      <c r="C1706" s="3" t="s">
        <v>5357</v>
      </c>
      <c r="D1706" s="3" t="s">
        <v>5358</v>
      </c>
      <c r="E1706" s="3" t="s">
        <v>46</v>
      </c>
      <c r="F1706" s="3" t="s">
        <v>5297</v>
      </c>
      <c r="G1706" s="3" t="s">
        <v>5359</v>
      </c>
      <c r="H1706" s="3" t="s">
        <v>5360</v>
      </c>
      <c r="I1706" s="3" t="str">
        <f>HYPERLINK("http://www.jccm.es/sede/tramite/J7P","AUTORIZACION DE USO DE BIENES DE TITULARIDAD DE LA JUNTA DE COMUNIDADES DE CASTILLA-LA MANCHA ADSCRITOS A LA CONSEJERIA DE FOMENTO.")</f>
        <v>AUTORIZACION DE USO DE BIENES DE TITULARIDAD DE LA JUNTA DE COMUNIDADES DE CASTILLA-LA MANCHA ADSCRITOS A LA CONSEJERIA DE FOMENTO.</v>
      </c>
      <c r="J1706" s="3" t="s">
        <v>42</v>
      </c>
      <c r="K1706" s="3" t="s">
        <v>41</v>
      </c>
      <c r="L1706" s="3" t="s">
        <v>42</v>
      </c>
      <c r="M1706" s="3" t="s">
        <v>41</v>
      </c>
    </row>
    <row r="1707" spans="1:13" ht="92.1">
      <c r="A1707" s="22" t="s">
        <v>16</v>
      </c>
      <c r="B1707" s="3" t="s">
        <v>5361</v>
      </c>
      <c r="C1707" s="3" t="s">
        <v>5362</v>
      </c>
      <c r="D1707" s="3" t="s">
        <v>70</v>
      </c>
      <c r="E1707" s="3" t="s">
        <v>46</v>
      </c>
      <c r="F1707" s="3" t="s">
        <v>5297</v>
      </c>
      <c r="G1707" s="3" t="s">
        <v>5321</v>
      </c>
      <c r="H1707" s="3" t="s">
        <v>5363</v>
      </c>
      <c r="I1707" s="3" t="str">
        <f>HYPERLINK("http://www.jccm.es/sede/tramite/JAH","AUTORIZACION DE CENTROS DE FORMACION DE CONDUCTORES.")</f>
        <v>AUTORIZACION DE CENTROS DE FORMACION DE CONDUCTORES.</v>
      </c>
      <c r="J1707" s="3" t="s">
        <v>41</v>
      </c>
      <c r="K1707" s="3" t="s">
        <v>41</v>
      </c>
      <c r="L1707" s="3" t="s">
        <v>42</v>
      </c>
      <c r="M1707" s="3" t="s">
        <v>42</v>
      </c>
    </row>
    <row r="1708" spans="1:13" ht="92.1">
      <c r="A1708" s="22" t="s">
        <v>16</v>
      </c>
      <c r="B1708" s="3" t="s">
        <v>5364</v>
      </c>
      <c r="C1708" s="3" t="s">
        <v>5365</v>
      </c>
      <c r="D1708" s="3" t="s">
        <v>556</v>
      </c>
      <c r="E1708" s="3" t="s">
        <v>46</v>
      </c>
      <c r="F1708" s="3" t="s">
        <v>5297</v>
      </c>
      <c r="G1708" s="3" t="s">
        <v>5321</v>
      </c>
      <c r="H1708" s="3" t="s">
        <v>5366</v>
      </c>
      <c r="I1708" s="3" t="str">
        <f>HYPERLINK("http://www.jccm.es/sede/tramite/JAI","AUTORIZACION DE OPERADOR DE TRANSPORTE DE MERCANCIAS (OT)")</f>
        <v>AUTORIZACION DE OPERADOR DE TRANSPORTE DE MERCANCIAS (OT)</v>
      </c>
      <c r="J1708" s="3" t="s">
        <v>41</v>
      </c>
      <c r="K1708" s="3" t="s">
        <v>41</v>
      </c>
      <c r="L1708" s="3" t="s">
        <v>42</v>
      </c>
      <c r="M1708" s="3" t="s">
        <v>42</v>
      </c>
    </row>
    <row r="1709" spans="1:13" ht="103.5">
      <c r="A1709" s="22" t="s">
        <v>16</v>
      </c>
      <c r="B1709" s="3" t="s">
        <v>5367</v>
      </c>
      <c r="C1709" s="3" t="s">
        <v>5368</v>
      </c>
      <c r="D1709" s="3" t="s">
        <v>45</v>
      </c>
      <c r="E1709" s="3" t="s">
        <v>46</v>
      </c>
      <c r="F1709" s="3" t="s">
        <v>5297</v>
      </c>
      <c r="G1709" s="3" t="s">
        <v>5298</v>
      </c>
      <c r="H1709" s="3" t="s">
        <v>5369</v>
      </c>
      <c r="I1709" s="3" t="str">
        <f>HYPERLINK("http://www.jccm.es/sede/tramite/JKW","AUTORIZACION DE EDIFICACIONES PROXIMAS A CARRETERAS DE LA RED AUTONOMICA")</f>
        <v>AUTORIZACION DE EDIFICACIONES PROXIMAS A CARRETERAS DE LA RED AUTONOMICA</v>
      </c>
      <c r="J1709" s="3" t="s">
        <v>42</v>
      </c>
      <c r="K1709" s="3" t="s">
        <v>41</v>
      </c>
      <c r="L1709" s="3" t="s">
        <v>42</v>
      </c>
      <c r="M1709" s="3" t="s">
        <v>41</v>
      </c>
    </row>
    <row r="1710" spans="1:13" ht="149.44999999999999">
      <c r="A1710" s="22" t="s">
        <v>16</v>
      </c>
      <c r="B1710" s="3" t="s">
        <v>5370</v>
      </c>
      <c r="C1710" s="3" t="s">
        <v>5371</v>
      </c>
      <c r="D1710" s="3" t="s">
        <v>45</v>
      </c>
      <c r="E1710" s="3" t="s">
        <v>37</v>
      </c>
      <c r="F1710" s="3" t="s">
        <v>5297</v>
      </c>
      <c r="G1710" s="3" t="s">
        <v>5314</v>
      </c>
      <c r="H1710" s="3" t="s">
        <v>5372</v>
      </c>
      <c r="I1710" s="3" t="str">
        <f>HYPERLINK("http://www.jccm.es/sede/tramite/JO2","INSCRIPCION DE ENTIDADES DE CONTROL DE LA CALIDAD DE LA EDIFICACION DECLARADAS EN CASTILLA- LA MANCHA")</f>
        <v>INSCRIPCION DE ENTIDADES DE CONTROL DE LA CALIDAD DE LA EDIFICACION DECLARADAS EN CASTILLA- LA MANCHA</v>
      </c>
      <c r="J1710" s="3" t="s">
        <v>42</v>
      </c>
      <c r="K1710" s="3" t="s">
        <v>41</v>
      </c>
      <c r="L1710" s="3" t="s">
        <v>42</v>
      </c>
      <c r="M1710" s="3" t="s">
        <v>41</v>
      </c>
    </row>
    <row r="1711" spans="1:13" ht="69">
      <c r="A1711" s="22" t="s">
        <v>16</v>
      </c>
      <c r="B1711" s="3" t="s">
        <v>5373</v>
      </c>
      <c r="C1711" s="3" t="s">
        <v>5374</v>
      </c>
      <c r="D1711" s="3" t="s">
        <v>45</v>
      </c>
      <c r="E1711" s="3" t="s">
        <v>37</v>
      </c>
      <c r="F1711" s="3" t="s">
        <v>5297</v>
      </c>
      <c r="G1711" s="3" t="s">
        <v>5314</v>
      </c>
      <c r="H1711" s="3" t="s">
        <v>5375</v>
      </c>
      <c r="I1711" s="3" t="str">
        <f>HYPERLINK("http://www.jccm.es/sede/tramite/JQP","APORTACION DE GANANCIALES DE VIVIENDA DE PROTECCION PUBLICA")</f>
        <v>APORTACION DE GANANCIALES DE VIVIENDA DE PROTECCION PUBLICA</v>
      </c>
      <c r="J1711" s="3" t="s">
        <v>42</v>
      </c>
      <c r="K1711" s="3" t="s">
        <v>41</v>
      </c>
      <c r="L1711" s="3" t="s">
        <v>42</v>
      </c>
      <c r="M1711" s="3" t="s">
        <v>41</v>
      </c>
    </row>
    <row r="1712" spans="1:13" ht="80.45">
      <c r="A1712" s="22" t="s">
        <v>16</v>
      </c>
      <c r="B1712" s="3" t="s">
        <v>5376</v>
      </c>
      <c r="C1712" s="3" t="s">
        <v>5377</v>
      </c>
      <c r="D1712" s="3" t="s">
        <v>45</v>
      </c>
      <c r="E1712" s="3" t="s">
        <v>37</v>
      </c>
      <c r="F1712" s="3" t="s">
        <v>5297</v>
      </c>
      <c r="G1712" s="3" t="s">
        <v>5314</v>
      </c>
      <c r="H1712" s="3" t="s">
        <v>5378</v>
      </c>
      <c r="I1712" s="3" t="str">
        <f>HYPERLINK("http://www.jccm.es/sede/tramite/JQQ","AUTORIZAR LA EXTINCION DEL CONDOMINIO DE UNA VIVIENDA PROTEGIDA.")</f>
        <v>AUTORIZAR LA EXTINCION DEL CONDOMINIO DE UNA VIVIENDA PROTEGIDA.</v>
      </c>
      <c r="J1712" s="3" t="s">
        <v>42</v>
      </c>
      <c r="K1712" s="3" t="s">
        <v>41</v>
      </c>
      <c r="L1712" s="3" t="s">
        <v>42</v>
      </c>
      <c r="M1712" s="3" t="s">
        <v>41</v>
      </c>
    </row>
    <row r="1713" spans="1:13" ht="195.6">
      <c r="A1713" s="22" t="s">
        <v>16</v>
      </c>
      <c r="B1713" s="3" t="s">
        <v>5379</v>
      </c>
      <c r="C1713" s="3" t="s">
        <v>5380</v>
      </c>
      <c r="D1713" s="3" t="s">
        <v>45</v>
      </c>
      <c r="E1713" s="3" t="s">
        <v>37</v>
      </c>
      <c r="F1713" s="3" t="s">
        <v>5297</v>
      </c>
      <c r="G1713" s="3" t="s">
        <v>5314</v>
      </c>
      <c r="H1713" s="3" t="s">
        <v>5381</v>
      </c>
      <c r="I1713" s="3" t="str">
        <f>HYPERLINK("http://www.jccm.es/sede/tramite/JXI","SUBROGACION POR FALLECIMIENTO DEL TITULAR O SUPUESTOS DE NULIDAD, SEPARACION O DIVORCIO, DE VIVIENDA DE PROMOCION PUBLICA ARRENDADA EN FAVOR DE CIERTOS FAMILIARES.")</f>
        <v>SUBROGACION POR FALLECIMIENTO DEL TITULAR O SUPUESTOS DE NULIDAD, SEPARACION O DIVORCIO, DE VIVIENDA DE PROMOCION PUBLICA ARRENDADA EN FAVOR DE CIERTOS FAMILIARES.</v>
      </c>
      <c r="J1713" s="3" t="s">
        <v>42</v>
      </c>
      <c r="K1713" s="3" t="s">
        <v>41</v>
      </c>
      <c r="L1713" s="3" t="s">
        <v>42</v>
      </c>
      <c r="M1713" s="3" t="s">
        <v>41</v>
      </c>
    </row>
    <row r="1714" spans="1:13" ht="183.95">
      <c r="A1714" s="22" t="s">
        <v>16</v>
      </c>
      <c r="B1714" s="3" t="s">
        <v>5382</v>
      </c>
      <c r="C1714" s="3" t="s">
        <v>5383</v>
      </c>
      <c r="D1714" s="3" t="s">
        <v>45</v>
      </c>
      <c r="E1714" s="3" t="s">
        <v>46</v>
      </c>
      <c r="F1714" s="3" t="s">
        <v>5297</v>
      </c>
      <c r="G1714" s="3" t="s">
        <v>5314</v>
      </c>
      <c r="H1714" s="3" t="s">
        <v>5384</v>
      </c>
      <c r="I1714" s="3" t="str">
        <f>HYPERLINK("http://www.jccm.es/sede/tramite/JXJ","AUTORIZACION PARA POSTERIORES TRANSMISIONES DE SUELO, ORIGINALMENTE PROPIEDAD DE LA JUNTA DE COMUNIDADES DE CASTILLA-LA MANCHA")</f>
        <v>AUTORIZACION PARA POSTERIORES TRANSMISIONES DE SUELO, ORIGINALMENTE PROPIEDAD DE LA JUNTA DE COMUNIDADES DE CASTILLA-LA MANCHA</v>
      </c>
      <c r="J1714" s="3" t="s">
        <v>42</v>
      </c>
      <c r="K1714" s="3" t="s">
        <v>41</v>
      </c>
      <c r="L1714" s="3" t="s">
        <v>42</v>
      </c>
      <c r="M1714" s="3" t="s">
        <v>41</v>
      </c>
    </row>
    <row r="1715" spans="1:13" ht="207">
      <c r="A1715" s="22" t="s">
        <v>16</v>
      </c>
      <c r="B1715" s="3" t="s">
        <v>5385</v>
      </c>
      <c r="C1715" s="3" t="s">
        <v>5386</v>
      </c>
      <c r="D1715" s="3" t="s">
        <v>45</v>
      </c>
      <c r="E1715" s="3" t="s">
        <v>46</v>
      </c>
      <c r="F1715" s="3" t="s">
        <v>5297</v>
      </c>
      <c r="G1715" s="3" t="s">
        <v>5314</v>
      </c>
      <c r="H1715" s="3" t="s">
        <v>5387</v>
      </c>
      <c r="I1715" s="3" t="str">
        <f>HYPERLINK("http://www.jccm.es/sede/tramite/JXK","CANCELACION DE CONDICIONES RESOLUTORIAS POR CUMPLIMIENTO DE OBLIGACIONES CONTRACTUALES, INCLUIDAS EN LAS ENAJENACIONES DE SUELO PROPIEDAD DE LA JUNTA DE COMUNIDADES DE CASTILLA-LA MANCHA.")</f>
        <v>CANCELACION DE CONDICIONES RESOLUTORIAS POR CUMPLIMIENTO DE OBLIGACIONES CONTRACTUALES, INCLUIDAS EN LAS ENAJENACIONES DE SUELO PROPIEDAD DE LA JUNTA DE COMUNIDADES DE CASTILLA-LA MANCHA.</v>
      </c>
      <c r="J1715" s="3" t="s">
        <v>42</v>
      </c>
      <c r="K1715" s="3" t="s">
        <v>41</v>
      </c>
      <c r="L1715" s="3" t="s">
        <v>42</v>
      </c>
      <c r="M1715" s="3" t="s">
        <v>41</v>
      </c>
    </row>
    <row r="1716" spans="1:13" ht="149.44999999999999">
      <c r="A1716" s="22" t="s">
        <v>16</v>
      </c>
      <c r="B1716" s="3" t="s">
        <v>5388</v>
      </c>
      <c r="C1716" s="3" t="s">
        <v>5389</v>
      </c>
      <c r="D1716" s="3" t="s">
        <v>45</v>
      </c>
      <c r="E1716" s="3" t="s">
        <v>46</v>
      </c>
      <c r="F1716" s="3" t="s">
        <v>5297</v>
      </c>
      <c r="G1716" s="3" t="s">
        <v>5314</v>
      </c>
      <c r="H1716" s="3" t="s">
        <v>5390</v>
      </c>
      <c r="I1716" s="3" t="str">
        <f>HYPERLINK("http://www.jccm.es/sede/tramite/JXL","SOLICITUD DE AUTORIZACION PARA REALIZAR OBRAS MENORES EN LAS VIVIENDAS DE PROMOCION PUBLICA")</f>
        <v>SOLICITUD DE AUTORIZACION PARA REALIZAR OBRAS MENORES EN LAS VIVIENDAS DE PROMOCION PUBLICA</v>
      </c>
      <c r="J1716" s="3" t="s">
        <v>42</v>
      </c>
      <c r="K1716" s="3" t="s">
        <v>41</v>
      </c>
      <c r="L1716" s="3" t="s">
        <v>42</v>
      </c>
      <c r="M1716" s="3" t="s">
        <v>41</v>
      </c>
    </row>
    <row r="1717" spans="1:13" ht="299.10000000000002">
      <c r="A1717" s="22" t="s">
        <v>16</v>
      </c>
      <c r="B1717" s="3" t="s">
        <v>5391</v>
      </c>
      <c r="C1717" s="3" t="s">
        <v>5392</v>
      </c>
      <c r="D1717" s="3" t="s">
        <v>45</v>
      </c>
      <c r="E1717" s="3" t="s">
        <v>37</v>
      </c>
      <c r="F1717" s="3" t="s">
        <v>5297</v>
      </c>
      <c r="G1717" s="3" t="s">
        <v>5314</v>
      </c>
      <c r="H1717" s="3" t="s">
        <v>5393</v>
      </c>
      <c r="I1717" s="3" t="str">
        <f>HYPERLINK("http://www.jccm.es/sede/tramite/JXN","AMORTIZACION ANTICIPADA DE UNA VIVIENDA DE PROMOCION PUBLICA ADJUDICADA EN COMPRAVENTA APLAZADA")</f>
        <v>AMORTIZACION ANTICIPADA DE UNA VIVIENDA DE PROMOCION PUBLICA ADJUDICADA EN COMPRAVENTA APLAZADA</v>
      </c>
      <c r="J1717" s="3" t="s">
        <v>42</v>
      </c>
      <c r="K1717" s="3" t="s">
        <v>41</v>
      </c>
      <c r="L1717" s="3" t="s">
        <v>42</v>
      </c>
      <c r="M1717" s="3" t="s">
        <v>41</v>
      </c>
    </row>
    <row r="1718" spans="1:13" ht="252.95">
      <c r="A1718" s="22" t="s">
        <v>16</v>
      </c>
      <c r="B1718" s="3" t="s">
        <v>5394</v>
      </c>
      <c r="C1718" s="3" t="s">
        <v>5395</v>
      </c>
      <c r="D1718" s="3" t="s">
        <v>45</v>
      </c>
      <c r="E1718" s="3" t="s">
        <v>46</v>
      </c>
      <c r="F1718" s="3" t="s">
        <v>5297</v>
      </c>
      <c r="G1718" s="3" t="s">
        <v>5314</v>
      </c>
      <c r="H1718" s="3" t="s">
        <v>5396</v>
      </c>
      <c r="I1718" s="3" t="str">
        <f>HYPERLINK("http://www.jccm.es/sede/tramite/JXO","AUTORIZACION ADMINISTRATIVA PARA HIPOTECAR UNA FINCA ENAJENADA POR LA JUNTA DE COMUNIDADES DE CASTILLA-LA MANCHA.")</f>
        <v>AUTORIZACION ADMINISTRATIVA PARA HIPOTECAR UNA FINCA ENAJENADA POR LA JUNTA DE COMUNIDADES DE CASTILLA-LA MANCHA.</v>
      </c>
      <c r="J1718" s="3" t="s">
        <v>42</v>
      </c>
      <c r="K1718" s="3" t="s">
        <v>41</v>
      </c>
      <c r="L1718" s="3" t="s">
        <v>42</v>
      </c>
      <c r="M1718" s="3" t="s">
        <v>41</v>
      </c>
    </row>
    <row r="1719" spans="1:13" ht="138">
      <c r="A1719" s="22" t="s">
        <v>16</v>
      </c>
      <c r="B1719" s="3" t="s">
        <v>5397</v>
      </c>
      <c r="C1719" s="3" t="s">
        <v>5398</v>
      </c>
      <c r="D1719" s="3" t="s">
        <v>45</v>
      </c>
      <c r="E1719" s="3" t="s">
        <v>46</v>
      </c>
      <c r="F1719" s="3" t="s">
        <v>5297</v>
      </c>
      <c r="G1719" s="3" t="s">
        <v>5298</v>
      </c>
      <c r="H1719" s="3" t="s">
        <v>5399</v>
      </c>
      <c r="I1719" s="3" t="str">
        <f>HYPERLINK("http://www.jccm.es/sede/tramite/K0P","AUTORIZACION PARA PLANTACIONES Y TRABAJOS DE TALA Y PODA EN CARRETERAS DE LA JUNTA DE COMUNIDADES")</f>
        <v>AUTORIZACION PARA PLANTACIONES Y TRABAJOS DE TALA Y PODA EN CARRETERAS DE LA JUNTA DE COMUNIDADES</v>
      </c>
      <c r="J1719" s="3" t="s">
        <v>42</v>
      </c>
      <c r="K1719" s="3" t="s">
        <v>41</v>
      </c>
      <c r="L1719" s="3" t="s">
        <v>42</v>
      </c>
      <c r="M1719" s="3" t="s">
        <v>41</v>
      </c>
    </row>
    <row r="1720" spans="1:13" ht="114.95">
      <c r="A1720" s="22" t="s">
        <v>16</v>
      </c>
      <c r="B1720" s="3" t="s">
        <v>5400</v>
      </c>
      <c r="C1720" s="3" t="s">
        <v>5401</v>
      </c>
      <c r="D1720" s="3" t="s">
        <v>45</v>
      </c>
      <c r="E1720" s="3" t="s">
        <v>46</v>
      </c>
      <c r="F1720" s="3" t="s">
        <v>5297</v>
      </c>
      <c r="G1720" s="3" t="s">
        <v>5298</v>
      </c>
      <c r="H1720" s="3" t="s">
        <v>5402</v>
      </c>
      <c r="I1720" s="3" t="str">
        <f>HYPERLINK("http://www.jccm.es/sede/tramite/K0Q","AUTORIZACION PARA INSTALACIONES DE RIEGO EN CARRETERAS DE LA JUNTA DE COMUNIDADES")</f>
        <v>AUTORIZACION PARA INSTALACIONES DE RIEGO EN CARRETERAS DE LA JUNTA DE COMUNIDADES</v>
      </c>
      <c r="J1720" s="3" t="s">
        <v>42</v>
      </c>
      <c r="K1720" s="3" t="s">
        <v>41</v>
      </c>
      <c r="L1720" s="3" t="s">
        <v>42</v>
      </c>
      <c r="M1720" s="3" t="s">
        <v>41</v>
      </c>
    </row>
    <row r="1721" spans="1:13" ht="69">
      <c r="A1721" s="22" t="s">
        <v>16</v>
      </c>
      <c r="B1721" s="3" t="s">
        <v>5403</v>
      </c>
      <c r="C1721" s="3" t="s">
        <v>5404</v>
      </c>
      <c r="D1721" s="3" t="s">
        <v>62</v>
      </c>
      <c r="E1721" s="3" t="s">
        <v>37</v>
      </c>
      <c r="F1721" s="3" t="s">
        <v>5297</v>
      </c>
      <c r="G1721" s="3" t="s">
        <v>5314</v>
      </c>
      <c r="H1721" s="3" t="s">
        <v>5405</v>
      </c>
      <c r="I1721" s="3" t="str">
        <f>HYPERLINK("http://www.jccm.es/sede/tramite/J4W","INSCRIPCION EN EL REGISTRO DE DEMANDANTES DE VIVIENDA CON PROTECCION PUBLICA DE CASTILLA-LA MANCHA")</f>
        <v>INSCRIPCION EN EL REGISTRO DE DEMANDANTES DE VIVIENDA CON PROTECCION PUBLICA DE CASTILLA-LA MANCHA</v>
      </c>
      <c r="J1721" s="3" t="s">
        <v>42</v>
      </c>
      <c r="K1721" s="3" t="s">
        <v>41</v>
      </c>
      <c r="L1721" s="3" t="s">
        <v>42</v>
      </c>
      <c r="M1721" s="3" t="s">
        <v>41</v>
      </c>
    </row>
    <row r="1722" spans="1:13" ht="195.6">
      <c r="A1722" s="22" t="s">
        <v>16</v>
      </c>
      <c r="B1722" s="3" t="s">
        <v>5406</v>
      </c>
      <c r="C1722" s="3" t="s">
        <v>5407</v>
      </c>
      <c r="D1722" s="3" t="s">
        <v>51</v>
      </c>
      <c r="E1722" s="3" t="s">
        <v>37</v>
      </c>
      <c r="F1722" s="3" t="s">
        <v>5297</v>
      </c>
      <c r="G1722" s="3" t="s">
        <v>5408</v>
      </c>
      <c r="H1722" s="3" t="s">
        <v>5409</v>
      </c>
      <c r="I1722" s="3" t="str">
        <f>HYPERLINK("http://www.jccm.es/sede/tramite/J7M","INSCRIPCION EN EL REGISTRO ADMINISTRATIVO DE AGRUPACIONES DE INTERES URBANISTICO Y ENTIDADES URBANISTICAS COLABORADORAS DE CONSERVACION.")</f>
        <v>INSCRIPCION EN EL REGISTRO ADMINISTRATIVO DE AGRUPACIONES DE INTERES URBANISTICO Y ENTIDADES URBANISTICAS COLABORADORAS DE CONSERVACION.</v>
      </c>
      <c r="J1722" s="3" t="s">
        <v>42</v>
      </c>
      <c r="K1722" s="3" t="s">
        <v>41</v>
      </c>
      <c r="L1722" s="3" t="s">
        <v>42</v>
      </c>
      <c r="M1722" s="3" t="s">
        <v>41</v>
      </c>
    </row>
    <row r="1723" spans="1:13" ht="92.1">
      <c r="A1723" s="22" t="s">
        <v>16</v>
      </c>
      <c r="B1723" s="3" t="s">
        <v>5410</v>
      </c>
      <c r="C1723" s="3" t="s">
        <v>5411</v>
      </c>
      <c r="D1723" s="3" t="s">
        <v>5412</v>
      </c>
      <c r="E1723" s="3" t="s">
        <v>37</v>
      </c>
      <c r="F1723" s="3" t="s">
        <v>5297</v>
      </c>
      <c r="G1723" s="3" t="s">
        <v>5314</v>
      </c>
      <c r="H1723" s="3" t="s">
        <v>5413</v>
      </c>
      <c r="I1723" s="3" t="str">
        <f>HYPERLINK("http://www.jccm.es/sede/tramite/KGA","INSCRIPCION EN EL REGISTRO DE INFORMES DE EVALUACION DE EDIFICIOS DE CASTILLA LA MANCHA.")</f>
        <v>INSCRIPCION EN EL REGISTRO DE INFORMES DE EVALUACION DE EDIFICIOS DE CASTILLA LA MANCHA.</v>
      </c>
      <c r="J1723" s="3" t="s">
        <v>42</v>
      </c>
      <c r="K1723" s="3" t="s">
        <v>41</v>
      </c>
      <c r="L1723" s="3" t="s">
        <v>42</v>
      </c>
      <c r="M1723" s="3" t="s">
        <v>41</v>
      </c>
    </row>
    <row r="1724" spans="1:13" ht="276">
      <c r="A1724" s="22" t="s">
        <v>16</v>
      </c>
      <c r="B1724" s="3" t="s">
        <v>5414</v>
      </c>
      <c r="C1724" s="3" t="s">
        <v>5415</v>
      </c>
      <c r="D1724" s="3" t="s">
        <v>95</v>
      </c>
      <c r="E1724" s="3" t="s">
        <v>95</v>
      </c>
      <c r="F1724" s="3" t="s">
        <v>5297</v>
      </c>
      <c r="G1724" s="3" t="s">
        <v>5321</v>
      </c>
      <c r="H1724" s="3" t="s">
        <v>5416</v>
      </c>
      <c r="I1724" s="3" t="str">
        <f>HYPERLINK("http://www.jccm.es/sede/tramite/LJZ","COMUNICACION DE ALTAS Y BAJAS PARA CONSEJEROS DE SEGURIDAD DE TRANSPORTE DE MERCANCIAS PELIGROSAS")</f>
        <v>COMUNICACION DE ALTAS Y BAJAS PARA CONSEJEROS DE SEGURIDAD DE TRANSPORTE DE MERCANCIAS PELIGROSAS</v>
      </c>
      <c r="J1724" s="3" t="s">
        <v>42</v>
      </c>
      <c r="K1724" s="3" t="s">
        <v>41</v>
      </c>
      <c r="L1724" s="3" t="s">
        <v>42</v>
      </c>
      <c r="M1724" s="3" t="s">
        <v>41</v>
      </c>
    </row>
    <row r="1725" spans="1:13" ht="138">
      <c r="A1725" s="22" t="s">
        <v>16</v>
      </c>
      <c r="B1725" s="3" t="s">
        <v>5417</v>
      </c>
      <c r="C1725" s="3" t="s">
        <v>5418</v>
      </c>
      <c r="D1725" s="3" t="s">
        <v>5419</v>
      </c>
      <c r="E1725" s="3" t="s">
        <v>37</v>
      </c>
      <c r="F1725" s="3" t="s">
        <v>5297</v>
      </c>
      <c r="G1725" s="3" t="s">
        <v>5314</v>
      </c>
      <c r="H1725" s="3" t="s">
        <v>5420</v>
      </c>
      <c r="I1725" s="3" t="str">
        <f>HYPERLINK("http://www.jccm.es/sede/tramite/KGB","COMUNICACION DE INCIDENCIAS AL REGISTRO DE INFORMES DE EVALUACION DE EDIFICIOS DE CASTILLA LA MANCHA.")</f>
        <v>COMUNICACION DE INCIDENCIAS AL REGISTRO DE INFORMES DE EVALUACION DE EDIFICIOS DE CASTILLA LA MANCHA.</v>
      </c>
      <c r="J1725" s="3" t="s">
        <v>41</v>
      </c>
      <c r="K1725" s="3" t="s">
        <v>41</v>
      </c>
      <c r="L1725" s="3" t="s">
        <v>42</v>
      </c>
      <c r="M1725" s="3" t="s">
        <v>41</v>
      </c>
    </row>
    <row r="1726" spans="1:13" ht="183.95">
      <c r="A1726" s="22" t="s">
        <v>16</v>
      </c>
      <c r="B1726" s="3" t="s">
        <v>5421</v>
      </c>
      <c r="C1726" s="3" t="s">
        <v>5422</v>
      </c>
      <c r="D1726" s="3" t="s">
        <v>45</v>
      </c>
      <c r="E1726" s="3" t="s">
        <v>37</v>
      </c>
      <c r="F1726" s="3" t="s">
        <v>5297</v>
      </c>
      <c r="G1726" s="3" t="s">
        <v>5314</v>
      </c>
      <c r="H1726" s="3" t="s">
        <v>5423</v>
      </c>
      <c r="I1726" s="3" t="str">
        <f>HYPERLINK("http://www.jccm.es/sede/tramite/JQL","REDUCCION DE RENTA EN CONTRATO DE ARRENDAMIENTO DE VIVIENDAS DE PROMOCION PUBLICA PROPIEDAD DE LA JUNTA DE COMUNIDADES.")</f>
        <v>REDUCCION DE RENTA EN CONTRATO DE ARRENDAMIENTO DE VIVIENDAS DE PROMOCION PUBLICA PROPIEDAD DE LA JUNTA DE COMUNIDADES.</v>
      </c>
      <c r="J1726" s="3" t="s">
        <v>42</v>
      </c>
      <c r="K1726" s="3" t="s">
        <v>41</v>
      </c>
      <c r="L1726" s="3" t="s">
        <v>42</v>
      </c>
      <c r="M1726" s="3" t="s">
        <v>41</v>
      </c>
    </row>
    <row r="1727" spans="1:13" ht="126.6">
      <c r="A1727" s="22" t="s">
        <v>16</v>
      </c>
      <c r="B1727" s="3" t="s">
        <v>5424</v>
      </c>
      <c r="C1727" s="3" t="s">
        <v>5425</v>
      </c>
      <c r="D1727" s="3" t="s">
        <v>45</v>
      </c>
      <c r="E1727" s="3" t="s">
        <v>46</v>
      </c>
      <c r="F1727" s="3" t="s">
        <v>5297</v>
      </c>
      <c r="G1727" s="3" t="s">
        <v>5314</v>
      </c>
      <c r="H1727" s="3" t="s">
        <v>5426</v>
      </c>
      <c r="I1727" s="3" t="str">
        <f>HYPERLINK("http://www.jccm.es/sede/tramite/J4V","PARTICIPACION EN PROCEDIMIENTOS DE ADJUDICACION DE VIVIENDAS DE  INICIATIVA PUBLICA REGIONAL")</f>
        <v>PARTICIPACION EN PROCEDIMIENTOS DE ADJUDICACION DE VIVIENDAS DE  INICIATIVA PUBLICA REGIONAL</v>
      </c>
      <c r="J1727" s="3" t="s">
        <v>42</v>
      </c>
      <c r="K1727" s="3" t="s">
        <v>41</v>
      </c>
      <c r="L1727" s="3" t="s">
        <v>42</v>
      </c>
      <c r="M1727" s="3" t="s">
        <v>41</v>
      </c>
    </row>
    <row r="1728" spans="1:13" ht="183.95">
      <c r="A1728" s="22" t="s">
        <v>16</v>
      </c>
      <c r="B1728" s="3" t="s">
        <v>5427</v>
      </c>
      <c r="C1728" s="3" t="s">
        <v>5428</v>
      </c>
      <c r="D1728" s="3" t="s">
        <v>5429</v>
      </c>
      <c r="E1728" s="3" t="s">
        <v>46</v>
      </c>
      <c r="F1728" s="3" t="s">
        <v>5297</v>
      </c>
      <c r="G1728" s="3" t="s">
        <v>5314</v>
      </c>
      <c r="H1728" s="3" t="s">
        <v>5430</v>
      </c>
      <c r="I1728" s="3" t="str">
        <f>HYPERLINK("http://www.jccm.es/sede/tramite/LD8","SOLICITUD DEL RECONOCIMIENTO DEL DERECHO A LAS AYUDAS PARA CONTRIBUIR A MINIMIZAR EL IMPACTO ECONOMICO Y SOCIAL DEL COVID-19 EN LOS ALQUILERES DE VIVIENDA HABITUAL DEL PLAN ESTATAL DE VIVIENDA.")</f>
        <v>SOLICITUD DEL RECONOCIMIENTO DEL DERECHO A LAS AYUDAS PARA CONTRIBUIR A MINIMIZAR EL IMPACTO ECONOMICO Y SOCIAL DEL COVID-19 EN LOS ALQUILERES DE VIVIENDA HABITUAL DEL PLAN ESTATAL DE VIVIENDA.</v>
      </c>
      <c r="J1728" s="3" t="s">
        <v>42</v>
      </c>
      <c r="K1728" s="3" t="s">
        <v>41</v>
      </c>
      <c r="L1728" s="3" t="s">
        <v>42</v>
      </c>
      <c r="M1728" s="3" t="s">
        <v>41</v>
      </c>
    </row>
    <row r="1729" spans="1:13" ht="126.6">
      <c r="A1729" s="22" t="s">
        <v>16</v>
      </c>
      <c r="B1729" s="3" t="s">
        <v>5431</v>
      </c>
      <c r="C1729" s="3" t="s">
        <v>5432</v>
      </c>
      <c r="D1729" s="3" t="s">
        <v>62</v>
      </c>
      <c r="E1729" s="3" t="s">
        <v>46</v>
      </c>
      <c r="F1729" s="3" t="s">
        <v>5297</v>
      </c>
      <c r="G1729" s="3" t="s">
        <v>5321</v>
      </c>
      <c r="H1729" s="3" t="s">
        <v>5433</v>
      </c>
      <c r="I1729" s="3" t="str">
        <f>HYPERLINK("http://www.jccm.es/sede/tramite/LFO","SUBVENCION DESTINADA A PALIAR PARCIALMENTE LOS EFECTOS DE LA CRISIS PROVOCADA POR LA COVID-19, A LOS OPERADORES QUE PRESTAN EL SERVICIO DE TRANSPORTE PUBLICO REGULAR DE VIAJEROS EN C-LM.")</f>
        <v>SUBVENCION DESTINADA A PALIAR PARCIALMENTE LOS EFECTOS DE LA CRISIS PROVOCADA POR LA COVID-19, A LOS OPERADORES QUE PRESTAN EL SERVICIO DE TRANSPORTE PUBLICO REGULAR DE VIAJEROS EN C-LM.</v>
      </c>
      <c r="J1729" s="3" t="s">
        <v>42</v>
      </c>
      <c r="K1729" s="3" t="s">
        <v>41</v>
      </c>
      <c r="L1729" s="3" t="s">
        <v>42</v>
      </c>
      <c r="M1729" s="3" t="s">
        <v>41</v>
      </c>
    </row>
    <row r="1730" spans="1:13" ht="230.1">
      <c r="A1730" s="22" t="s">
        <v>16</v>
      </c>
      <c r="B1730" s="3" t="s">
        <v>5434</v>
      </c>
      <c r="C1730" s="3" t="s">
        <v>5435</v>
      </c>
      <c r="D1730" s="3" t="s">
        <v>45</v>
      </c>
      <c r="E1730" s="3" t="s">
        <v>46</v>
      </c>
      <c r="F1730" s="3" t="s">
        <v>5297</v>
      </c>
      <c r="G1730" s="3" t="s">
        <v>5314</v>
      </c>
      <c r="H1730" s="3" t="s">
        <v>5436</v>
      </c>
      <c r="I1730" s="3" t="str">
        <f>HYPERLINK("http://www.jccm.es/sede/tramite/LRG","AYUDAS PARA LA ELABORACION DEL LIBRO DEL EDIFICIO EXISTENTE PARA LA REHABILITACION Y LA REDACCION DE PROYECTOS TECNICOS DE REHABILITACION INTEGRAL DE EDIFICIOS DE CASTILLA-LA MANCHA.")</f>
        <v>AYUDAS PARA LA ELABORACION DEL LIBRO DEL EDIFICIO EXISTENTE PARA LA REHABILITACION Y LA REDACCION DE PROYECTOS TECNICOS DE REHABILITACION INTEGRAL DE EDIFICIOS DE CASTILLA-LA MANCHA.</v>
      </c>
      <c r="J1730" s="3" t="s">
        <v>42</v>
      </c>
      <c r="K1730" s="3" t="s">
        <v>41</v>
      </c>
      <c r="L1730" s="3" t="s">
        <v>42</v>
      </c>
      <c r="M1730" s="3" t="s">
        <v>41</v>
      </c>
    </row>
    <row r="1731" spans="1:13" ht="138">
      <c r="A1731" s="22" t="s">
        <v>16</v>
      </c>
      <c r="B1731" s="3" t="s">
        <v>5437</v>
      </c>
      <c r="C1731" s="3" t="s">
        <v>5438</v>
      </c>
      <c r="D1731" s="3" t="s">
        <v>45</v>
      </c>
      <c r="E1731" s="3" t="s">
        <v>37</v>
      </c>
      <c r="F1731" s="3" t="s">
        <v>5297</v>
      </c>
      <c r="G1731" s="3" t="s">
        <v>5314</v>
      </c>
      <c r="H1731" s="3" t="s">
        <v>5439</v>
      </c>
      <c r="I1731" s="3" t="str">
        <f>HYPERLINK("http://www.jccm.es/sede/tramite/LRM","HABILITACION COMO AGENTE GESTOR DE LA REHABILITACION DEL PROGRAMA DE AYUDAS A LAS ACTUACIONES DE REHABILITACION A NIVEL DE EDIFICIO EN CASTILLA-LA MANCHA")</f>
        <v>HABILITACION COMO AGENTE GESTOR DE LA REHABILITACION DEL PROGRAMA DE AYUDAS A LAS ACTUACIONES DE REHABILITACION A NIVEL DE EDIFICIO EN CASTILLA-LA MANCHA</v>
      </c>
      <c r="J1731" s="3" t="s">
        <v>41</v>
      </c>
      <c r="K1731" s="3" t="s">
        <v>41</v>
      </c>
      <c r="L1731" s="3" t="s">
        <v>42</v>
      </c>
      <c r="M1731" s="3" t="s">
        <v>41</v>
      </c>
    </row>
    <row r="1732" spans="1:13" ht="172.5">
      <c r="A1732" s="22" t="s">
        <v>16</v>
      </c>
      <c r="B1732" s="3" t="s">
        <v>5440</v>
      </c>
      <c r="C1732" s="3" t="s">
        <v>5441</v>
      </c>
      <c r="D1732" s="3" t="s">
        <v>45</v>
      </c>
      <c r="E1732" s="3" t="s">
        <v>37</v>
      </c>
      <c r="F1732" s="3" t="s">
        <v>5297</v>
      </c>
      <c r="G1732" s="3" t="s">
        <v>5314</v>
      </c>
      <c r="H1732" s="3" t="s">
        <v>5442</v>
      </c>
      <c r="I1732" s="3" t="str">
        <f>HYPERLINK("http://www.jccm.es/sede/tramite/LRN","HABILITACION COMO AGENTE GESTOR DE LA REHABILITACION DEL PROGRAMA DE AYUDAS A LAS ACTUACIONES DE MEJORA DE LA EFICIENCIA ENERGETICA EN VIVIENDAS EN CASTILLA-LA MANCHA.")</f>
        <v>HABILITACION COMO AGENTE GESTOR DE LA REHABILITACION DEL PROGRAMA DE AYUDAS A LAS ACTUACIONES DE MEJORA DE LA EFICIENCIA ENERGETICA EN VIVIENDAS EN CASTILLA-LA MANCHA.</v>
      </c>
      <c r="J1732" s="3" t="s">
        <v>41</v>
      </c>
      <c r="K1732" s="3" t="s">
        <v>41</v>
      </c>
      <c r="L1732" s="3" t="s">
        <v>42</v>
      </c>
      <c r="M1732" s="3" t="s">
        <v>41</v>
      </c>
    </row>
    <row r="1733" spans="1:13" ht="241.5">
      <c r="A1733" s="22" t="s">
        <v>16</v>
      </c>
      <c r="B1733" s="3" t="s">
        <v>5443</v>
      </c>
      <c r="C1733" s="3" t="s">
        <v>5444</v>
      </c>
      <c r="D1733" s="3" t="s">
        <v>5445</v>
      </c>
      <c r="E1733" s="3" t="s">
        <v>46</v>
      </c>
      <c r="F1733" s="3" t="s">
        <v>5297</v>
      </c>
      <c r="G1733" s="3" t="s">
        <v>5314</v>
      </c>
      <c r="H1733" s="3" t="s">
        <v>5446</v>
      </c>
      <c r="I1733" s="3" t="str">
        <f>HYPERLINK("http://www.jccm.es/sede/tramite/LSM","AYUDAS A LAS ACTUACIONES DE REHABILITACION A NIVEL DE EDIFICIO EN CASTILLA-LA MANCHA, DENTRO DEL MARCO GENERAL DEL PLAN DE RECUPERACION, TRANSFORMACION Y RESILIENCIA.")</f>
        <v>AYUDAS A LAS ACTUACIONES DE REHABILITACION A NIVEL DE EDIFICIO EN CASTILLA-LA MANCHA, DENTRO DEL MARCO GENERAL DEL PLAN DE RECUPERACION, TRANSFORMACION Y RESILIENCIA.</v>
      </c>
      <c r="J1733" s="3" t="s">
        <v>41</v>
      </c>
      <c r="K1733" s="3" t="s">
        <v>41</v>
      </c>
      <c r="L1733" s="3" t="s">
        <v>42</v>
      </c>
      <c r="M1733" s="3" t="s">
        <v>41</v>
      </c>
    </row>
    <row r="1734" spans="1:13" ht="241.5">
      <c r="A1734" s="22" t="s">
        <v>16</v>
      </c>
      <c r="B1734" s="3" t="s">
        <v>5447</v>
      </c>
      <c r="C1734" s="3" t="s">
        <v>5448</v>
      </c>
      <c r="D1734" s="3" t="s">
        <v>5445</v>
      </c>
      <c r="E1734" s="3" t="s">
        <v>46</v>
      </c>
      <c r="F1734" s="3" t="s">
        <v>5297</v>
      </c>
      <c r="G1734" s="3" t="s">
        <v>5314</v>
      </c>
      <c r="H1734" s="3" t="s">
        <v>5449</v>
      </c>
      <c r="I1734" s="3" t="str">
        <f>HYPERLINK("http://www.jccm.es/sede/tramite/LSN","AYUDAS A LAS ACTUACIONES DE MEJORA DE LA EFICIENCIA ENERGETICA EN VIVIENDAS EN CASTILLA-LA MANCHA, DENTRO DEL MARCO GENERAL DEL PLAN DE RECUPERACION, TRANSFORMACION Y RESILIENCIA.")</f>
        <v>AYUDAS A LAS ACTUACIONES DE MEJORA DE LA EFICIENCIA ENERGETICA EN VIVIENDAS EN CASTILLA-LA MANCHA, DENTRO DEL MARCO GENERAL DEL PLAN DE RECUPERACION, TRANSFORMACION Y RESILIENCIA.</v>
      </c>
      <c r="J1734" s="3" t="s">
        <v>41</v>
      </c>
      <c r="K1734" s="3" t="s">
        <v>41</v>
      </c>
      <c r="L1734" s="3" t="s">
        <v>42</v>
      </c>
      <c r="M1734" s="3" t="s">
        <v>41</v>
      </c>
    </row>
    <row r="1735" spans="1:13" ht="69">
      <c r="A1735" s="22" t="s">
        <v>16</v>
      </c>
      <c r="B1735" s="3" t="s">
        <v>5450</v>
      </c>
      <c r="C1735" s="3" t="s">
        <v>5451</v>
      </c>
      <c r="D1735" s="3" t="s">
        <v>5452</v>
      </c>
      <c r="E1735" s="3" t="s">
        <v>46</v>
      </c>
      <c r="F1735" s="3" t="s">
        <v>5297</v>
      </c>
      <c r="G1735" s="3" t="s">
        <v>5314</v>
      </c>
      <c r="H1735" s="3" t="s">
        <v>5453</v>
      </c>
      <c r="I1735" s="3" t="str">
        <f>HYPERLINK("http://www.jccm.es/sede/tramite/LSV","AYUDAS AL  BONO ALQUILER JOVEN EN CASTILLA-LA MANCHA.")</f>
        <v>AYUDAS AL  BONO ALQUILER JOVEN EN CASTILLA-LA MANCHA.</v>
      </c>
      <c r="J1735" s="3" t="s">
        <v>42</v>
      </c>
      <c r="K1735" s="3" t="s">
        <v>41</v>
      </c>
      <c r="L1735" s="3" t="s">
        <v>42</v>
      </c>
      <c r="M1735" s="3" t="s">
        <v>41</v>
      </c>
    </row>
    <row r="1736" spans="1:13" ht="252.95">
      <c r="A1736" s="22" t="s">
        <v>16</v>
      </c>
      <c r="B1736" s="3" t="s">
        <v>5454</v>
      </c>
      <c r="C1736" s="3" t="s">
        <v>5455</v>
      </c>
      <c r="D1736" s="3" t="s">
        <v>5456</v>
      </c>
      <c r="E1736" s="3" t="s">
        <v>46</v>
      </c>
      <c r="F1736" s="3" t="s">
        <v>5297</v>
      </c>
      <c r="G1736" s="3" t="s">
        <v>5321</v>
      </c>
      <c r="H1736" s="3" t="s">
        <v>5457</v>
      </c>
      <c r="I1736" s="3" t="str">
        <f>HYPERLINK("http://www.jccm.es/sede/tramite/LSX","AYUDAS PARA LA TRANSFORMACION DE FLOTAS DE TRANSPORTES DE MERCANCIAS Y VIAJEROS DE EMPRESAS PRIVADAS PRESTADORAS DE SERVICIOS DE TRANSPORTE POR CARRETERA Y PRIVADO COMPLEMENTARIO.")</f>
        <v>AYUDAS PARA LA TRANSFORMACION DE FLOTAS DE TRANSPORTES DE MERCANCIAS Y VIAJEROS DE EMPRESAS PRIVADAS PRESTADORAS DE SERVICIOS DE TRANSPORTE POR CARRETERA Y PRIVADO COMPLEMENTARIO.</v>
      </c>
      <c r="J1736" s="3" t="s">
        <v>42</v>
      </c>
      <c r="K1736" s="3" t="s">
        <v>41</v>
      </c>
      <c r="L1736" s="3" t="s">
        <v>42</v>
      </c>
      <c r="M1736" s="3" t="s">
        <v>41</v>
      </c>
    </row>
    <row r="1737" spans="1:13" ht="126.6">
      <c r="A1737" s="22" t="s">
        <v>16</v>
      </c>
      <c r="B1737" s="3" t="s">
        <v>5458</v>
      </c>
      <c r="C1737" s="3" t="s">
        <v>5459</v>
      </c>
      <c r="D1737" s="3" t="s">
        <v>5460</v>
      </c>
      <c r="E1737" s="3" t="s">
        <v>46</v>
      </c>
      <c r="F1737" s="3" t="s">
        <v>5297</v>
      </c>
      <c r="G1737" s="3" t="s">
        <v>5314</v>
      </c>
      <c r="H1737" s="3" t="s">
        <v>5461</v>
      </c>
      <c r="I1737" s="3" t="str">
        <f>HYPERLINK("http://www.jccm.es/sede/tramite/LUP","APROBACION DEL PROYECTO ANUAL DE ACTUACIONES SUBVENCIONADAS PARA LA IMPLANTACION DE LAS OFICINAS DE  REHABILITACION EN EL AMBITO TERRITORIAL DE CASTILLA- LA MANCHA")</f>
        <v>APROBACION DEL PROYECTO ANUAL DE ACTUACIONES SUBVENCIONADAS PARA LA IMPLANTACION DE LAS OFICINAS DE  REHABILITACION EN EL AMBITO TERRITORIAL DE CASTILLA- LA MANCHA</v>
      </c>
      <c r="J1737" s="3" t="s">
        <v>41</v>
      </c>
      <c r="K1737" s="3" t="s">
        <v>41</v>
      </c>
      <c r="L1737" s="3" t="s">
        <v>42</v>
      </c>
      <c r="M1737" s="3" t="s">
        <v>41</v>
      </c>
    </row>
    <row r="1738" spans="1:13" ht="333.6">
      <c r="A1738" s="22" t="s">
        <v>16</v>
      </c>
      <c r="B1738" s="3" t="s">
        <v>5462</v>
      </c>
      <c r="C1738" s="3" t="s">
        <v>5463</v>
      </c>
      <c r="D1738" s="3" t="s">
        <v>5464</v>
      </c>
      <c r="E1738" s="3" t="s">
        <v>46</v>
      </c>
      <c r="F1738" s="3" t="s">
        <v>5297</v>
      </c>
      <c r="G1738" s="3" t="s">
        <v>5321</v>
      </c>
      <c r="H1738" s="3" t="s">
        <v>5465</v>
      </c>
      <c r="I1738" s="3" t="str">
        <f>HYPERLINK("http://www.jccm.es/sede/tramite/LVG","AYUDAS DESTINADAS A TITULARES DE AUTORIZACIONES DE TRANSPORTE PUBLICO DE VIAJEROS EN VEHICULOS DE TURISMO AUTO-TAXI (VT) EN EL MARCO DEL PROGRAMA DE FOMENTO A LA ADAPTACION DE VEHICULOS.")</f>
        <v>AYUDAS DESTINADAS A TITULARES DE AUTORIZACIONES DE TRANSPORTE PUBLICO DE VIAJEROS EN VEHICULOS DE TURISMO AUTO-TAXI (VT) EN EL MARCO DEL PROGRAMA DE FOMENTO A LA ADAPTACION DE VEHICULOS.</v>
      </c>
      <c r="J1738" s="3" t="s">
        <v>42</v>
      </c>
      <c r="K1738" s="3" t="s">
        <v>41</v>
      </c>
      <c r="L1738" s="3" t="s">
        <v>42</v>
      </c>
      <c r="M1738" s="3" t="s">
        <v>41</v>
      </c>
    </row>
    <row r="1739" spans="1:13" ht="402.6">
      <c r="A1739" s="22" t="s">
        <v>16</v>
      </c>
      <c r="B1739" s="3" t="s">
        <v>5466</v>
      </c>
      <c r="C1739" s="3" t="s">
        <v>5467</v>
      </c>
      <c r="D1739" s="3" t="s">
        <v>95</v>
      </c>
      <c r="E1739" s="3" t="s">
        <v>46</v>
      </c>
      <c r="F1739" s="3" t="s">
        <v>5297</v>
      </c>
      <c r="G1739" s="3" t="s">
        <v>5297</v>
      </c>
      <c r="H1739" s="3" t="s">
        <v>5468</v>
      </c>
      <c r="I1739" s="3" t="str">
        <f>HYPERLINK("http://www.jccm.es/sede/tramite/LW4","JUSTIFICACION DE LA AYUDA CONCEDIDA PARA REALIZAR LA OBRA DE INSTALACION DE ASCENSOR HASTA LA COTA CERO DE ACCESO AL EDIFICIO EN LA C/ RIO MARIANA, 3 DE CUENCA.")</f>
        <v>JUSTIFICACION DE LA AYUDA CONCEDIDA PARA REALIZAR LA OBRA DE INSTALACION DE ASCENSOR HASTA LA COTA CERO DE ACCESO AL EDIFICIO EN LA C/ RIO MARIANA, 3 DE CUENCA.</v>
      </c>
      <c r="J1739" s="3" t="s">
        <v>41</v>
      </c>
      <c r="K1739" s="3" t="s">
        <v>41</v>
      </c>
      <c r="L1739" s="3" t="s">
        <v>42</v>
      </c>
      <c r="M1739" s="3" t="s">
        <v>41</v>
      </c>
    </row>
    <row r="1740" spans="1:13" ht="172.5">
      <c r="A1740" s="22" t="s">
        <v>16</v>
      </c>
      <c r="B1740" s="3" t="s">
        <v>5469</v>
      </c>
      <c r="C1740" s="3" t="s">
        <v>5470</v>
      </c>
      <c r="D1740" s="3" t="s">
        <v>5471</v>
      </c>
      <c r="E1740" s="3" t="s">
        <v>46</v>
      </c>
      <c r="F1740" s="3" t="s">
        <v>5297</v>
      </c>
      <c r="G1740" s="3" t="s">
        <v>5314</v>
      </c>
      <c r="H1740" s="3" t="s">
        <v>5472</v>
      </c>
      <c r="I1740" s="3" t="str">
        <f>HYPERLINK("http://www.jccm.es/sede/tramite/LX1","AYUDAS A LA MEJORA DE LA ACCESIBILIDAD EN Y A LAS VIVIENDAS DE CASTILLA-LA MANCHA, EN EL MARCO DEL PLAN ESTATAL DE VIVIENDA 2022-2025.")</f>
        <v>AYUDAS A LA MEJORA DE LA ACCESIBILIDAD EN Y A LAS VIVIENDAS DE CASTILLA-LA MANCHA, EN EL MARCO DEL PLAN ESTATAL DE VIVIENDA 2022-2025.</v>
      </c>
      <c r="J1740" s="3" t="s">
        <v>42</v>
      </c>
      <c r="K1740" s="3" t="s">
        <v>41</v>
      </c>
      <c r="L1740" s="3" t="s">
        <v>42</v>
      </c>
      <c r="M1740" s="3" t="s">
        <v>41</v>
      </c>
    </row>
    <row r="1741" spans="1:13" ht="69">
      <c r="A1741" s="22" t="s">
        <v>16</v>
      </c>
      <c r="B1741" s="3" t="s">
        <v>5473</v>
      </c>
      <c r="C1741" s="3" t="s">
        <v>5474</v>
      </c>
      <c r="D1741" s="3" t="s">
        <v>70</v>
      </c>
      <c r="E1741" s="3" t="s">
        <v>46</v>
      </c>
      <c r="F1741" s="3" t="s">
        <v>5297</v>
      </c>
      <c r="G1741" s="3" t="s">
        <v>5314</v>
      </c>
      <c r="H1741" s="3" t="s">
        <v>5475</v>
      </c>
      <c r="I1741" s="3" t="str">
        <f>HYPERLINK("http://www.jccm.es/sede/tramite/K4A","ABONO DE AYUDAS AL ARRENDAMIENTO DE VIVIENDAS")</f>
        <v>ABONO DE AYUDAS AL ARRENDAMIENTO DE VIVIENDAS</v>
      </c>
      <c r="J1741" s="3" t="s">
        <v>42</v>
      </c>
      <c r="K1741" s="3" t="s">
        <v>41</v>
      </c>
      <c r="L1741" s="3" t="s">
        <v>42</v>
      </c>
      <c r="M1741" s="3" t="s">
        <v>41</v>
      </c>
    </row>
    <row r="1742" spans="1:13" ht="69">
      <c r="A1742" s="22" t="s">
        <v>16</v>
      </c>
      <c r="B1742" s="3" t="s">
        <v>5476</v>
      </c>
      <c r="C1742" s="3" t="s">
        <v>5477</v>
      </c>
      <c r="D1742" s="3" t="s">
        <v>70</v>
      </c>
      <c r="E1742" s="3" t="s">
        <v>46</v>
      </c>
      <c r="F1742" s="3" t="s">
        <v>5297</v>
      </c>
      <c r="G1742" s="3" t="s">
        <v>5314</v>
      </c>
      <c r="H1742" s="3" t="s">
        <v>5478</v>
      </c>
      <c r="I1742" s="3" t="str">
        <f>HYPERLINK("http://www.jccm.es/sede/tramite/L1D","COMUNICACION DE MODIFICACION DE LAS CONDICIONES")</f>
        <v>COMUNICACION DE MODIFICACION DE LAS CONDICIONES</v>
      </c>
      <c r="J1742" s="3" t="s">
        <v>42</v>
      </c>
      <c r="K1742" s="3" t="s">
        <v>41</v>
      </c>
      <c r="L1742" s="3" t="s">
        <v>42</v>
      </c>
      <c r="M1742" s="3" t="s">
        <v>41</v>
      </c>
    </row>
    <row r="1743" spans="1:13" ht="114.95">
      <c r="A1743" s="22" t="s">
        <v>16</v>
      </c>
      <c r="B1743" s="3" t="s">
        <v>5479</v>
      </c>
      <c r="C1743" s="3" t="s">
        <v>5480</v>
      </c>
      <c r="D1743" s="3" t="s">
        <v>70</v>
      </c>
      <c r="E1743" s="3" t="s">
        <v>46</v>
      </c>
      <c r="F1743" s="3" t="s">
        <v>5297</v>
      </c>
      <c r="G1743" s="3" t="s">
        <v>5314</v>
      </c>
      <c r="H1743" s="3" t="s">
        <v>5481</v>
      </c>
      <c r="I1743" s="3" t="str">
        <f>HYPERLINK("http://www.jccm.es/sede/tramite/I4L","AYUDAS AL ALQUILER DE VIVIENDA EN CASTILLA-LA MANCHA, EN EL MARCO DEL PLAN ESTATAL DE VIVIENDA 2022-2025.")</f>
        <v>AYUDAS AL ALQUILER DE VIVIENDA EN CASTILLA-LA MANCHA, EN EL MARCO DEL PLAN ESTATAL DE VIVIENDA 2022-2025.</v>
      </c>
      <c r="J1743" s="3" t="s">
        <v>42</v>
      </c>
      <c r="K1743" s="3" t="s">
        <v>41</v>
      </c>
      <c r="L1743" s="3" t="s">
        <v>42</v>
      </c>
      <c r="M1743" s="3" t="s">
        <v>41</v>
      </c>
    </row>
    <row r="1744" spans="1:13" ht="195.6">
      <c r="A1744" s="22" t="s">
        <v>16</v>
      </c>
      <c r="B1744" s="3" t="s">
        <v>5482</v>
      </c>
      <c r="C1744" s="3" t="s">
        <v>5483</v>
      </c>
      <c r="D1744" s="3" t="s">
        <v>51</v>
      </c>
      <c r="E1744" s="3" t="s">
        <v>46</v>
      </c>
      <c r="F1744" s="3" t="s">
        <v>5297</v>
      </c>
      <c r="G1744" s="3" t="s">
        <v>5408</v>
      </c>
      <c r="H1744" s="3" t="s">
        <v>5484</v>
      </c>
      <c r="I1744" s="3" t="str">
        <f>HYPERLINK("http://www.jccm.es/sede/tramite/L35","SOLICITUD DE AYUDA PARA LA FINANCIACION DE ACTUACIONES EN MATERIA DE REDACCION DE DIVERSOS INSTRUMENTOS DE PLANEAMIENTO URBANISTICO.")</f>
        <v>SOLICITUD DE AYUDA PARA LA FINANCIACION DE ACTUACIONES EN MATERIA DE REDACCION DE DIVERSOS INSTRUMENTOS DE PLANEAMIENTO URBANISTICO.</v>
      </c>
      <c r="J1744" s="3" t="s">
        <v>41</v>
      </c>
      <c r="K1744" s="3" t="s">
        <v>41</v>
      </c>
      <c r="L1744" s="3" t="s">
        <v>42</v>
      </c>
      <c r="M1744" s="3" t="s">
        <v>41</v>
      </c>
    </row>
    <row r="1745" spans="1:13" ht="161.1">
      <c r="A1745" s="22" t="s">
        <v>16</v>
      </c>
      <c r="B1745" s="3" t="s">
        <v>5485</v>
      </c>
      <c r="C1745" s="3" t="s">
        <v>5486</v>
      </c>
      <c r="D1745" s="3" t="s">
        <v>51</v>
      </c>
      <c r="E1745" s="3" t="s">
        <v>46</v>
      </c>
      <c r="F1745" s="3" t="s">
        <v>5297</v>
      </c>
      <c r="G1745" s="3" t="s">
        <v>5408</v>
      </c>
      <c r="H1745" s="3" t="s">
        <v>5487</v>
      </c>
      <c r="I1745" s="3" t="str">
        <f>HYPERLINK("http://www.jccm.es/sede/tramite/L37","MODIFICACION DE LA RESOLUCION DE CONCESION DE LA SUBVENCION PARA REDACCION DE INSTRUMENTOS DE PLANEAMIENTO.")</f>
        <v>MODIFICACION DE LA RESOLUCION DE CONCESION DE LA SUBVENCION PARA REDACCION DE INSTRUMENTOS DE PLANEAMIENTO.</v>
      </c>
      <c r="J1745" s="3" t="s">
        <v>41</v>
      </c>
      <c r="K1745" s="3" t="s">
        <v>41</v>
      </c>
      <c r="L1745" s="3" t="s">
        <v>42</v>
      </c>
      <c r="M1745" s="3" t="s">
        <v>41</v>
      </c>
    </row>
    <row r="1746" spans="1:13" ht="126.6">
      <c r="A1746" s="22" t="s">
        <v>16</v>
      </c>
      <c r="B1746" s="3" t="s">
        <v>5488</v>
      </c>
      <c r="C1746" s="3" t="s">
        <v>5489</v>
      </c>
      <c r="D1746" s="3" t="s">
        <v>51</v>
      </c>
      <c r="E1746" s="3" t="s">
        <v>46</v>
      </c>
      <c r="F1746" s="3" t="s">
        <v>5297</v>
      </c>
      <c r="G1746" s="3" t="s">
        <v>5408</v>
      </c>
      <c r="H1746" s="3" t="s">
        <v>5490</v>
      </c>
      <c r="I1746" s="3" t="str">
        <f>HYPERLINK("http://www.jccm.es/sede/tramite/L36","SOLICITUD DE ABONO DE LA SUBVENCION PARA LA REDACCION DE INSTRUMENTOS DE PLANEAMIENTO.")</f>
        <v>SOLICITUD DE ABONO DE LA SUBVENCION PARA LA REDACCION DE INSTRUMENTOS DE PLANEAMIENTO.</v>
      </c>
      <c r="J1746" s="3" t="s">
        <v>41</v>
      </c>
      <c r="K1746" s="3" t="s">
        <v>41</v>
      </c>
      <c r="L1746" s="3" t="s">
        <v>42</v>
      </c>
      <c r="M1746" s="3" t="s">
        <v>41</v>
      </c>
    </row>
    <row r="1747" spans="1:13" ht="80.45">
      <c r="A1747" s="22" t="s">
        <v>16</v>
      </c>
      <c r="B1747" s="3" t="s">
        <v>5491</v>
      </c>
      <c r="C1747" s="3" t="s">
        <v>5492</v>
      </c>
      <c r="D1747" s="3" t="s">
        <v>45</v>
      </c>
      <c r="E1747" s="3" t="s">
        <v>46</v>
      </c>
      <c r="F1747" s="3" t="s">
        <v>5297</v>
      </c>
      <c r="G1747" s="3" t="s">
        <v>5314</v>
      </c>
      <c r="H1747" s="3" t="s">
        <v>5493</v>
      </c>
      <c r="I1747" s="3" t="str">
        <f>HYPERLINK("http://www.jccm.es/sede/tramite/KGO","COMUNICACION DE MODIFICACION DE LAS ACTUACIONES- LINEAS B Y C")</f>
        <v>COMUNICACION DE MODIFICACION DE LAS ACTUACIONES- LINEAS B Y C</v>
      </c>
      <c r="J1747" s="3" t="s">
        <v>42</v>
      </c>
      <c r="K1747" s="3" t="s">
        <v>41</v>
      </c>
      <c r="L1747" s="3" t="s">
        <v>42</v>
      </c>
      <c r="M1747" s="3" t="s">
        <v>41</v>
      </c>
    </row>
    <row r="1748" spans="1:13" ht="69">
      <c r="A1748" s="22" t="s">
        <v>16</v>
      </c>
      <c r="B1748" s="3" t="s">
        <v>5494</v>
      </c>
      <c r="C1748" s="3" t="s">
        <v>5495</v>
      </c>
      <c r="D1748" s="3" t="s">
        <v>45</v>
      </c>
      <c r="E1748" s="3" t="s">
        <v>46</v>
      </c>
      <c r="F1748" s="3" t="s">
        <v>5297</v>
      </c>
      <c r="G1748" s="3" t="s">
        <v>5314</v>
      </c>
      <c r="H1748" s="3" t="s">
        <v>5496</v>
      </c>
      <c r="I1748" s="3" t="str">
        <f>HYPERLINK("http://www.jccm.es/sede/tramite/KGP","SOLICITUD DE ABONO DE LA AYUDA. LINEAS B Y C.")</f>
        <v>SOLICITUD DE ABONO DE LA AYUDA. LINEAS B Y C.</v>
      </c>
      <c r="J1748" s="3" t="s">
        <v>42</v>
      </c>
      <c r="K1748" s="3" t="s">
        <v>41</v>
      </c>
      <c r="L1748" s="3" t="s">
        <v>42</v>
      </c>
      <c r="M1748" s="3" t="s">
        <v>41</v>
      </c>
    </row>
    <row r="1749" spans="1:13" ht="92.1">
      <c r="A1749" s="22" t="s">
        <v>16</v>
      </c>
      <c r="B1749" s="3" t="s">
        <v>5497</v>
      </c>
      <c r="C1749" s="3" t="s">
        <v>5498</v>
      </c>
      <c r="D1749" s="3" t="s">
        <v>45</v>
      </c>
      <c r="E1749" s="3" t="s">
        <v>46</v>
      </c>
      <c r="F1749" s="3" t="s">
        <v>5297</v>
      </c>
      <c r="G1749" s="3" t="s">
        <v>5314</v>
      </c>
      <c r="H1749" s="3" t="s">
        <v>5499</v>
      </c>
      <c r="I1749" s="3" t="str">
        <f>HYPERLINK("http://www.jccm.es/sede/tramite/KG8","SOLICITUD DE AYUDAS A LA REHABILITACION EDIFICATORIA. LINEAS B Y C.")</f>
        <v>SOLICITUD DE AYUDAS A LA REHABILITACION EDIFICATORIA. LINEAS B Y C.</v>
      </c>
      <c r="J1749" s="3" t="s">
        <v>42</v>
      </c>
      <c r="K1749" s="3" t="s">
        <v>41</v>
      </c>
      <c r="L1749" s="3" t="s">
        <v>42</v>
      </c>
      <c r="M1749" s="3" t="s">
        <v>41</v>
      </c>
    </row>
    <row r="1750" spans="1:13" ht="149.44999999999999">
      <c r="A1750" s="22" t="s">
        <v>16</v>
      </c>
      <c r="B1750" s="3" t="s">
        <v>5500</v>
      </c>
      <c r="C1750" s="3" t="s">
        <v>5501</v>
      </c>
      <c r="D1750" s="3" t="s">
        <v>45</v>
      </c>
      <c r="E1750" s="3" t="s">
        <v>46</v>
      </c>
      <c r="F1750" s="3" t="s">
        <v>5297</v>
      </c>
      <c r="G1750" s="3" t="s">
        <v>5314</v>
      </c>
      <c r="H1750" s="3" t="s">
        <v>5502</v>
      </c>
      <c r="I1750" s="3" t="str">
        <f>HYPERLINK("http://www.jccm.es/sede/tramite/L2P","ABONO DE LA AYUDA REHABILITACION DE ELEMENTOS COMUNES DE EDIFICIOS DE TIPOLOGIA RESIDENCIAL COLECTIVA DE VIVIENDAS.")</f>
        <v>ABONO DE LA AYUDA REHABILITACION DE ELEMENTOS COMUNES DE EDIFICIOS DE TIPOLOGIA RESIDENCIAL COLECTIVA DE VIVIENDAS.</v>
      </c>
      <c r="J1750" s="3" t="s">
        <v>42</v>
      </c>
      <c r="K1750" s="3" t="s">
        <v>41</v>
      </c>
      <c r="L1750" s="3" t="s">
        <v>42</v>
      </c>
      <c r="M1750" s="3" t="s">
        <v>41</v>
      </c>
    </row>
    <row r="1751" spans="1:13" ht="276">
      <c r="A1751" s="22" t="s">
        <v>16</v>
      </c>
      <c r="B1751" s="3" t="s">
        <v>5503</v>
      </c>
      <c r="C1751" s="3" t="s">
        <v>5504</v>
      </c>
      <c r="D1751" s="3" t="s">
        <v>45</v>
      </c>
      <c r="E1751" s="3" t="s">
        <v>46</v>
      </c>
      <c r="F1751" s="3" t="s">
        <v>5297</v>
      </c>
      <c r="G1751" s="3" t="s">
        <v>5314</v>
      </c>
      <c r="H1751" s="3" t="s">
        <v>5505</v>
      </c>
      <c r="I1751" s="3" t="str">
        <f>HYPERLINK("http://www.jccm.es/sede/tramite/L2N","PROGRAMA DE FOMENTO DE LA MEJORA DE LA EFICIENCIA ENERGETICA Y SOSTENIBILIDAD DE VIVIENDAS Y PROG.  DE FOMENTO DE LA CONSERVACION, MEJORA DE LA SEGURIDAD DE UTILIZACION Y DE LA ACCESIBILIDAD- LINEA A")</f>
        <v>PROGRAMA DE FOMENTO DE LA MEJORA DE LA EFICIENCIA ENERGETICA Y SOSTENIBILIDAD DE VIVIENDAS Y PROG.  DE FOMENTO DE LA CONSERVACION, MEJORA DE LA SEGURIDAD DE UTILIZACION Y DE LA ACCESIBILIDAD- LINEA A</v>
      </c>
      <c r="J1751" s="3" t="s">
        <v>42</v>
      </c>
      <c r="K1751" s="3" t="s">
        <v>41</v>
      </c>
      <c r="L1751" s="3" t="s">
        <v>42</v>
      </c>
      <c r="M1751" s="3" t="s">
        <v>41</v>
      </c>
    </row>
    <row r="1752" spans="1:13" ht="69">
      <c r="A1752" s="22" t="s">
        <v>16</v>
      </c>
      <c r="B1752" s="3" t="s">
        <v>5506</v>
      </c>
      <c r="C1752" s="3" t="s">
        <v>5507</v>
      </c>
      <c r="D1752" s="3" t="s">
        <v>45</v>
      </c>
      <c r="E1752" s="3" t="s">
        <v>46</v>
      </c>
      <c r="F1752" s="3" t="s">
        <v>5297</v>
      </c>
      <c r="G1752" s="3" t="s">
        <v>5314</v>
      </c>
      <c r="H1752" s="3" t="s">
        <v>5508</v>
      </c>
      <c r="I1752" s="3" t="str">
        <f>HYPERLINK("http://www.jccm.es/sede/tramite/L2O","COMUNICACION DE MODIFICACION DE LAS ACTUACIONES")</f>
        <v>COMUNICACION DE MODIFICACION DE LAS ACTUACIONES</v>
      </c>
      <c r="J1752" s="3" t="s">
        <v>42</v>
      </c>
      <c r="K1752" s="3" t="s">
        <v>41</v>
      </c>
      <c r="L1752" s="3" t="s">
        <v>42</v>
      </c>
      <c r="M1752" s="3" t="s">
        <v>41</v>
      </c>
    </row>
    <row r="1753" spans="1:13" ht="138">
      <c r="A1753" s="22" t="s">
        <v>16</v>
      </c>
      <c r="B1753" s="3" t="s">
        <v>5509</v>
      </c>
      <c r="C1753" s="3" t="s">
        <v>5510</v>
      </c>
      <c r="D1753" s="3" t="s">
        <v>45</v>
      </c>
      <c r="E1753" s="3" t="s">
        <v>46</v>
      </c>
      <c r="F1753" s="3" t="s">
        <v>5297</v>
      </c>
      <c r="G1753" s="3" t="s">
        <v>5408</v>
      </c>
      <c r="H1753" s="3" t="s">
        <v>5511</v>
      </c>
      <c r="I1753" s="3" t="str">
        <f>HYPERLINK("http://www.jccm.es/sede/tramite/KKG","SOLICITUD DE DECLARACION Y FINANCIACION DEL AREA DE REGENERACION Y RENOVACION URBANA Y RURAL")</f>
        <v>SOLICITUD DE DECLARACION Y FINANCIACION DEL AREA DE REGENERACION Y RENOVACION URBANA Y RURAL</v>
      </c>
      <c r="J1753" s="3" t="s">
        <v>41</v>
      </c>
      <c r="K1753" s="3" t="s">
        <v>41</v>
      </c>
      <c r="L1753" s="3" t="s">
        <v>42</v>
      </c>
      <c r="M1753" s="3" t="s">
        <v>41</v>
      </c>
    </row>
    <row r="1754" spans="1:13" ht="126.6">
      <c r="A1754" s="22" t="s">
        <v>16</v>
      </c>
      <c r="B1754" s="3" t="s">
        <v>5512</v>
      </c>
      <c r="C1754" s="3" t="s">
        <v>5507</v>
      </c>
      <c r="D1754" s="3" t="s">
        <v>45</v>
      </c>
      <c r="E1754" s="3" t="s">
        <v>46</v>
      </c>
      <c r="F1754" s="3" t="s">
        <v>5297</v>
      </c>
      <c r="G1754" s="3" t="s">
        <v>5408</v>
      </c>
      <c r="H1754" s="3" t="s">
        <v>5513</v>
      </c>
      <c r="I1754" s="3" t="str">
        <f>HYPERLINK("http://www.jccm.es/sede/tramite/KKI","COMUNICACION DE MODIFICACION DE LAS ACTUACIONES")</f>
        <v>COMUNICACION DE MODIFICACION DE LAS ACTUACIONES</v>
      </c>
      <c r="J1754" s="3" t="s">
        <v>42</v>
      </c>
      <c r="K1754" s="3" t="s">
        <v>41</v>
      </c>
      <c r="L1754" s="3" t="s">
        <v>42</v>
      </c>
      <c r="M1754" s="3" t="s">
        <v>41</v>
      </c>
    </row>
    <row r="1755" spans="1:13" ht="80.45">
      <c r="A1755" s="22" t="s">
        <v>16</v>
      </c>
      <c r="B1755" s="3" t="s">
        <v>5514</v>
      </c>
      <c r="C1755" s="3" t="s">
        <v>5515</v>
      </c>
      <c r="D1755" s="3" t="s">
        <v>45</v>
      </c>
      <c r="E1755" s="3" t="s">
        <v>46</v>
      </c>
      <c r="F1755" s="3" t="s">
        <v>5297</v>
      </c>
      <c r="G1755" s="3" t="s">
        <v>5314</v>
      </c>
      <c r="H1755" s="3" t="s">
        <v>5516</v>
      </c>
      <c r="I1755" s="3" t="str">
        <f>HYPERLINK("http://www.jccm.es/sede/tramite/KKF","SOLICITUD DEL RECONOCIMIENTO DEL DERECHO A LA SUBVENCION")</f>
        <v>SOLICITUD DEL RECONOCIMIENTO DEL DERECHO A LA SUBVENCION</v>
      </c>
      <c r="J1755" s="3" t="s">
        <v>41</v>
      </c>
      <c r="K1755" s="3" t="s">
        <v>41</v>
      </c>
      <c r="L1755" s="3" t="s">
        <v>42</v>
      </c>
      <c r="M1755" s="3" t="s">
        <v>41</v>
      </c>
    </row>
    <row r="1756" spans="1:13" ht="252.95">
      <c r="A1756" s="22" t="s">
        <v>16</v>
      </c>
      <c r="B1756" s="3" t="s">
        <v>5517</v>
      </c>
      <c r="C1756" s="3" t="s">
        <v>5518</v>
      </c>
      <c r="D1756" s="3" t="s">
        <v>45</v>
      </c>
      <c r="E1756" s="3" t="s">
        <v>46</v>
      </c>
      <c r="F1756" s="3" t="s">
        <v>5297</v>
      </c>
      <c r="G1756" s="3" t="s">
        <v>5314</v>
      </c>
      <c r="H1756" s="3" t="s">
        <v>5519</v>
      </c>
      <c r="I1756" s="3" t="str">
        <f>HYPERLINK("http://www.jccm.es/sede/tramite/KKJ","SOLICITUD DE ABONO DE LA AYUDA RECONOCIDA PARA ACTUACIONES DE REHABILITACION DE VIVIENDAS, SUSTITUCION DE VIVIENDAS, MEJORA DEL MEDIO URBANO, REALOJOS TEMPORALES Y EQUIPOS DE GESTION EN EL ARRUR")</f>
        <v>SOLICITUD DE ABONO DE LA AYUDA RECONOCIDA PARA ACTUACIONES DE REHABILITACION DE VIVIENDAS, SUSTITUCION DE VIVIENDAS, MEJORA DEL MEDIO URBANO, REALOJOS TEMPORALES Y EQUIPOS DE GESTION EN EL ARRUR</v>
      </c>
      <c r="J1756" s="3" t="s">
        <v>42</v>
      </c>
      <c r="K1756" s="3" t="s">
        <v>41</v>
      </c>
      <c r="L1756" s="3" t="s">
        <v>42</v>
      </c>
      <c r="M1756" s="3" t="s">
        <v>41</v>
      </c>
    </row>
    <row r="1757" spans="1:13" ht="161.1">
      <c r="A1757" s="22" t="s">
        <v>16</v>
      </c>
      <c r="B1757" s="3" t="s">
        <v>5520</v>
      </c>
      <c r="C1757" s="3" t="s">
        <v>5521</v>
      </c>
      <c r="D1757" s="3" t="s">
        <v>5522</v>
      </c>
      <c r="E1757" s="3" t="s">
        <v>46</v>
      </c>
      <c r="F1757" s="3" t="s">
        <v>5297</v>
      </c>
      <c r="G1757" s="3" t="s">
        <v>5314</v>
      </c>
      <c r="H1757" s="3" t="s">
        <v>5523</v>
      </c>
      <c r="I1757" s="3" t="str">
        <f>HYPERLINK("http://www.jccm.es/sede/tramite/L67","SOLICITUD DE ABONO PARA AYUDA RECONOCIDA PARA LA ADQUISICION DE VIVIENDA HABITUAL Y PERMANENTE EN REGIMEN DE PROPIEDAD POR JOVENES.")</f>
        <v>SOLICITUD DE ABONO PARA AYUDA RECONOCIDA PARA LA ADQUISICION DE VIVIENDA HABITUAL Y PERMANENTE EN REGIMEN DE PROPIEDAD POR JOVENES.</v>
      </c>
      <c r="J1757" s="3" t="s">
        <v>42</v>
      </c>
      <c r="K1757" s="3" t="s">
        <v>41</v>
      </c>
      <c r="L1757" s="3" t="s">
        <v>42</v>
      </c>
      <c r="M1757" s="3" t="s">
        <v>41</v>
      </c>
    </row>
    <row r="1758" spans="1:13" ht="218.45">
      <c r="A1758" s="22" t="s">
        <v>16</v>
      </c>
      <c r="B1758" s="3" t="s">
        <v>5524</v>
      </c>
      <c r="C1758" s="3" t="s">
        <v>5525</v>
      </c>
      <c r="D1758" s="3" t="s">
        <v>5522</v>
      </c>
      <c r="E1758" s="3" t="s">
        <v>46</v>
      </c>
      <c r="F1758" s="3" t="s">
        <v>5297</v>
      </c>
      <c r="G1758" s="3" t="s">
        <v>5314</v>
      </c>
      <c r="H1758" s="3" t="s">
        <v>5526</v>
      </c>
      <c r="I1758" s="3" t="str">
        <f>HYPERLINK("http://www.jccm.es/sede/tramite/L66","AYUDAS A LA ADQUISICION DE VIVIENDA EN PROPIEDAD POR LOS JOVENES PARA CONTRIBUIR AL RETO DEMOGRAFICO DE CASTILLA-LA MANCHA, EN EL MARCO DEL PLAN ESTATAL DE VIVIENDA 2022-2025.")</f>
        <v>AYUDAS A LA ADQUISICION DE VIVIENDA EN PROPIEDAD POR LOS JOVENES PARA CONTRIBUIR AL RETO DEMOGRAFICO DE CASTILLA-LA MANCHA, EN EL MARCO DEL PLAN ESTATAL DE VIVIENDA 2022-2025.</v>
      </c>
      <c r="J1758" s="3" t="s">
        <v>42</v>
      </c>
      <c r="K1758" s="3" t="s">
        <v>41</v>
      </c>
      <c r="L1758" s="3" t="s">
        <v>42</v>
      </c>
      <c r="M1758" s="3" t="s">
        <v>41</v>
      </c>
    </row>
    <row r="1759" spans="1:13" ht="161.1">
      <c r="A1759" s="22" t="s">
        <v>16</v>
      </c>
      <c r="B1759" s="3" t="s">
        <v>5527</v>
      </c>
      <c r="C1759" s="3" t="s">
        <v>5528</v>
      </c>
      <c r="D1759" s="3" t="s">
        <v>5529</v>
      </c>
      <c r="E1759" s="3" t="s">
        <v>46</v>
      </c>
      <c r="F1759" s="3" t="s">
        <v>5297</v>
      </c>
      <c r="G1759" s="3" t="s">
        <v>5314</v>
      </c>
      <c r="H1759" s="3" t="s">
        <v>5530</v>
      </c>
      <c r="I1759" s="3" t="str">
        <f>HYPERLINK("http://www.jccm.es/sede/tramite/LAL","COMUNICACION DE MODIFICACION DE LAS CONDICIONES DE LAS AYUDAS AL ARRENDAMIENTO DE VIVIENDAS DIRIGIDAS A VICTIMAS DE VIOLENCIA DE GENERO.")</f>
        <v>COMUNICACION DE MODIFICACION DE LAS CONDICIONES DE LAS AYUDAS AL ARRENDAMIENTO DE VIVIENDAS DIRIGIDAS A VICTIMAS DE VIOLENCIA DE GENERO.</v>
      </c>
      <c r="J1759" s="3" t="s">
        <v>42</v>
      </c>
      <c r="K1759" s="3" t="s">
        <v>41</v>
      </c>
      <c r="L1759" s="3" t="s">
        <v>42</v>
      </c>
      <c r="M1759" s="3" t="s">
        <v>41</v>
      </c>
    </row>
    <row r="1760" spans="1:13" ht="114.95">
      <c r="A1760" s="22" t="s">
        <v>16</v>
      </c>
      <c r="B1760" s="3" t="s">
        <v>5531</v>
      </c>
      <c r="C1760" s="3" t="s">
        <v>5532</v>
      </c>
      <c r="D1760" s="3" t="s">
        <v>5529</v>
      </c>
      <c r="E1760" s="3" t="s">
        <v>46</v>
      </c>
      <c r="F1760" s="3" t="s">
        <v>5297</v>
      </c>
      <c r="G1760" s="3" t="s">
        <v>5314</v>
      </c>
      <c r="H1760" s="3" t="s">
        <v>5533</v>
      </c>
      <c r="I1760" s="3" t="str">
        <f>HYPERLINK("http://www.jccm.es/sede/tramite/LAN","ABONO DE LAS AYUDAS AL ARRENDAMIENTO DE VIVIENDAS DIRIGIDAS A VICTIMAS DE VIOLENCIA DE GENERO")</f>
        <v>ABONO DE LAS AYUDAS AL ARRENDAMIENTO DE VIVIENDAS DIRIGIDAS A VICTIMAS DE VIOLENCIA DE GENERO</v>
      </c>
      <c r="J1760" s="3" t="s">
        <v>42</v>
      </c>
      <c r="K1760" s="3" t="s">
        <v>41</v>
      </c>
      <c r="L1760" s="3" t="s">
        <v>42</v>
      </c>
      <c r="M1760" s="3" t="s">
        <v>41</v>
      </c>
    </row>
    <row r="1761" spans="1:13" ht="114.95">
      <c r="A1761" s="22" t="s">
        <v>16</v>
      </c>
      <c r="B1761" s="3" t="s">
        <v>5534</v>
      </c>
      <c r="C1761" s="3" t="s">
        <v>5535</v>
      </c>
      <c r="D1761" s="3" t="s">
        <v>5529</v>
      </c>
      <c r="E1761" s="3" t="s">
        <v>46</v>
      </c>
      <c r="F1761" s="3" t="s">
        <v>5297</v>
      </c>
      <c r="G1761" s="3" t="s">
        <v>5314</v>
      </c>
      <c r="H1761" s="3" t="s">
        <v>5536</v>
      </c>
      <c r="I1761" s="3" t="str">
        <f>HYPERLINK("http://www.jccm.es/sede/tramite/LAM","SOLICITUD DE AYUDAS AL ARRENDAMIENTO DE VIVIENDAS DIRIGIDAS A VICTIMAS DE VIOLENCIA DE GENERO.")</f>
        <v>SOLICITUD DE AYUDAS AL ARRENDAMIENTO DE VIVIENDAS DIRIGIDAS A VICTIMAS DE VIOLENCIA DE GENERO.</v>
      </c>
      <c r="J1761" s="3" t="s">
        <v>42</v>
      </c>
      <c r="K1761" s="3" t="s">
        <v>41</v>
      </c>
      <c r="L1761" s="3" t="s">
        <v>42</v>
      </c>
      <c r="M1761" s="3" t="s">
        <v>41</v>
      </c>
    </row>
    <row r="1762" spans="1:13" ht="126.6">
      <c r="A1762" s="22" t="s">
        <v>16</v>
      </c>
      <c r="B1762" s="3" t="s">
        <v>5537</v>
      </c>
      <c r="C1762" s="3" t="s">
        <v>5538</v>
      </c>
      <c r="D1762" s="3" t="s">
        <v>327</v>
      </c>
      <c r="E1762" s="3" t="s">
        <v>46</v>
      </c>
      <c r="F1762" s="3" t="s">
        <v>5297</v>
      </c>
      <c r="G1762" s="3" t="s">
        <v>5314</v>
      </c>
      <c r="H1762" s="3" t="s">
        <v>5539</v>
      </c>
      <c r="I1762" s="3" t="str">
        <f>HYPERLINK("http://www.jccm.es/sede/tramite/LGX","SOLICITUD DE AYUDA PARA ACTUACIONES DE REHABILITACION ENERGETICA EN VIVIENDAS EXISTENTES.")</f>
        <v>SOLICITUD DE AYUDA PARA ACTUACIONES DE REHABILITACION ENERGETICA EN VIVIENDAS EXISTENTES.</v>
      </c>
      <c r="J1762" s="3" t="s">
        <v>42</v>
      </c>
      <c r="K1762" s="3" t="s">
        <v>41</v>
      </c>
      <c r="L1762" s="3" t="s">
        <v>42</v>
      </c>
      <c r="M1762" s="3" t="s">
        <v>41</v>
      </c>
    </row>
    <row r="1763" spans="1:13" ht="92.1">
      <c r="A1763" s="22" t="s">
        <v>16</v>
      </c>
      <c r="B1763" s="3" t="s">
        <v>5540</v>
      </c>
      <c r="C1763" s="3" t="s">
        <v>5541</v>
      </c>
      <c r="D1763" s="3" t="s">
        <v>327</v>
      </c>
      <c r="E1763" s="3" t="s">
        <v>46</v>
      </c>
      <c r="F1763" s="3" t="s">
        <v>5297</v>
      </c>
      <c r="G1763" s="3" t="s">
        <v>5314</v>
      </c>
      <c r="H1763" s="3" t="s">
        <v>5542</v>
      </c>
      <c r="I1763" s="3" t="str">
        <f>HYPERLINK("http://www.jccm.es/sede/tramite/LGZ","ABONO DE LA AYUDA PARA LA REHABILITACION ENERGETICA EN EDIFICIOS EXISTENTES")</f>
        <v>ABONO DE LA AYUDA PARA LA REHABILITACION ENERGETICA EN EDIFICIOS EXISTENTES</v>
      </c>
      <c r="J1763" s="3" t="s">
        <v>42</v>
      </c>
      <c r="K1763" s="3" t="s">
        <v>41</v>
      </c>
      <c r="L1763" s="3" t="s">
        <v>42</v>
      </c>
      <c r="M1763" s="3" t="s">
        <v>41</v>
      </c>
    </row>
    <row r="1764" spans="1:13" ht="149.44999999999999">
      <c r="A1764" s="22" t="s">
        <v>16</v>
      </c>
      <c r="B1764" s="3" t="s">
        <v>5543</v>
      </c>
      <c r="C1764" s="3" t="s">
        <v>5544</v>
      </c>
      <c r="D1764" s="3" t="s">
        <v>232</v>
      </c>
      <c r="E1764" s="3" t="s">
        <v>46</v>
      </c>
      <c r="F1764" s="3" t="s">
        <v>5297</v>
      </c>
      <c r="G1764" s="3" t="s">
        <v>5314</v>
      </c>
      <c r="H1764" s="3" t="s">
        <v>5545</v>
      </c>
      <c r="I1764" s="3" t="str">
        <f>HYPERLINK("http://www.jccm.es/sede/tramite/LPQ","AYUDA PARA LA REHABILITACION ENERGETICA EN VIVIENDAS EXISTENTES EN MUNICIPIOS DE RETO DEMOGRAFICO.")</f>
        <v>AYUDA PARA LA REHABILITACION ENERGETICA EN VIVIENDAS EXISTENTES EN MUNICIPIOS DE RETO DEMOGRAFICO.</v>
      </c>
      <c r="J1764" s="3" t="s">
        <v>42</v>
      </c>
      <c r="K1764" s="3" t="s">
        <v>41</v>
      </c>
      <c r="L1764" s="3" t="s">
        <v>42</v>
      </c>
      <c r="M1764" s="3" t="s">
        <v>41</v>
      </c>
    </row>
    <row r="1765" spans="1:13" ht="103.5">
      <c r="A1765" s="22" t="s">
        <v>16</v>
      </c>
      <c r="B1765" s="3" t="s">
        <v>5546</v>
      </c>
      <c r="C1765" s="3" t="s">
        <v>5547</v>
      </c>
      <c r="D1765" s="3" t="s">
        <v>45</v>
      </c>
      <c r="E1765" s="3" t="s">
        <v>37</v>
      </c>
      <c r="F1765" s="3" t="s">
        <v>5297</v>
      </c>
      <c r="G1765" s="3" t="s">
        <v>5314</v>
      </c>
      <c r="H1765" s="3" t="s">
        <v>5548</v>
      </c>
      <c r="I1765" s="3" t="str">
        <f>HYPERLINK("http://www.jccm.es/sede/tramite/JA6","CALIFICACION/DECLARACION PROVISIONAL DE VIVIENDA DE PROTECCION PUBLICA")</f>
        <v>CALIFICACION/DECLARACION PROVISIONAL DE VIVIENDA DE PROTECCION PUBLICA</v>
      </c>
      <c r="J1765" s="3" t="s">
        <v>42</v>
      </c>
      <c r="K1765" s="3" t="s">
        <v>41</v>
      </c>
      <c r="L1765" s="3" t="s">
        <v>42</v>
      </c>
      <c r="M1765" s="3" t="s">
        <v>41</v>
      </c>
    </row>
    <row r="1766" spans="1:13" ht="92.1">
      <c r="A1766" s="22" t="s">
        <v>16</v>
      </c>
      <c r="B1766" s="3" t="s">
        <v>5549</v>
      </c>
      <c r="C1766" s="3" t="s">
        <v>5550</v>
      </c>
      <c r="D1766" s="3" t="s">
        <v>45</v>
      </c>
      <c r="E1766" s="3" t="s">
        <v>37</v>
      </c>
      <c r="F1766" s="3" t="s">
        <v>5297</v>
      </c>
      <c r="G1766" s="3" t="s">
        <v>5314</v>
      </c>
      <c r="H1766" s="3" t="s">
        <v>5551</v>
      </c>
      <c r="I1766" s="3" t="str">
        <f>HYPERLINK("http://www.jccm.es/sede/tramite/JA7","CALIFICACION/DECLARACION DEFINITIVA DE VIVIENDA DE PROTECCION PUBLICA")</f>
        <v>CALIFICACION/DECLARACION DEFINITIVA DE VIVIENDA DE PROTECCION PUBLICA</v>
      </c>
      <c r="J1766" s="3" t="s">
        <v>42</v>
      </c>
      <c r="K1766" s="3" t="s">
        <v>41</v>
      </c>
      <c r="L1766" s="3" t="s">
        <v>42</v>
      </c>
      <c r="M1766" s="3" t="s">
        <v>41</v>
      </c>
    </row>
    <row r="1767" spans="1:13" ht="172.5">
      <c r="A1767" s="22" t="s">
        <v>16</v>
      </c>
      <c r="B1767" s="3" t="s">
        <v>5552</v>
      </c>
      <c r="C1767" s="3" t="s">
        <v>5553</v>
      </c>
      <c r="D1767" s="3" t="s">
        <v>51</v>
      </c>
      <c r="E1767" s="3" t="s">
        <v>46</v>
      </c>
      <c r="F1767" s="3" t="s">
        <v>5297</v>
      </c>
      <c r="G1767" s="3" t="s">
        <v>5408</v>
      </c>
      <c r="H1767" s="3" t="s">
        <v>5554</v>
      </c>
      <c r="I1767" s="3" t="str">
        <f>HYPERLINK("http://www.jccm.es/sede/tramite/J7N","DECLARACION DE INTERES REGIONAL DE LOS PROYECTOS DE SINGULAR INTERES PROMOVIDOS POR PERSONAS O ENTIDADES PARTICULARES")</f>
        <v>DECLARACION DE INTERES REGIONAL DE LOS PROYECTOS DE SINGULAR INTERES PROMOVIDOS POR PERSONAS O ENTIDADES PARTICULARES</v>
      </c>
      <c r="J1767" s="3" t="s">
        <v>42</v>
      </c>
      <c r="K1767" s="3" t="s">
        <v>41</v>
      </c>
      <c r="L1767" s="3" t="s">
        <v>42</v>
      </c>
      <c r="M1767" s="3" t="s">
        <v>41</v>
      </c>
    </row>
    <row r="1768" spans="1:13" ht="69">
      <c r="A1768" s="22" t="s">
        <v>16</v>
      </c>
      <c r="B1768" s="3" t="s">
        <v>5555</v>
      </c>
      <c r="C1768" s="3" t="s">
        <v>5556</v>
      </c>
      <c r="D1768" s="3" t="s">
        <v>45</v>
      </c>
      <c r="E1768" s="3" t="s">
        <v>37</v>
      </c>
      <c r="F1768" s="3" t="s">
        <v>5297</v>
      </c>
      <c r="G1768" s="3" t="s">
        <v>5314</v>
      </c>
      <c r="H1768" s="3" t="s">
        <v>5557</v>
      </c>
      <c r="I1768" s="3" t="str">
        <f>HYPERLINK("http://www.jccm.es/sede/tramite/JQR","VISADOS DE CONTRATOS DE VIVIENDA")</f>
        <v>VISADOS DE CONTRATOS DE VIVIENDA</v>
      </c>
      <c r="J1768" s="3" t="s">
        <v>42</v>
      </c>
      <c r="K1768" s="3" t="s">
        <v>41</v>
      </c>
      <c r="L1768" s="3" t="s">
        <v>42</v>
      </c>
      <c r="M1768" s="3" t="s">
        <v>41</v>
      </c>
    </row>
    <row r="1769" spans="1:13" ht="172.5">
      <c r="A1769" s="22" t="s">
        <v>16</v>
      </c>
      <c r="B1769" s="3" t="s">
        <v>5558</v>
      </c>
      <c r="C1769" s="3" t="s">
        <v>5559</v>
      </c>
      <c r="D1769" s="3" t="s">
        <v>95</v>
      </c>
      <c r="E1769" s="3" t="s">
        <v>95</v>
      </c>
      <c r="F1769" s="3" t="s">
        <v>5297</v>
      </c>
      <c r="G1769" s="3" t="s">
        <v>5321</v>
      </c>
      <c r="H1769" s="3" t="s">
        <v>5560</v>
      </c>
      <c r="I1769" s="3" t="str">
        <f>HYPERLINK("http://www.jccm.es/sede/tramite/H30","PRUEBAS DE COMPETENCIA PROFESIONAL PARA LA REALIZACION DE TRANSPORTE PUBLICO INTERIOR E INTERNACIONAL DE VIAJEROS Y MERCANCIAS.")</f>
        <v>PRUEBAS DE COMPETENCIA PROFESIONAL PARA LA REALIZACION DE TRANSPORTE PUBLICO INTERIOR E INTERNACIONAL DE VIAJEROS Y MERCANCIAS.</v>
      </c>
      <c r="J1769" s="3" t="s">
        <v>41</v>
      </c>
      <c r="K1769" s="3" t="s">
        <v>41</v>
      </c>
      <c r="L1769" s="3" t="s">
        <v>42</v>
      </c>
      <c r="M1769" s="3" t="s">
        <v>42</v>
      </c>
    </row>
    <row r="1770" spans="1:13" ht="92.1">
      <c r="A1770" s="22" t="s">
        <v>16</v>
      </c>
      <c r="B1770" s="3" t="s">
        <v>5561</v>
      </c>
      <c r="C1770" s="3" t="s">
        <v>5562</v>
      </c>
      <c r="D1770" s="3" t="s">
        <v>95</v>
      </c>
      <c r="E1770" s="3" t="s">
        <v>95</v>
      </c>
      <c r="F1770" s="3" t="s">
        <v>5297</v>
      </c>
      <c r="G1770" s="3" t="s">
        <v>5321</v>
      </c>
      <c r="H1770" s="3" t="s">
        <v>5563</v>
      </c>
      <c r="I1770" s="3" t="str">
        <f>HYPERLINK("http://www.jccm.es/sede/tramite/H50","PRUEBAS DE CONSEJEROS DE SEGURIDAD PARA EL TRANSPORTE")</f>
        <v>PRUEBAS DE CONSEJEROS DE SEGURIDAD PARA EL TRANSPORTE</v>
      </c>
      <c r="J1770" s="3" t="s">
        <v>42</v>
      </c>
      <c r="K1770" s="3" t="s">
        <v>41</v>
      </c>
      <c r="L1770" s="3" t="s">
        <v>42</v>
      </c>
      <c r="M1770" s="3" t="s">
        <v>41</v>
      </c>
    </row>
    <row r="1771" spans="1:13" ht="276">
      <c r="A1771" s="22" t="s">
        <v>16</v>
      </c>
      <c r="B1771" s="3" t="s">
        <v>5564</v>
      </c>
      <c r="C1771" s="3" t="s">
        <v>5565</v>
      </c>
      <c r="D1771" s="3" t="s">
        <v>95</v>
      </c>
      <c r="E1771" s="3" t="s">
        <v>95</v>
      </c>
      <c r="F1771" s="3" t="s">
        <v>5297</v>
      </c>
      <c r="G1771" s="3" t="s">
        <v>5321</v>
      </c>
      <c r="H1771" s="3" t="s">
        <v>5566</v>
      </c>
      <c r="I1771" s="3" t="str">
        <f>HYPERLINK("http://www.jccm.es/sede/tramite/J3K","PRUEBAS PARA LA OBTENCION DEL CERTIFICADO DE APTITUD PROFESIONAL ACREDITATIVO DE LA CUALIFICACION INICIAL DE LOS CONDUCTORES DE DETERMINADOS VEHICULOS DESTINADOS AL TRANSPORTE POR CARRETERA.")</f>
        <v>PRUEBAS PARA LA OBTENCION DEL CERTIFICADO DE APTITUD PROFESIONAL ACREDITATIVO DE LA CUALIFICACION INICIAL DE LOS CONDUCTORES DE DETERMINADOS VEHICULOS DESTINADOS AL TRANSPORTE POR CARRETERA.</v>
      </c>
      <c r="J1771" s="3" t="s">
        <v>41</v>
      </c>
      <c r="K1771" s="3" t="s">
        <v>41</v>
      </c>
      <c r="L1771" s="3" t="s">
        <v>42</v>
      </c>
      <c r="M1771" s="3" t="s">
        <v>42</v>
      </c>
    </row>
    <row r="1772" spans="1:13" ht="92.1">
      <c r="A1772" s="22" t="s">
        <v>16</v>
      </c>
      <c r="B1772" s="3" t="s">
        <v>5567</v>
      </c>
      <c r="C1772" s="3" t="s">
        <v>5568</v>
      </c>
      <c r="D1772" s="3" t="s">
        <v>70</v>
      </c>
      <c r="E1772" s="3" t="s">
        <v>37</v>
      </c>
      <c r="F1772" s="3" t="s">
        <v>5297</v>
      </c>
      <c r="G1772" s="3" t="s">
        <v>5321</v>
      </c>
      <c r="H1772" s="3" t="s">
        <v>5569</v>
      </c>
      <c r="I1772" s="3" t="str">
        <f>HYPERLINK("http://www.jccm.es/sede/tramite/JAK","HOMOLOGACION DE CURSOS DE FORMACION DE CONDUCTORES (CAP).")</f>
        <v>HOMOLOGACION DE CURSOS DE FORMACION DE CONDUCTORES (CAP).</v>
      </c>
      <c r="J1772" s="3" t="s">
        <v>41</v>
      </c>
      <c r="K1772" s="3" t="s">
        <v>41</v>
      </c>
      <c r="L1772" s="3" t="s">
        <v>42</v>
      </c>
      <c r="M1772" s="3" t="s">
        <v>42</v>
      </c>
    </row>
    <row r="1773" spans="1:13" ht="126.6">
      <c r="A1773" s="22" t="s">
        <v>16</v>
      </c>
      <c r="B1773" s="3" t="s">
        <v>5570</v>
      </c>
      <c r="C1773" s="3" t="s">
        <v>5571</v>
      </c>
      <c r="D1773" s="3" t="s">
        <v>51</v>
      </c>
      <c r="E1773" s="3" t="s">
        <v>46</v>
      </c>
      <c r="F1773" s="3" t="s">
        <v>5297</v>
      </c>
      <c r="G1773" s="3" t="s">
        <v>5408</v>
      </c>
      <c r="H1773" s="3" t="s">
        <v>5572</v>
      </c>
      <c r="I1773" s="3" t="str">
        <f>HYPERLINK("http://www.jccm.es/sede/tramite/JA2","APROBACION DE PROYECTO DE SINGULAR INTERES PROMOVIDO POR PERSONAS O ENTIDADES PARTICULARES.")</f>
        <v>APROBACION DE PROYECTO DE SINGULAR INTERES PROMOVIDO POR PERSONAS O ENTIDADES PARTICULARES.</v>
      </c>
      <c r="J1773" s="3" t="s">
        <v>42</v>
      </c>
      <c r="K1773" s="3" t="s">
        <v>41</v>
      </c>
      <c r="L1773" s="3" t="s">
        <v>42</v>
      </c>
      <c r="M1773" s="3" t="s">
        <v>41</v>
      </c>
    </row>
    <row r="1774" spans="1:13" ht="161.1">
      <c r="A1774" s="22" t="s">
        <v>16</v>
      </c>
      <c r="B1774" s="3" t="s">
        <v>5573</v>
      </c>
      <c r="C1774" s="3" t="s">
        <v>5574</v>
      </c>
      <c r="D1774" s="3" t="s">
        <v>45</v>
      </c>
      <c r="E1774" s="3" t="s">
        <v>37</v>
      </c>
      <c r="F1774" s="3" t="s">
        <v>5297</v>
      </c>
      <c r="G1774" s="3" t="s">
        <v>5321</v>
      </c>
      <c r="H1774" s="3" t="s">
        <v>5575</v>
      </c>
      <c r="I1774" s="3" t="str">
        <f>HYPERLINK("http://www.jccm.es/sede/tramite/KZZ","SOLICITUD POR AYUNTAMIENTOS A LA CONSEJERIA DE FOMENTO PARA EMISION INFORME VINCULANTE EN MATERIA DE AUTORIZACIONES INTERURBANAS DE TAXI.")</f>
        <v>SOLICITUD POR AYUNTAMIENTOS A LA CONSEJERIA DE FOMENTO PARA EMISION INFORME VINCULANTE EN MATERIA DE AUTORIZACIONES INTERURBANAS DE TAXI.</v>
      </c>
      <c r="J1774" s="3" t="s">
        <v>41</v>
      </c>
      <c r="K1774" s="3" t="s">
        <v>41</v>
      </c>
      <c r="L1774" s="3" t="s">
        <v>42</v>
      </c>
      <c r="M1774" s="3" t="s">
        <v>41</v>
      </c>
    </row>
    <row r="1775" spans="1:13" ht="149.44999999999999">
      <c r="A1775" s="22" t="s">
        <v>16</v>
      </c>
      <c r="B1775" s="3" t="s">
        <v>5576</v>
      </c>
      <c r="C1775" s="3" t="s">
        <v>5577</v>
      </c>
      <c r="D1775" s="3" t="s">
        <v>700</v>
      </c>
      <c r="E1775" s="3" t="s">
        <v>46</v>
      </c>
      <c r="F1775" s="3" t="s">
        <v>5297</v>
      </c>
      <c r="G1775" s="3" t="s">
        <v>5314</v>
      </c>
      <c r="H1775" s="3" t="s">
        <v>5578</v>
      </c>
      <c r="I1775" s="3" t="str">
        <f>HYPERLINK("http://www.jccm.es/sede/tramite/LQ9","SOLICITUD DE AYUDAS AL ARRENDAMIENTO DE VIVIENDA LIBRE A TRAVES DEL PROGRAMA DE ALQUILER CON GARANTIAS ESPECIALES.")</f>
        <v>SOLICITUD DE AYUDAS AL ARRENDAMIENTO DE VIVIENDA LIBRE A TRAVES DEL PROGRAMA DE ALQUILER CON GARANTIAS ESPECIALES.</v>
      </c>
      <c r="J1775" s="3" t="s">
        <v>41</v>
      </c>
      <c r="K1775" s="3" t="s">
        <v>41</v>
      </c>
      <c r="L1775" s="3" t="s">
        <v>42</v>
      </c>
      <c r="M1775" s="3" t="s">
        <v>41</v>
      </c>
    </row>
    <row r="1776" spans="1:13" ht="161.1">
      <c r="A1776" s="22" t="s">
        <v>16</v>
      </c>
      <c r="B1776" s="3" t="s">
        <v>5579</v>
      </c>
      <c r="C1776" s="3" t="s">
        <v>5580</v>
      </c>
      <c r="D1776" s="3" t="s">
        <v>45</v>
      </c>
      <c r="E1776" s="3" t="s">
        <v>46</v>
      </c>
      <c r="F1776" s="3" t="s">
        <v>5297</v>
      </c>
      <c r="G1776" s="3" t="s">
        <v>5321</v>
      </c>
      <c r="H1776" s="3" t="s">
        <v>5581</v>
      </c>
      <c r="I1776" s="3" t="str">
        <f>HYPERLINK("http://www.jccm.es/sede/tramite/JAL","EXPEDICION (PRIMERA EMISION), RENOVACION, MODIFICACION DE DATOS O SUSTITUCION DE LA TARJETA DE TACOGRAFO DIGITAL DE EMPRESA.")</f>
        <v>EXPEDICION (PRIMERA EMISION), RENOVACION, MODIFICACION DE DATOS O SUSTITUCION DE LA TARJETA DE TACOGRAFO DIGITAL DE EMPRESA.</v>
      </c>
      <c r="J1776" s="3" t="s">
        <v>41</v>
      </c>
      <c r="K1776" s="3" t="s">
        <v>41</v>
      </c>
      <c r="L1776" s="3" t="s">
        <v>42</v>
      </c>
      <c r="M1776" s="3" t="s">
        <v>41</v>
      </c>
    </row>
    <row r="1777" spans="1:13" ht="172.5">
      <c r="A1777" s="22" t="s">
        <v>16</v>
      </c>
      <c r="B1777" s="3" t="s">
        <v>5582</v>
      </c>
      <c r="C1777" s="3" t="s">
        <v>5583</v>
      </c>
      <c r="D1777" s="3" t="s">
        <v>45</v>
      </c>
      <c r="E1777" s="3" t="s">
        <v>46</v>
      </c>
      <c r="F1777" s="3" t="s">
        <v>5297</v>
      </c>
      <c r="G1777" s="3" t="s">
        <v>5321</v>
      </c>
      <c r="H1777" s="3" t="s">
        <v>5584</v>
      </c>
      <c r="I1777" s="3" t="str">
        <f>HYPERLINK("http://www.jccm.es/sede/tramite/KZE","EXPEDICION (PRIMERA EMISION), RENOVACION, MODIFICACION DE DATOS O SUSTITUCION DE TARJETA DE TACOGRAFO DIGITAL DE CENTRO DE ENSAYO.")</f>
        <v>EXPEDICION (PRIMERA EMISION), RENOVACION, MODIFICACION DE DATOS O SUSTITUCION DE TARJETA DE TACOGRAFO DIGITAL DE CENTRO DE ENSAYO.</v>
      </c>
      <c r="J1777" s="3" t="s">
        <v>41</v>
      </c>
      <c r="K1777" s="3" t="s">
        <v>41</v>
      </c>
      <c r="L1777" s="3" t="s">
        <v>42</v>
      </c>
      <c r="M1777" s="3" t="s">
        <v>41</v>
      </c>
    </row>
    <row r="1778" spans="1:13" ht="172.5">
      <c r="A1778" s="22" t="s">
        <v>16</v>
      </c>
      <c r="B1778" s="3" t="s">
        <v>5585</v>
      </c>
      <c r="C1778" s="3" t="s">
        <v>5586</v>
      </c>
      <c r="D1778" s="3" t="s">
        <v>45</v>
      </c>
      <c r="E1778" s="3" t="s">
        <v>46</v>
      </c>
      <c r="F1778" s="3" t="s">
        <v>5297</v>
      </c>
      <c r="G1778" s="3" t="s">
        <v>5321</v>
      </c>
      <c r="H1778" s="3" t="s">
        <v>5587</v>
      </c>
      <c r="I1778" s="3" t="str">
        <f>HYPERLINK("http://www.jccm.es/sede/tramite/JAE","EXPEDICION (PRIMERA EMISION), RENOVACION, MODIFICACION DE DATOS, SUSTITUCION O CANJE DE TARJETA DE TACOGRAFO DIGITAL DE CONDUCTOR.")</f>
        <v>EXPEDICION (PRIMERA EMISION), RENOVACION, MODIFICACION DE DATOS, SUSTITUCION O CANJE DE TARJETA DE TACOGRAFO DIGITAL DE CONDUCTOR.</v>
      </c>
      <c r="J1778" s="3" t="s">
        <v>41</v>
      </c>
      <c r="K1778" s="3" t="s">
        <v>41</v>
      </c>
      <c r="L1778" s="3" t="s">
        <v>42</v>
      </c>
      <c r="M1778" s="3" t="s">
        <v>41</v>
      </c>
    </row>
    <row r="1779" spans="1:13" ht="69">
      <c r="A1779" s="22" t="s">
        <v>16</v>
      </c>
      <c r="B1779" s="3" t="s">
        <v>5588</v>
      </c>
      <c r="C1779" s="3" t="s">
        <v>5589</v>
      </c>
      <c r="D1779" s="3" t="s">
        <v>45</v>
      </c>
      <c r="E1779" s="3" t="s">
        <v>46</v>
      </c>
      <c r="F1779" s="3" t="s">
        <v>5297</v>
      </c>
      <c r="G1779" s="3" t="s">
        <v>5359</v>
      </c>
      <c r="H1779" s="3" t="s">
        <v>5590</v>
      </c>
      <c r="I1779" s="3" t="str">
        <f>HYPERLINK("http://www.jccm.es/sede/tramite/J7Q","REVERSION DE BIENES Y/O DERECHOS EXPROPIADOS POR LA CONSEJERIA DE FOMENTO.")</f>
        <v>REVERSION DE BIENES Y/O DERECHOS EXPROPIADOS POR LA CONSEJERIA DE FOMENTO.</v>
      </c>
      <c r="J1779" s="3" t="s">
        <v>42</v>
      </c>
      <c r="K1779" s="3" t="s">
        <v>41</v>
      </c>
      <c r="L1779" s="3" t="s">
        <v>42</v>
      </c>
      <c r="M1779" s="3" t="s">
        <v>41</v>
      </c>
    </row>
    <row r="1780" spans="1:13" ht="114.95">
      <c r="A1780" s="22" t="s">
        <v>16</v>
      </c>
      <c r="B1780" s="3" t="s">
        <v>5591</v>
      </c>
      <c r="C1780" s="3" t="s">
        <v>5592</v>
      </c>
      <c r="D1780" s="3" t="s">
        <v>95</v>
      </c>
      <c r="E1780" s="3" t="s">
        <v>95</v>
      </c>
      <c r="F1780" s="3" t="s">
        <v>5297</v>
      </c>
      <c r="G1780" s="3" t="s">
        <v>5359</v>
      </c>
      <c r="H1780" s="3" t="s">
        <v>5593</v>
      </c>
      <c r="I1780" s="3" t="str">
        <f>HYPERLINK("http://www.jccm.es/sede/tramite/LSZ","ALEGACIONES AL TRAMITE DE INFORMACION PUBLICA EN EL PROCEDIMIENTO DE EXPROPIACION FORZOSA")</f>
        <v>ALEGACIONES AL TRAMITE DE INFORMACION PUBLICA EN EL PROCEDIMIENTO DE EXPROPIACION FORZOSA</v>
      </c>
      <c r="J1780" s="3" t="s">
        <v>42</v>
      </c>
      <c r="K1780" s="3" t="s">
        <v>41</v>
      </c>
      <c r="L1780" s="3" t="s">
        <v>42</v>
      </c>
      <c r="M1780" s="3" t="s">
        <v>41</v>
      </c>
    </row>
    <row r="1781" spans="1:13" ht="69">
      <c r="A1781" s="22" t="s">
        <v>16</v>
      </c>
      <c r="B1781" s="3" t="s">
        <v>5594</v>
      </c>
      <c r="C1781" s="3" t="s">
        <v>5595</v>
      </c>
      <c r="D1781" s="3" t="s">
        <v>95</v>
      </c>
      <c r="E1781" s="3" t="s">
        <v>95</v>
      </c>
      <c r="F1781" s="3" t="s">
        <v>5297</v>
      </c>
      <c r="G1781" s="3" t="s">
        <v>5359</v>
      </c>
      <c r="H1781" s="3" t="s">
        <v>5596</v>
      </c>
      <c r="I1781" s="3" t="str">
        <f>HYPERLINK("http://www.jccm.es/sede/tramite/L53","HOJA DE APRECIO PARA LA FIJACION DEL JUSTIPRECIO")</f>
        <v>HOJA DE APRECIO PARA LA FIJACION DEL JUSTIPRECIO</v>
      </c>
      <c r="J1781" s="3" t="s">
        <v>42</v>
      </c>
      <c r="K1781" s="3" t="s">
        <v>41</v>
      </c>
      <c r="L1781" s="3" t="s">
        <v>42</v>
      </c>
      <c r="M1781" s="3" t="s">
        <v>41</v>
      </c>
    </row>
    <row r="1782" spans="1:13" ht="103.5">
      <c r="A1782" s="22" t="s">
        <v>16</v>
      </c>
      <c r="B1782" s="3" t="s">
        <v>5597</v>
      </c>
      <c r="C1782" s="3" t="s">
        <v>5598</v>
      </c>
      <c r="D1782" s="3" t="s">
        <v>5599</v>
      </c>
      <c r="E1782" s="3" t="s">
        <v>1368</v>
      </c>
      <c r="F1782" s="3" t="s">
        <v>5297</v>
      </c>
      <c r="G1782" s="3" t="s">
        <v>5321</v>
      </c>
      <c r="H1782" s="3" t="s">
        <v>5600</v>
      </c>
      <c r="I1782" s="3" t="str">
        <f>HYPERLINK("http://www.jccm.es/sede/tramite/KPF","ALEGACIONES EXPEDIENTES SANCIONADORES EN MATERIA DE TRANSPORTES")</f>
        <v>ALEGACIONES EXPEDIENTES SANCIONADORES EN MATERIA DE TRANSPORTES</v>
      </c>
      <c r="J1782" s="3" t="s">
        <v>42</v>
      </c>
      <c r="K1782" s="3" t="s">
        <v>41</v>
      </c>
      <c r="L1782" s="3" t="s">
        <v>42</v>
      </c>
      <c r="M1782" s="3" t="s">
        <v>41</v>
      </c>
    </row>
    <row r="1783" spans="1:13" ht="103.5">
      <c r="A1783" s="22" t="s">
        <v>16</v>
      </c>
      <c r="B1783" s="3" t="s">
        <v>5601</v>
      </c>
      <c r="C1783" s="3" t="s">
        <v>5602</v>
      </c>
      <c r="D1783" s="3" t="s">
        <v>45</v>
      </c>
      <c r="E1783" s="3" t="s">
        <v>37</v>
      </c>
      <c r="F1783" s="3" t="s">
        <v>5297</v>
      </c>
      <c r="G1783" s="3" t="s">
        <v>5314</v>
      </c>
      <c r="H1783" s="3" t="s">
        <v>5603</v>
      </c>
      <c r="I1783" s="3" t="str">
        <f>HYPERLINK("http://www.jccm.es/sede/tramite/KK2","PROGRAMA DE ASISTENCIA, ASESORAMIENTO E INTERMEDIACION HIPOTECARIA")</f>
        <v>PROGRAMA DE ASISTENCIA, ASESORAMIENTO E INTERMEDIACION HIPOTECARIA</v>
      </c>
      <c r="J1783" s="3" t="s">
        <v>42</v>
      </c>
      <c r="K1783" s="3" t="s">
        <v>41</v>
      </c>
      <c r="L1783" s="3" t="s">
        <v>42</v>
      </c>
      <c r="M1783" s="3" t="s">
        <v>41</v>
      </c>
    </row>
    <row r="1784" spans="1:13" ht="138">
      <c r="A1784" s="22" t="s">
        <v>16</v>
      </c>
      <c r="B1784" s="3" t="s">
        <v>5604</v>
      </c>
      <c r="C1784" s="3" t="s">
        <v>5605</v>
      </c>
      <c r="D1784" s="3" t="s">
        <v>327</v>
      </c>
      <c r="E1784" s="3" t="s">
        <v>46</v>
      </c>
      <c r="F1784" s="3" t="s">
        <v>5297</v>
      </c>
      <c r="G1784" s="3" t="s">
        <v>5297</v>
      </c>
      <c r="H1784" s="3" t="s">
        <v>5606</v>
      </c>
      <c r="I1784" s="3" t="str">
        <f>HYPERLINK("http://www.jccm.es/sede/tramite/KXA","PROCESO SELECTIVO PARA LA AMPLIACION DE LA BOLSA DE TRABAJO DEL CUERPO TECNICO, ESPECIALIDAD ARQUITECTURA TECNICA.")</f>
        <v>PROCESO SELECTIVO PARA LA AMPLIACION DE LA BOLSA DE TRABAJO DEL CUERPO TECNICO, ESPECIALIDAD ARQUITECTURA TECNICA.</v>
      </c>
      <c r="J1784" s="3" t="s">
        <v>41</v>
      </c>
      <c r="K1784" s="3" t="s">
        <v>41</v>
      </c>
      <c r="L1784" s="3" t="s">
        <v>42</v>
      </c>
      <c r="M1784" s="3" t="s">
        <v>41</v>
      </c>
    </row>
    <row r="1785" spans="1:13" ht="149.44999999999999">
      <c r="A1785" s="22" t="s">
        <v>16</v>
      </c>
      <c r="B1785" s="3" t="s">
        <v>5607</v>
      </c>
      <c r="C1785" s="3" t="s">
        <v>5608</v>
      </c>
      <c r="D1785" s="3" t="s">
        <v>327</v>
      </c>
      <c r="E1785" s="3" t="s">
        <v>46</v>
      </c>
      <c r="F1785" s="3" t="s">
        <v>5297</v>
      </c>
      <c r="G1785" s="3" t="s">
        <v>5297</v>
      </c>
      <c r="H1785" s="3" t="s">
        <v>5609</v>
      </c>
      <c r="I1785" s="3" t="str">
        <f>HYPERLINK("http://www.jccm.es/sede/tramite/LWX","PROCESO SELECTIVO PARA LA AMPLIACION DE LA BOLSA DE TRABAJO DEL CUERPO SUPERIOR, ESPECIALIDAD ARQUITECTURA SUPERIOR.")</f>
        <v>PROCESO SELECTIVO PARA LA AMPLIACION DE LA BOLSA DE TRABAJO DEL CUERPO SUPERIOR, ESPECIALIDAD ARQUITECTURA SUPERIOR.</v>
      </c>
      <c r="J1785" s="3" t="s">
        <v>41</v>
      </c>
      <c r="K1785" s="3" t="s">
        <v>41</v>
      </c>
      <c r="L1785" s="3" t="s">
        <v>42</v>
      </c>
      <c r="M1785" s="3" t="s">
        <v>41</v>
      </c>
    </row>
    <row r="1786" spans="1:13" ht="299.10000000000002">
      <c r="A1786" s="22" t="s">
        <v>16</v>
      </c>
      <c r="B1786" s="3" t="s">
        <v>5610</v>
      </c>
      <c r="C1786" s="3" t="s">
        <v>5611</v>
      </c>
      <c r="D1786" s="3" t="s">
        <v>5612</v>
      </c>
      <c r="E1786" s="3" t="s">
        <v>46</v>
      </c>
      <c r="F1786" s="3" t="s">
        <v>5297</v>
      </c>
      <c r="G1786" s="3" t="s">
        <v>5359</v>
      </c>
      <c r="H1786" s="3" t="s">
        <v>5613</v>
      </c>
      <c r="I1786" s="3" t="str">
        <f>HYPERLINK("http://www.jccm.es/sede/tramite/J7R","RESPONSABILIDAD PATRIMONIAL.")</f>
        <v>RESPONSABILIDAD PATRIMONIAL.</v>
      </c>
      <c r="J1786" s="3" t="s">
        <v>42</v>
      </c>
      <c r="K1786" s="3" t="s">
        <v>41</v>
      </c>
      <c r="L1786" s="3" t="s">
        <v>42</v>
      </c>
      <c r="M1786" s="3" t="s">
        <v>41</v>
      </c>
    </row>
    <row r="1787" spans="1:13" ht="241.5">
      <c r="A1787" s="22" t="s">
        <v>16</v>
      </c>
      <c r="B1787" s="3" t="s">
        <v>5614</v>
      </c>
      <c r="C1787" s="3" t="s">
        <v>5615</v>
      </c>
      <c r="D1787" s="3" t="s">
        <v>5616</v>
      </c>
      <c r="E1787" s="3" t="s">
        <v>46</v>
      </c>
      <c r="F1787" s="3" t="s">
        <v>5297</v>
      </c>
      <c r="G1787" s="3" t="s">
        <v>5314</v>
      </c>
      <c r="H1787" s="3" t="s">
        <v>5617</v>
      </c>
      <c r="I1787" s="3" t="str">
        <f>HYPERLINK("http://www.jccm.es/sede/tramite/LD1","MORATORIA EXTRAORDINARIA EN EL PAGO DE LA RENTA, PARA PERSONAS EN SITUACION DE VULNERABILIDAD ECONOMICA A CAUSA DEL COVID-19. VIVIENDAS PERTENECIENTES AL PARQUE PUBLICO DE VIVIENDA JCCM")</f>
        <v>MORATORIA EXTRAORDINARIA EN EL PAGO DE LA RENTA, PARA PERSONAS EN SITUACION DE VULNERABILIDAD ECONOMICA A CAUSA DEL COVID-19. VIVIENDAS PERTENECIENTES AL PARQUE PUBLICO DE VIVIENDA JCCM</v>
      </c>
      <c r="J1787" s="3" t="s">
        <v>41</v>
      </c>
      <c r="K1787" s="3" t="s">
        <v>41</v>
      </c>
      <c r="L1787" s="3" t="s">
        <v>42</v>
      </c>
      <c r="M1787" s="3" t="s">
        <v>41</v>
      </c>
    </row>
    <row r="1788" spans="1:13" ht="230.1">
      <c r="A1788" s="22" t="s">
        <v>16</v>
      </c>
      <c r="B1788" s="3" t="s">
        <v>5618</v>
      </c>
      <c r="C1788" s="3" t="s">
        <v>5619</v>
      </c>
      <c r="D1788" s="3" t="s">
        <v>5616</v>
      </c>
      <c r="E1788" s="3" t="s">
        <v>46</v>
      </c>
      <c r="F1788" s="3" t="s">
        <v>5297</v>
      </c>
      <c r="G1788" s="3" t="s">
        <v>5314</v>
      </c>
      <c r="H1788" s="3" t="s">
        <v>5620</v>
      </c>
      <c r="I1788" s="3" t="str">
        <f>HYPERLINK("http://www.jccm.es/sede/tramite/LD2","MORATORIA EXTRAORDINARIA EN EL PAGO DE LA RENTA, PARA PERSONAS EN SITUACION DE VULNERABILIDAD ECONOMICA A CAUSA DEL COVID-19. VIVIENDAS PERTENECIENTES A LA EMPRESA PUBLICA GICAMAN")</f>
        <v>MORATORIA EXTRAORDINARIA EN EL PAGO DE LA RENTA, PARA PERSONAS EN SITUACION DE VULNERABILIDAD ECONOMICA A CAUSA DEL COVID-19. VIVIENDAS PERTENECIENTES A LA EMPRESA PUBLICA GICAMAN</v>
      </c>
      <c r="J1788" s="3" t="s">
        <v>41</v>
      </c>
      <c r="K1788" s="3" t="s">
        <v>41</v>
      </c>
      <c r="L1788" s="3" t="s">
        <v>42</v>
      </c>
      <c r="M1788" s="3" t="s">
        <v>41</v>
      </c>
    </row>
    <row r="1789" spans="1:13" ht="92.1">
      <c r="A1789" s="22" t="s">
        <v>16</v>
      </c>
      <c r="B1789" s="3" t="s">
        <v>5621</v>
      </c>
      <c r="C1789" s="3" t="s">
        <v>5622</v>
      </c>
      <c r="D1789" s="3" t="s">
        <v>95</v>
      </c>
      <c r="E1789" s="3" t="s">
        <v>95</v>
      </c>
      <c r="F1789" s="3" t="s">
        <v>5297</v>
      </c>
      <c r="G1789" s="3" t="s">
        <v>5314</v>
      </c>
      <c r="H1789" s="3" t="s">
        <v>5623</v>
      </c>
      <c r="I1789" s="3" t="str">
        <f>HYPERLINK("http://www.jccm.es/sede/tramite/LGK","MODIFICACION DEL DEPOSITO DE FIANZA DE ARRENDAMIENTOS URBANOS.")</f>
        <v>MODIFICACION DEL DEPOSITO DE FIANZA DE ARRENDAMIENTOS URBANOS.</v>
      </c>
      <c r="J1789" s="3" t="s">
        <v>42</v>
      </c>
      <c r="K1789" s="3" t="s">
        <v>41</v>
      </c>
      <c r="L1789" s="3" t="s">
        <v>42</v>
      </c>
      <c r="M1789" s="3" t="s">
        <v>41</v>
      </c>
    </row>
    <row r="1790" spans="1:13" ht="138">
      <c r="A1790" s="22" t="s">
        <v>16</v>
      </c>
      <c r="B1790" s="3" t="s">
        <v>5624</v>
      </c>
      <c r="C1790" s="3" t="s">
        <v>5625</v>
      </c>
      <c r="D1790" s="3" t="s">
        <v>95</v>
      </c>
      <c r="E1790" s="3" t="s">
        <v>95</v>
      </c>
      <c r="F1790" s="3" t="s">
        <v>5297</v>
      </c>
      <c r="G1790" s="3" t="s">
        <v>5314</v>
      </c>
      <c r="H1790" s="3" t="s">
        <v>5626</v>
      </c>
      <c r="I1790" s="3" t="str">
        <f>HYPERLINK("http://www.jccm.es/sede/tramite/LGL","SOLICITUD DE CERTIFICACION DE CONSTITUCION DEL DEPOSITO DE FIANZAS DE ARRENDAMIENTOS URBANOS.")</f>
        <v>SOLICITUD DE CERTIFICACION DE CONSTITUCION DEL DEPOSITO DE FIANZAS DE ARRENDAMIENTOS URBANOS.</v>
      </c>
      <c r="J1790" s="3" t="s">
        <v>42</v>
      </c>
      <c r="K1790" s="3" t="s">
        <v>41</v>
      </c>
      <c r="L1790" s="3" t="s">
        <v>42</v>
      </c>
      <c r="M1790" s="3" t="s">
        <v>41</v>
      </c>
    </row>
    <row r="1791" spans="1:13" ht="92.1">
      <c r="A1791" s="22" t="s">
        <v>16</v>
      </c>
      <c r="B1791" s="3" t="s">
        <v>5627</v>
      </c>
      <c r="C1791" s="3" t="s">
        <v>5628</v>
      </c>
      <c r="D1791" s="3" t="s">
        <v>95</v>
      </c>
      <c r="E1791" s="3" t="s">
        <v>95</v>
      </c>
      <c r="F1791" s="3" t="s">
        <v>5297</v>
      </c>
      <c r="G1791" s="3" t="s">
        <v>5314</v>
      </c>
      <c r="H1791" s="3" t="s">
        <v>5629</v>
      </c>
      <c r="I1791" s="3" t="str">
        <f>HYPERLINK("http://www.jccm.es/sede/tramite/L7X","DEVOLUCION DEL DEPOSITO DE FIANZA DE ARRENDAMIENTOS URBANOS.")</f>
        <v>DEVOLUCION DEL DEPOSITO DE FIANZA DE ARRENDAMIENTOS URBANOS.</v>
      </c>
      <c r="J1791" s="3" t="s">
        <v>42</v>
      </c>
      <c r="K1791" s="3" t="s">
        <v>41</v>
      </c>
      <c r="L1791" s="3" t="s">
        <v>42</v>
      </c>
      <c r="M1791" s="3" t="s">
        <v>41</v>
      </c>
    </row>
    <row r="1792" spans="1:13" ht="69">
      <c r="A1792" s="22" t="s">
        <v>16</v>
      </c>
      <c r="B1792" s="3" t="s">
        <v>5630</v>
      </c>
      <c r="C1792" s="3" t="s">
        <v>5631</v>
      </c>
      <c r="D1792" s="3" t="s">
        <v>45</v>
      </c>
      <c r="E1792" s="3" t="s">
        <v>37</v>
      </c>
      <c r="F1792" s="3" t="s">
        <v>5297</v>
      </c>
      <c r="G1792" s="3" t="s">
        <v>5314</v>
      </c>
      <c r="H1792" s="3" t="s">
        <v>5632</v>
      </c>
      <c r="I1792" s="3" t="str">
        <f>HYPERLINK("http://www.jccm.es/sede/tramite/LGN","LIQUIDACION ORDINARIA/EXTRAORDINARIA.")</f>
        <v>LIQUIDACION ORDINARIA/EXTRAORDINARIA.</v>
      </c>
      <c r="J1792" s="3" t="s">
        <v>42</v>
      </c>
      <c r="K1792" s="3" t="s">
        <v>41</v>
      </c>
      <c r="L1792" s="3" t="s">
        <v>42</v>
      </c>
      <c r="M1792" s="3" t="s">
        <v>41</v>
      </c>
    </row>
    <row r="1793" spans="1:13" ht="69">
      <c r="A1793" s="22" t="s">
        <v>16</v>
      </c>
      <c r="B1793" s="3" t="s">
        <v>5633</v>
      </c>
      <c r="C1793" s="3" t="s">
        <v>5634</v>
      </c>
      <c r="D1793" s="3" t="s">
        <v>45</v>
      </c>
      <c r="E1793" s="3" t="s">
        <v>37</v>
      </c>
      <c r="F1793" s="3" t="s">
        <v>5297</v>
      </c>
      <c r="G1793" s="3" t="s">
        <v>5314</v>
      </c>
      <c r="H1793" s="3" t="s">
        <v>5635</v>
      </c>
      <c r="I1793" s="3" t="str">
        <f>HYPERLINK("http://www.jccm.es/sede/tramite/LGO","MODIFICACION DEL CONCIERTO")</f>
        <v>MODIFICACION DEL CONCIERTO</v>
      </c>
      <c r="J1793" s="3" t="s">
        <v>42</v>
      </c>
      <c r="K1793" s="3" t="s">
        <v>41</v>
      </c>
      <c r="L1793" s="3" t="s">
        <v>42</v>
      </c>
      <c r="M1793" s="3" t="s">
        <v>41</v>
      </c>
    </row>
    <row r="1794" spans="1:13" ht="69">
      <c r="A1794" s="22" t="s">
        <v>16</v>
      </c>
      <c r="B1794" s="3" t="s">
        <v>5636</v>
      </c>
      <c r="C1794" s="3" t="s">
        <v>5637</v>
      </c>
      <c r="D1794" s="3" t="s">
        <v>45</v>
      </c>
      <c r="E1794" s="3" t="s">
        <v>37</v>
      </c>
      <c r="F1794" s="3" t="s">
        <v>5297</v>
      </c>
      <c r="G1794" s="3" t="s">
        <v>5314</v>
      </c>
      <c r="H1794" s="3" t="s">
        <v>5638</v>
      </c>
      <c r="I1794" s="3" t="str">
        <f>HYPERLINK("http://www.jccm.es/sede/tramite/LGP","CESE DEL CONCIERTO.")</f>
        <v>CESE DEL CONCIERTO.</v>
      </c>
      <c r="J1794" s="3" t="s">
        <v>42</v>
      </c>
      <c r="K1794" s="3" t="s">
        <v>41</v>
      </c>
      <c r="L1794" s="3" t="s">
        <v>42</v>
      </c>
      <c r="M1794" s="3" t="s">
        <v>41</v>
      </c>
    </row>
    <row r="1795" spans="1:13" ht="69">
      <c r="A1795" s="22" t="s">
        <v>16</v>
      </c>
      <c r="B1795" s="3" t="s">
        <v>5639</v>
      </c>
      <c r="C1795" s="3" t="s">
        <v>5640</v>
      </c>
      <c r="D1795" s="3" t="s">
        <v>45</v>
      </c>
      <c r="E1795" s="3" t="s">
        <v>37</v>
      </c>
      <c r="F1795" s="3" t="s">
        <v>5297</v>
      </c>
      <c r="G1795" s="3" t="s">
        <v>5314</v>
      </c>
      <c r="H1795" s="3" t="s">
        <v>5641</v>
      </c>
      <c r="I1795" s="3" t="str">
        <f>HYPERLINK("http://www.jccm.es/sede/tramite/LGM","ACCESO AL REGIMEN ESPECIAL DE CONCIERTO.")</f>
        <v>ACCESO AL REGIMEN ESPECIAL DE CONCIERTO.</v>
      </c>
      <c r="J1795" s="3" t="s">
        <v>41</v>
      </c>
      <c r="K1795" s="3" t="s">
        <v>41</v>
      </c>
      <c r="L1795" s="3" t="s">
        <v>42</v>
      </c>
      <c r="M1795" s="3" t="s">
        <v>41</v>
      </c>
    </row>
    <row r="1796" spans="1:13" ht="114.95">
      <c r="A1796" s="22" t="s">
        <v>16</v>
      </c>
      <c r="B1796" s="3" t="s">
        <v>5642</v>
      </c>
      <c r="C1796" s="3" t="s">
        <v>5643</v>
      </c>
      <c r="D1796" s="3" t="s">
        <v>442</v>
      </c>
      <c r="E1796" s="3" t="s">
        <v>46</v>
      </c>
      <c r="F1796" s="3" t="s">
        <v>5297</v>
      </c>
      <c r="G1796" s="3" t="s">
        <v>5359</v>
      </c>
      <c r="H1796" s="3" t="s">
        <v>5644</v>
      </c>
      <c r="I1796" s="3" t="str">
        <f>HYPERLINK("http://www.jccm.es/sede/tramite/K1K","PROVISION DE PUESTOS DE TRABAJO POR EL PROCEDIMIENTO DE LIBRE DESIGNACION (FOMENTO)")</f>
        <v>PROVISION DE PUESTOS DE TRABAJO POR EL PROCEDIMIENTO DE LIBRE DESIGNACION (FOMENTO)</v>
      </c>
      <c r="J1796" s="3" t="s">
        <v>41</v>
      </c>
      <c r="K1796" s="3" t="s">
        <v>41</v>
      </c>
      <c r="L1796" s="3" t="s">
        <v>42</v>
      </c>
      <c r="M1796" s="3" t="s">
        <v>41</v>
      </c>
    </row>
    <row r="1797" spans="1:13" ht="218.45">
      <c r="A1797" s="22" t="s">
        <v>16</v>
      </c>
      <c r="B1797" s="3" t="s">
        <v>5645</v>
      </c>
      <c r="C1797" s="3" t="s">
        <v>5646</v>
      </c>
      <c r="D1797" s="3" t="s">
        <v>36</v>
      </c>
      <c r="E1797" s="3" t="s">
        <v>46</v>
      </c>
      <c r="F1797" s="3" t="s">
        <v>5297</v>
      </c>
      <c r="G1797" s="3" t="s">
        <v>5359</v>
      </c>
      <c r="H1797" s="3" t="s">
        <v>5647</v>
      </c>
      <c r="I1797" s="3" t="str">
        <f>HYPERLINK("http://www.jccm.es/sede/tramite/LU5","CONVOCATORIA DE CONCURSO SINGULARIZADO DE MERITOS PARA LA PROVISION DE PUESTOS DE TRABAJO VACANTES EN LA ADMINISTRACION DE LA JUNTA DE COMUNIDADES DE CASTILLA-LA MANCHA.")</f>
        <v>CONVOCATORIA DE CONCURSO SINGULARIZADO DE MERITOS PARA LA PROVISION DE PUESTOS DE TRABAJO VACANTES EN LA ADMINISTRACION DE LA JUNTA DE COMUNIDADES DE CASTILLA-LA MANCHA.</v>
      </c>
      <c r="J1797" s="3" t="s">
        <v>41</v>
      </c>
      <c r="K1797" s="3" t="s">
        <v>41</v>
      </c>
      <c r="L1797" s="3" t="s">
        <v>42</v>
      </c>
      <c r="M1797" s="3" t="s">
        <v>41</v>
      </c>
    </row>
    <row r="1798" spans="1:13" ht="195.6">
      <c r="A1798" s="22" t="s">
        <v>16</v>
      </c>
      <c r="B1798" s="3" t="s">
        <v>5648</v>
      </c>
      <c r="C1798" s="3" t="s">
        <v>5649</v>
      </c>
      <c r="D1798" s="3" t="s">
        <v>5650</v>
      </c>
      <c r="E1798" s="3" t="s">
        <v>46</v>
      </c>
      <c r="F1798" s="3" t="s">
        <v>5297</v>
      </c>
      <c r="G1798" s="3" t="s">
        <v>5359</v>
      </c>
      <c r="H1798" s="3" t="s">
        <v>5651</v>
      </c>
      <c r="I1798" s="3" t="str">
        <f>HYPERLINK("http://www.jccm.es/sede/tramite/J7S","CONCESION SOBRE BIENES DE DOMINIO PUBLICO.")</f>
        <v>CONCESION SOBRE BIENES DE DOMINIO PUBLICO.</v>
      </c>
      <c r="J1798" s="3" t="s">
        <v>42</v>
      </c>
      <c r="K1798" s="3" t="s">
        <v>41</v>
      </c>
      <c r="L1798" s="3" t="s">
        <v>42</v>
      </c>
      <c r="M1798" s="3" t="s">
        <v>41</v>
      </c>
    </row>
    <row r="1799" spans="1:13" ht="183.95">
      <c r="A1799" s="22" t="s">
        <v>16</v>
      </c>
      <c r="B1799" s="1" t="s">
        <v>5652</v>
      </c>
      <c r="C1799" s="13" t="s">
        <v>5653</v>
      </c>
      <c r="D1799" s="13" t="s">
        <v>5654</v>
      </c>
      <c r="E1799" s="13" t="s">
        <v>46</v>
      </c>
      <c r="F1799" s="13" t="s">
        <v>5297</v>
      </c>
      <c r="G1799" s="13" t="s">
        <v>5359</v>
      </c>
      <c r="H1799" s="13" t="s">
        <v>5655</v>
      </c>
      <c r="I1799" s="13" t="str">
        <f>HYPERLINK("http://www.jccm.es/sede/tramite/J7V","ENAJENACION DE BIENES")</f>
        <v>ENAJENACION DE BIENES</v>
      </c>
      <c r="J1799" s="13" t="s">
        <v>42</v>
      </c>
      <c r="K1799" s="13" t="s">
        <v>41</v>
      </c>
      <c r="L1799" s="13" t="s">
        <v>42</v>
      </c>
      <c r="M1799" s="13" t="s">
        <v>41</v>
      </c>
    </row>
    <row r="1800" spans="1:13" ht="183.95">
      <c r="A1800" s="22" t="s">
        <v>16</v>
      </c>
      <c r="B1800" s="1" t="s">
        <v>5656</v>
      </c>
      <c r="C1800" s="3" t="s">
        <v>5657</v>
      </c>
      <c r="D1800" s="3" t="s">
        <v>70</v>
      </c>
      <c r="E1800" s="3" t="s">
        <v>46</v>
      </c>
      <c r="F1800" s="3" t="s">
        <v>5297</v>
      </c>
      <c r="G1800" s="3" t="s">
        <v>5359</v>
      </c>
      <c r="H1800" s="3" t="s">
        <v>5658</v>
      </c>
      <c r="I1800" s="3" t="str">
        <f>HYPERLINK("http://www.jccm.es/sede/tramite/J7W","CESION GRATUITA DE BIENES DE TITULARIDAD DE LA JUNTA DE COMUNIDADES DE CASTILLA-LA MANCHA ADSCRITOS A LA CONSEJERIA DE FOMENTO.")</f>
        <v>CESION GRATUITA DE BIENES DE TITULARIDAD DE LA JUNTA DE COMUNIDADES DE CASTILLA-LA MANCHA ADSCRITOS A LA CONSEJERIA DE FOMENTO.</v>
      </c>
      <c r="J1800" s="3" t="s">
        <v>41</v>
      </c>
      <c r="K1800" s="3" t="s">
        <v>41</v>
      </c>
      <c r="L1800" s="3" t="s">
        <v>42</v>
      </c>
      <c r="M1800" s="3" t="s">
        <v>41</v>
      </c>
    </row>
    <row r="1801" spans="1:13" ht="183.95">
      <c r="A1801" s="22" t="s">
        <v>16</v>
      </c>
      <c r="B1801" s="1" t="s">
        <v>5659</v>
      </c>
      <c r="C1801" s="3" t="s">
        <v>5660</v>
      </c>
      <c r="D1801" s="3" t="s">
        <v>45</v>
      </c>
      <c r="E1801" s="3" t="s">
        <v>46</v>
      </c>
      <c r="F1801" s="3" t="s">
        <v>5297</v>
      </c>
      <c r="G1801" s="3" t="s">
        <v>5298</v>
      </c>
      <c r="H1801" s="3" t="s">
        <v>5661</v>
      </c>
      <c r="I1801" s="3" t="str">
        <f>HYPERLINK("http://www.jccm.es/sede/tramite/L0Q","PRESENTACION DE ALEGACIONES DURANTE EL PERIODO DE INFORMACION PUBLICA DE EXPEDIENTES DE PROYECTOS Y ESTUDIOS DE CARRETERAS.")</f>
        <v>PRESENTACION DE ALEGACIONES DURANTE EL PERIODO DE INFORMACION PUBLICA DE EXPEDIENTES DE PROYECTOS Y ESTUDIOS DE CARRETERAS.</v>
      </c>
      <c r="J1801" s="3" t="s">
        <v>42</v>
      </c>
      <c r="K1801" s="3" t="s">
        <v>41</v>
      </c>
      <c r="L1801" s="3" t="s">
        <v>42</v>
      </c>
      <c r="M1801" s="3" t="s">
        <v>41</v>
      </c>
    </row>
    <row r="1802" spans="1:13" ht="138">
      <c r="A1802" s="22" t="s">
        <v>18</v>
      </c>
      <c r="B1802" s="3" t="s">
        <v>5662</v>
      </c>
      <c r="C1802" s="3" t="s">
        <v>5663</v>
      </c>
      <c r="D1802" s="3" t="s">
        <v>45</v>
      </c>
      <c r="E1802" s="3" t="s">
        <v>46</v>
      </c>
      <c r="F1802" s="3" t="s">
        <v>5664</v>
      </c>
      <c r="G1802" s="3" t="s">
        <v>5664</v>
      </c>
      <c r="H1802" s="3" t="s">
        <v>5665</v>
      </c>
      <c r="I1802" s="3" t="str">
        <f>HYPERLINK("http://www.jccm.es/sede/tramite/IV5","AYUDAS SOCIALES DIRIGIDAS A MUJERES VICTIMAS DE VIOLENCIA DE GENERO CON ESPECIALES DIFICULTADES PARA OBTENER UN EMPLEO")</f>
        <v>AYUDAS SOCIALES DIRIGIDAS A MUJERES VICTIMAS DE VIOLENCIA DE GENERO CON ESPECIALES DIFICULTADES PARA OBTENER UN EMPLEO</v>
      </c>
      <c r="J1802" s="3" t="s">
        <v>42</v>
      </c>
      <c r="K1802" s="3" t="s">
        <v>41</v>
      </c>
      <c r="L1802" s="3" t="s">
        <v>42</v>
      </c>
      <c r="M1802" s="3" t="s">
        <v>41</v>
      </c>
    </row>
    <row r="1803" spans="1:13" ht="80.45">
      <c r="A1803" s="22" t="s">
        <v>18</v>
      </c>
      <c r="B1803" s="3" t="s">
        <v>5666</v>
      </c>
      <c r="C1803" s="3" t="s">
        <v>5667</v>
      </c>
      <c r="D1803" s="3" t="s">
        <v>45</v>
      </c>
      <c r="E1803" s="3" t="s">
        <v>46</v>
      </c>
      <c r="F1803" s="3" t="s">
        <v>5664</v>
      </c>
      <c r="G1803" s="3" t="s">
        <v>5664</v>
      </c>
      <c r="H1803" s="3" t="s">
        <v>5668</v>
      </c>
      <c r="I1803" s="3" t="str">
        <f>HYPERLINK("http://www.jccm.es/sede/tramite/IMG","AYUDAS DE SOLIDARIDAD A LAS MUJERES VICTIMAS DE VIOLENCIA DOMESTICA")</f>
        <v>AYUDAS DE SOLIDARIDAD A LAS MUJERES VICTIMAS DE VIOLENCIA DOMESTICA</v>
      </c>
      <c r="J1803" s="3" t="s">
        <v>42</v>
      </c>
      <c r="K1803" s="3" t="s">
        <v>41</v>
      </c>
      <c r="L1803" s="3" t="s">
        <v>42</v>
      </c>
      <c r="M1803" s="3" t="s">
        <v>41</v>
      </c>
    </row>
    <row r="1804" spans="1:13" ht="92.1">
      <c r="A1804" s="22" t="s">
        <v>18</v>
      </c>
      <c r="B1804" s="3" t="s">
        <v>5669</v>
      </c>
      <c r="C1804" s="3" t="s">
        <v>5670</v>
      </c>
      <c r="D1804" s="3" t="s">
        <v>327</v>
      </c>
      <c r="E1804" s="3" t="s">
        <v>46</v>
      </c>
      <c r="F1804" s="3" t="s">
        <v>5664</v>
      </c>
      <c r="G1804" s="3" t="s">
        <v>5664</v>
      </c>
      <c r="H1804" s="3" t="s">
        <v>5671</v>
      </c>
      <c r="I1804" s="3" t="str">
        <f>HYPERLINK("http://www.jccm.es/sede/tramite/JZU","CONCESION DEL DISTINTIVO DE EXCELENCIA EN IGUALDAD DE GENERO.")</f>
        <v>CONCESION DEL DISTINTIVO DE EXCELENCIA EN IGUALDAD DE GENERO.</v>
      </c>
      <c r="J1804" s="3" t="s">
        <v>41</v>
      </c>
      <c r="K1804" s="3" t="s">
        <v>41</v>
      </c>
      <c r="L1804" s="3" t="s">
        <v>42</v>
      </c>
      <c r="M1804" s="3" t="s">
        <v>41</v>
      </c>
    </row>
    <row r="1805" spans="1:13" ht="172.5">
      <c r="A1805" s="22" t="s">
        <v>18</v>
      </c>
      <c r="B1805" s="3" t="s">
        <v>5672</v>
      </c>
      <c r="C1805" s="3" t="s">
        <v>5673</v>
      </c>
      <c r="D1805" s="3" t="s">
        <v>62</v>
      </c>
      <c r="E1805" s="3" t="s">
        <v>46</v>
      </c>
      <c r="F1805" s="3" t="s">
        <v>5664</v>
      </c>
      <c r="G1805" s="3" t="s">
        <v>5664</v>
      </c>
      <c r="H1805" s="3" t="s">
        <v>5674</v>
      </c>
      <c r="I1805" s="3" t="str">
        <f>HYPERLINK("http://www.jccm.es/sede/tramite/KAF","CONVOCATORIA DE SUBVENCIONES PARA EL ACCESO A PISOS TUTELADOS DESTINADOS A MUJERES VICTIMAS DE VIOLENCIA DE GENERO, MEDIANTE LA MODALIDAD DE SUBVENCION EN ESPECIE EN 2022")</f>
        <v>CONVOCATORIA DE SUBVENCIONES PARA EL ACCESO A PISOS TUTELADOS DESTINADOS A MUJERES VICTIMAS DE VIOLENCIA DE GENERO, MEDIANTE LA MODALIDAD DE SUBVENCION EN ESPECIE EN 2022</v>
      </c>
      <c r="J1805" s="3" t="s">
        <v>42</v>
      </c>
      <c r="K1805" s="3" t="s">
        <v>41</v>
      </c>
      <c r="L1805" s="3" t="s">
        <v>42</v>
      </c>
      <c r="M1805" s="3" t="s">
        <v>41</v>
      </c>
    </row>
    <row r="1806" spans="1:13" ht="57.6">
      <c r="A1806" s="22" t="s">
        <v>18</v>
      </c>
      <c r="B1806" s="3" t="s">
        <v>5675</v>
      </c>
      <c r="C1806" s="3" t="s">
        <v>5676</v>
      </c>
      <c r="D1806" s="3" t="s">
        <v>45</v>
      </c>
      <c r="E1806" s="3" t="s">
        <v>46</v>
      </c>
      <c r="F1806" s="3" t="s">
        <v>5664</v>
      </c>
      <c r="G1806" s="3" t="s">
        <v>5664</v>
      </c>
      <c r="H1806" s="3" t="s">
        <v>5677</v>
      </c>
      <c r="I1806" s="3" t="str">
        <f>HYPERLINK("http://www.jccm.es/sede/tramite/KAL","CONVOCATORIA DE AYUDAS PARA PLANES DE IGUALDAD EN EL AÑO 2022.")</f>
        <v>CONVOCATORIA DE AYUDAS PARA PLANES DE IGUALDAD EN EL AÑO 2022.</v>
      </c>
      <c r="J1806" s="3" t="s">
        <v>41</v>
      </c>
      <c r="K1806" s="3" t="s">
        <v>41</v>
      </c>
      <c r="L1806" s="3" t="s">
        <v>42</v>
      </c>
      <c r="M1806" s="3" t="s">
        <v>41</v>
      </c>
    </row>
    <row r="1807" spans="1:13" ht="92.1">
      <c r="A1807" s="22" t="s">
        <v>18</v>
      </c>
      <c r="B1807" s="3" t="s">
        <v>5678</v>
      </c>
      <c r="C1807" s="3" t="s">
        <v>5679</v>
      </c>
      <c r="D1807" s="3" t="s">
        <v>45</v>
      </c>
      <c r="E1807" s="3" t="s">
        <v>46</v>
      </c>
      <c r="F1807" s="3" t="s">
        <v>5664</v>
      </c>
      <c r="G1807" s="3" t="s">
        <v>5664</v>
      </c>
      <c r="H1807" s="3" t="s">
        <v>5680</v>
      </c>
      <c r="I1807" s="3" t="str">
        <f>HYPERLINK("http://www.jccm.es/sede/tramite/KBI","CONVOCATORIA DE AYUDAS PARA LA REDUCCION DE BRECHAS DE GENERO EN EL AMBITO LABORAL")</f>
        <v>CONVOCATORIA DE AYUDAS PARA LA REDUCCION DE BRECHAS DE GENERO EN EL AMBITO LABORAL</v>
      </c>
      <c r="J1807" s="3" t="s">
        <v>41</v>
      </c>
      <c r="K1807" s="3" t="s">
        <v>41</v>
      </c>
      <c r="L1807" s="3" t="s">
        <v>42</v>
      </c>
      <c r="M1807" s="3" t="s">
        <v>41</v>
      </c>
    </row>
    <row r="1808" spans="1:13" ht="103.5">
      <c r="A1808" s="22" t="s">
        <v>18</v>
      </c>
      <c r="B1808" s="3" t="s">
        <v>5681</v>
      </c>
      <c r="C1808" s="3" t="s">
        <v>5682</v>
      </c>
      <c r="D1808" s="3" t="s">
        <v>327</v>
      </c>
      <c r="E1808" s="3" t="s">
        <v>46</v>
      </c>
      <c r="F1808" s="3" t="s">
        <v>5664</v>
      </c>
      <c r="G1808" s="3" t="s">
        <v>5664</v>
      </c>
      <c r="H1808" s="3" t="s">
        <v>5683</v>
      </c>
      <c r="I1808" s="3" t="str">
        <f>HYPERLINK("http://www.jccm.es/sede/tramite/KMC","CONVOCAR EL VI PREMIO INTERNACIONAL DE CASTILLA-LA MANCHA A LA IGUALDAD DE GENERO LUISA DE MEDRANO.")</f>
        <v>CONVOCAR EL VI PREMIO INTERNACIONAL DE CASTILLA-LA MANCHA A LA IGUALDAD DE GENERO LUISA DE MEDRANO.</v>
      </c>
      <c r="J1808" s="3" t="s">
        <v>41</v>
      </c>
      <c r="K1808" s="3" t="s">
        <v>41</v>
      </c>
      <c r="L1808" s="3" t="s">
        <v>42</v>
      </c>
      <c r="M1808" s="3" t="s">
        <v>41</v>
      </c>
    </row>
    <row r="1809" spans="1:13" ht="57.6">
      <c r="A1809" s="22" t="s">
        <v>18</v>
      </c>
      <c r="B1809" s="3" t="s">
        <v>5684</v>
      </c>
      <c r="C1809" s="3" t="s">
        <v>5685</v>
      </c>
      <c r="D1809" s="3" t="s">
        <v>45</v>
      </c>
      <c r="E1809" s="3" t="s">
        <v>46</v>
      </c>
      <c r="F1809" s="3" t="s">
        <v>5664</v>
      </c>
      <c r="G1809" s="3" t="s">
        <v>5664</v>
      </c>
      <c r="H1809" s="3" t="s">
        <v>5686</v>
      </c>
      <c r="I1809" s="3" t="str">
        <f>HYPERLINK("http://www.jccm.es/sede/tramite/KMS","AYUDAS A LA INVESTIGACION")</f>
        <v>AYUDAS A LA INVESTIGACION</v>
      </c>
      <c r="J1809" s="3" t="s">
        <v>42</v>
      </c>
      <c r="K1809" s="3" t="s">
        <v>41</v>
      </c>
      <c r="L1809" s="3" t="s">
        <v>42</v>
      </c>
      <c r="M1809" s="3" t="s">
        <v>41</v>
      </c>
    </row>
    <row r="1810" spans="1:13" ht="80.45">
      <c r="A1810" s="22" t="s">
        <v>18</v>
      </c>
      <c r="B1810" s="3" t="s">
        <v>5687</v>
      </c>
      <c r="C1810" s="3" t="s">
        <v>5688</v>
      </c>
      <c r="D1810" s="3" t="s">
        <v>45</v>
      </c>
      <c r="E1810" s="3" t="s">
        <v>46</v>
      </c>
      <c r="F1810" s="3" t="s">
        <v>5664</v>
      </c>
      <c r="G1810" s="3" t="s">
        <v>5664</v>
      </c>
      <c r="H1810" s="3" t="s">
        <v>5689</v>
      </c>
      <c r="I1810" s="3" t="str">
        <f>HYPERLINK("http://www.jccm.es/sede/tramite/KMU","CONVOCATORIA DE AYUDAS PARA LOS CONSEJOS LOCALES DE LA MUJER O DE IGUALDAD")</f>
        <v>CONVOCATORIA DE AYUDAS PARA LOS CONSEJOS LOCALES DE LA MUJER O DE IGUALDAD</v>
      </c>
      <c r="J1810" s="3" t="s">
        <v>41</v>
      </c>
      <c r="K1810" s="3" t="s">
        <v>41</v>
      </c>
      <c r="L1810" s="3" t="s">
        <v>42</v>
      </c>
      <c r="M1810" s="3" t="s">
        <v>41</v>
      </c>
    </row>
    <row r="1811" spans="1:13" ht="183.95">
      <c r="A1811" s="22" t="s">
        <v>18</v>
      </c>
      <c r="B1811" s="3" t="s">
        <v>5690</v>
      </c>
      <c r="C1811" s="3" t="s">
        <v>5691</v>
      </c>
      <c r="D1811" s="3" t="s">
        <v>5692</v>
      </c>
      <c r="E1811" s="3" t="s">
        <v>46</v>
      </c>
      <c r="F1811" s="3" t="s">
        <v>5664</v>
      </c>
      <c r="G1811" s="3" t="s">
        <v>5664</v>
      </c>
      <c r="H1811" s="3" t="s">
        <v>5693</v>
      </c>
      <c r="I1811" s="3" t="str">
        <f>HYPERLINK("http://www.jccm.es/sede/tramite/KNQ","CONVOCATORIA DE LOS PREMIOS Y MUESTRA MUJERES EN EL ARTE DEL INSTITUTO DE LA MUJER DE CASTILLA-LA MANCHA  AMALIA AVIA  EN EL AÑO 2022")</f>
        <v>CONVOCATORIA DE LOS PREMIOS Y MUESTRA MUJERES EN EL ARTE DEL INSTITUTO DE LA MUJER DE CASTILLA-LA MANCHA  AMALIA AVIA  EN EL AÑO 2022</v>
      </c>
      <c r="J1811" s="3" t="s">
        <v>42</v>
      </c>
      <c r="K1811" s="3" t="s">
        <v>41</v>
      </c>
      <c r="L1811" s="3" t="s">
        <v>42</v>
      </c>
      <c r="M1811" s="3" t="s">
        <v>41</v>
      </c>
    </row>
    <row r="1812" spans="1:13" ht="161.1">
      <c r="A1812" s="22" t="s">
        <v>18</v>
      </c>
      <c r="B1812" s="3" t="s">
        <v>5694</v>
      </c>
      <c r="C1812" s="3" t="s">
        <v>5695</v>
      </c>
      <c r="D1812" s="3" t="s">
        <v>5696</v>
      </c>
      <c r="E1812" s="3" t="s">
        <v>46</v>
      </c>
      <c r="F1812" s="3" t="s">
        <v>5664</v>
      </c>
      <c r="G1812" s="3" t="s">
        <v>5664</v>
      </c>
      <c r="H1812" s="3" t="s">
        <v>5697</v>
      </c>
      <c r="I1812" s="3" t="str">
        <f>HYPERLINK("http://www.jccm.es/sede/tramite/KO2","BECAS LEONOR SERRANO PABLO DE ESTUDIOS UNIVERSITARIOS A MUJERES VICTIMAS DE VIOLENCIA DE GENERO Y A SUS HIJAS E HIJOS EN 2022.")</f>
        <v>BECAS LEONOR SERRANO PABLO DE ESTUDIOS UNIVERSITARIOS A MUJERES VICTIMAS DE VIOLENCIA DE GENERO Y A SUS HIJAS E HIJOS EN 2022.</v>
      </c>
      <c r="J1812" s="3" t="s">
        <v>42</v>
      </c>
      <c r="K1812" s="3" t="s">
        <v>41</v>
      </c>
      <c r="L1812" s="3" t="s">
        <v>42</v>
      </c>
      <c r="M1812" s="3" t="s">
        <v>41</v>
      </c>
    </row>
    <row r="1813" spans="1:13" ht="103.5">
      <c r="A1813" s="22" t="s">
        <v>18</v>
      </c>
      <c r="B1813" s="3" t="s">
        <v>5698</v>
      </c>
      <c r="C1813" s="3" t="s">
        <v>5699</v>
      </c>
      <c r="D1813" s="3" t="s">
        <v>1535</v>
      </c>
      <c r="E1813" s="3" t="s">
        <v>1368</v>
      </c>
      <c r="F1813" s="3" t="s">
        <v>5664</v>
      </c>
      <c r="G1813" s="3" t="s">
        <v>5664</v>
      </c>
      <c r="H1813" s="3" t="s">
        <v>5700</v>
      </c>
      <c r="I1813" s="3" t="str">
        <f>HYPERLINK("http://www.jccm.es/sede/tramite/KRI","REINTEGRO DE SUBVENCIONES EN EL AMBITO DEL INSTITUTO DE LA MUJER DE CASTILLA-LA MANCHA")</f>
        <v>REINTEGRO DE SUBVENCIONES EN EL AMBITO DEL INSTITUTO DE LA MUJER DE CASTILLA-LA MANCHA</v>
      </c>
      <c r="J1813" s="3" t="s">
        <v>42</v>
      </c>
      <c r="K1813" s="3" t="s">
        <v>41</v>
      </c>
      <c r="L1813" s="3" t="s">
        <v>42</v>
      </c>
      <c r="M1813" s="3" t="s">
        <v>41</v>
      </c>
    </row>
    <row r="1814" spans="1:13" ht="138">
      <c r="A1814" s="22" t="s">
        <v>18</v>
      </c>
      <c r="B1814" s="3" t="s">
        <v>5701</v>
      </c>
      <c r="C1814" s="3" t="s">
        <v>5702</v>
      </c>
      <c r="D1814" s="3" t="s">
        <v>95</v>
      </c>
      <c r="E1814" s="3" t="s">
        <v>95</v>
      </c>
      <c r="F1814" s="3" t="s">
        <v>5664</v>
      </c>
      <c r="G1814" s="3" t="s">
        <v>5664</v>
      </c>
      <c r="H1814" s="3" t="s">
        <v>5703</v>
      </c>
      <c r="I1814" s="3" t="str">
        <f>HYPERLINK("http://www.jccm.es/sede/tramite/KWB","PRESENTACION DE ALEGACIONES Y/O DOCUMENTACION EN PROCEDIMIENTOS DEL INSTITUTO DE LA MUJER DE CASTILLA-LA MANCHA")</f>
        <v>PRESENTACION DE ALEGACIONES Y/O DOCUMENTACION EN PROCEDIMIENTOS DEL INSTITUTO DE LA MUJER DE CASTILLA-LA MANCHA</v>
      </c>
      <c r="J1814" s="3" t="s">
        <v>42</v>
      </c>
      <c r="K1814" s="3" t="s">
        <v>41</v>
      </c>
      <c r="L1814" s="3" t="s">
        <v>42</v>
      </c>
      <c r="M1814" s="3" t="s">
        <v>41</v>
      </c>
    </row>
    <row r="1815" spans="1:13" ht="183.95">
      <c r="A1815" s="22" t="s">
        <v>18</v>
      </c>
      <c r="B1815" s="3" t="s">
        <v>5704</v>
      </c>
      <c r="C1815" s="3" t="s">
        <v>5705</v>
      </c>
      <c r="D1815" s="3" t="s">
        <v>5706</v>
      </c>
      <c r="E1815" s="3" t="s">
        <v>46</v>
      </c>
      <c r="F1815" s="3" t="s">
        <v>5664</v>
      </c>
      <c r="G1815" s="3" t="s">
        <v>5664</v>
      </c>
      <c r="H1815" s="3" t="s">
        <v>5707</v>
      </c>
      <c r="I1815" s="3" t="str">
        <f>HYPERLINK("http://www.jccm.es/sede/tramite/KYT","CONVOCATORIA DE AYUDAS PARA PLANES ESTRATEGICOS DE IGUALDAD MUNICIPALES")</f>
        <v>CONVOCATORIA DE AYUDAS PARA PLANES ESTRATEGICOS DE IGUALDAD MUNICIPALES</v>
      </c>
      <c r="J1815" s="3" t="s">
        <v>41</v>
      </c>
      <c r="K1815" s="3" t="s">
        <v>41</v>
      </c>
      <c r="L1815" s="3" t="s">
        <v>42</v>
      </c>
      <c r="M1815" s="3" t="s">
        <v>41</v>
      </c>
    </row>
    <row r="1816" spans="1:13" ht="149.44999999999999">
      <c r="A1816" s="22" t="s">
        <v>18</v>
      </c>
      <c r="B1816" s="3" t="s">
        <v>5708</v>
      </c>
      <c r="C1816" s="3" t="s">
        <v>5709</v>
      </c>
      <c r="D1816" s="3" t="s">
        <v>5710</v>
      </c>
      <c r="E1816" s="3" t="s">
        <v>46</v>
      </c>
      <c r="F1816" s="3" t="s">
        <v>5664</v>
      </c>
      <c r="G1816" s="3" t="s">
        <v>5664</v>
      </c>
      <c r="H1816" s="3" t="s">
        <v>5711</v>
      </c>
      <c r="I1816" s="3" t="str">
        <f>HYPERLINK("http://www.jccm.es/sede/tramite/KYU","AYUDAS PARA FAVORECER LA NO DISCRIMINACION DE LAS PERSONAS PERTENECIENTES AL COLECTIVO LGTBI EN 2022.")</f>
        <v>AYUDAS PARA FAVORECER LA NO DISCRIMINACION DE LAS PERSONAS PERTENECIENTES AL COLECTIVO LGTBI EN 2022.</v>
      </c>
      <c r="J1816" s="3" t="s">
        <v>41</v>
      </c>
      <c r="K1816" s="3" t="s">
        <v>41</v>
      </c>
      <c r="L1816" s="3" t="s">
        <v>42</v>
      </c>
      <c r="M1816" s="3" t="s">
        <v>41</v>
      </c>
    </row>
    <row r="1817" spans="1:13" ht="161.1">
      <c r="A1817" s="22" t="s">
        <v>18</v>
      </c>
      <c r="B1817" s="3" t="s">
        <v>5712</v>
      </c>
      <c r="C1817" s="3" t="s">
        <v>5713</v>
      </c>
      <c r="D1817" s="3" t="s">
        <v>5714</v>
      </c>
      <c r="E1817" s="3" t="s">
        <v>46</v>
      </c>
      <c r="F1817" s="3" t="s">
        <v>5664</v>
      </c>
      <c r="G1817" s="3" t="s">
        <v>5664</v>
      </c>
      <c r="H1817" s="3" t="s">
        <v>5715</v>
      </c>
      <c r="I1817" s="3" t="str">
        <f>HYPERLINK("http://www.jccm.es/sede/tramite/KZT","CONVOCATORIA DE AYUDAS PARA LA PROMOCION DE LA IGUALDAD DE GENERO")</f>
        <v>CONVOCATORIA DE AYUDAS PARA LA PROMOCION DE LA IGUALDAD DE GENERO</v>
      </c>
      <c r="J1817" s="3" t="s">
        <v>41</v>
      </c>
      <c r="K1817" s="3" t="s">
        <v>41</v>
      </c>
      <c r="L1817" s="3" t="s">
        <v>42</v>
      </c>
      <c r="M1817" s="3" t="s">
        <v>41</v>
      </c>
    </row>
    <row r="1818" spans="1:13" ht="92.1">
      <c r="A1818" s="22" t="s">
        <v>18</v>
      </c>
      <c r="B1818" s="3" t="s">
        <v>5716</v>
      </c>
      <c r="C1818" s="3" t="s">
        <v>5717</v>
      </c>
      <c r="D1818" s="3" t="s">
        <v>70</v>
      </c>
      <c r="E1818" s="3" t="s">
        <v>46</v>
      </c>
      <c r="F1818" s="3" t="s">
        <v>5664</v>
      </c>
      <c r="G1818" s="3" t="s">
        <v>5664</v>
      </c>
      <c r="H1818" s="3" t="s">
        <v>5718</v>
      </c>
      <c r="I1818" s="3" t="str">
        <f>HYPERLINK("http://www.jccm.es/sede/tramite/KZY","CONVOCATORIA DE AYUDAS PARA LA PREVENCION DE LA MUTILACION GENITAL FEMENINA (MGF)")</f>
        <v>CONVOCATORIA DE AYUDAS PARA LA PREVENCION DE LA MUTILACION GENITAL FEMENINA (MGF)</v>
      </c>
      <c r="J1818" s="3" t="s">
        <v>41</v>
      </c>
      <c r="K1818" s="3" t="s">
        <v>41</v>
      </c>
      <c r="L1818" s="3" t="s">
        <v>42</v>
      </c>
      <c r="M1818" s="3" t="s">
        <v>41</v>
      </c>
    </row>
    <row r="1819" spans="1:13" ht="252.95">
      <c r="A1819" s="22" t="s">
        <v>18</v>
      </c>
      <c r="B1819" s="3" t="s">
        <v>5719</v>
      </c>
      <c r="C1819" s="3" t="s">
        <v>5720</v>
      </c>
      <c r="D1819" s="3" t="s">
        <v>45</v>
      </c>
      <c r="E1819" s="3" t="s">
        <v>46</v>
      </c>
      <c r="F1819" s="3" t="s">
        <v>5664</v>
      </c>
      <c r="G1819" s="3" t="s">
        <v>5664</v>
      </c>
      <c r="H1819" s="3" t="s">
        <v>5721</v>
      </c>
      <c r="I1819" s="3" t="str">
        <f>HYPERLINK("http://www.jccm.es/sede/tramite/L1K","CONVOCATORIA DE AYUDAS PARA LA PROMOCION DE LOS FINES Y VALORES DEL INSTITUTO DE LA MUJER EN 2022.")</f>
        <v>CONVOCATORIA DE AYUDAS PARA LA PROMOCION DE LOS FINES Y VALORES DEL INSTITUTO DE LA MUJER EN 2022.</v>
      </c>
      <c r="J1819" s="3" t="s">
        <v>41</v>
      </c>
      <c r="K1819" s="3" t="s">
        <v>41</v>
      </c>
      <c r="L1819" s="3" t="s">
        <v>42</v>
      </c>
      <c r="M1819" s="3" t="s">
        <v>41</v>
      </c>
    </row>
    <row r="1820" spans="1:13" ht="80.45">
      <c r="A1820" s="22" t="s">
        <v>18</v>
      </c>
      <c r="B1820" s="3" t="s">
        <v>5722</v>
      </c>
      <c r="C1820" s="3" t="s">
        <v>5723</v>
      </c>
      <c r="D1820" s="3" t="s">
        <v>45</v>
      </c>
      <c r="E1820" s="3" t="s">
        <v>46</v>
      </c>
      <c r="F1820" s="3" t="s">
        <v>5664</v>
      </c>
      <c r="G1820" s="3" t="s">
        <v>5664</v>
      </c>
      <c r="H1820" s="3" t="s">
        <v>5724</v>
      </c>
      <c r="I1820" s="3" t="str">
        <f>HYPERLINK("http://www.jccm.es/sede/tramite/LE4","AYUDAS PARA FOMENTAR EL ASOCIACIONISMO DE MUJERES")</f>
        <v>AYUDAS PARA FOMENTAR EL ASOCIACIONISMO DE MUJERES</v>
      </c>
      <c r="J1820" s="3" t="s">
        <v>41</v>
      </c>
      <c r="K1820" s="3" t="s">
        <v>41</v>
      </c>
      <c r="L1820" s="3" t="s">
        <v>42</v>
      </c>
      <c r="M1820" s="3" t="s">
        <v>41</v>
      </c>
    </row>
    <row r="1821" spans="1:13" ht="161.1">
      <c r="A1821" s="22" t="s">
        <v>18</v>
      </c>
      <c r="B1821" s="3" t="s">
        <v>5725</v>
      </c>
      <c r="C1821" s="3" t="s">
        <v>5726</v>
      </c>
      <c r="D1821" s="3" t="s">
        <v>95</v>
      </c>
      <c r="E1821" s="3" t="s">
        <v>95</v>
      </c>
      <c r="F1821" s="3" t="s">
        <v>5664</v>
      </c>
      <c r="G1821" s="3" t="s">
        <v>5664</v>
      </c>
      <c r="H1821" s="3" t="s">
        <v>5727</v>
      </c>
      <c r="I1821" s="3" t="str">
        <f>HYPERLINK("http://www.jccm.es/sede/tramite/LGW","JUSTIFICACION DE UNA SUBVENCION A LA FUNDACION SECRETARIADO GITANO PARA LA PROMOCION DE LA IGUALDAD DE LAS MUJERES GITANAS Y ATENCION A LA MULTIPLE DISCRIMINACION: CALI")</f>
        <v>JUSTIFICACION DE UNA SUBVENCION A LA FUNDACION SECRETARIADO GITANO PARA LA PROMOCION DE LA IGUALDAD DE LAS MUJERES GITANAS Y ATENCION A LA MULTIPLE DISCRIMINACION: CALI</v>
      </c>
      <c r="J1821" s="3" t="s">
        <v>42</v>
      </c>
      <c r="K1821" s="3" t="s">
        <v>41</v>
      </c>
      <c r="L1821" s="3" t="s">
        <v>42</v>
      </c>
      <c r="M1821" s="3" t="s">
        <v>41</v>
      </c>
    </row>
    <row r="1822" spans="1:13" ht="161.1">
      <c r="A1822" s="22" t="s">
        <v>18</v>
      </c>
      <c r="B1822" s="3" t="s">
        <v>5728</v>
      </c>
      <c r="C1822" s="3" t="s">
        <v>5729</v>
      </c>
      <c r="D1822" s="3" t="s">
        <v>5730</v>
      </c>
      <c r="E1822" s="3" t="s">
        <v>46</v>
      </c>
      <c r="F1822" s="3" t="s">
        <v>5664</v>
      </c>
      <c r="G1822" s="3" t="s">
        <v>5664</v>
      </c>
      <c r="H1822" s="3" t="s">
        <v>5731</v>
      </c>
      <c r="I1822" s="3" t="str">
        <f>HYPERLINK("http://www.jccm.es/sede/tramite/LHO","CONVOCATORIA PREMIO PERIODISTICO LUISA ALBERCA LORENTE POR LA IGUALDAD DE GENERO EN C-LM")</f>
        <v>CONVOCATORIA PREMIO PERIODISTICO LUISA ALBERCA LORENTE POR LA IGUALDAD DE GENERO EN C-LM</v>
      </c>
      <c r="J1822" s="3" t="s">
        <v>41</v>
      </c>
      <c r="K1822" s="3" t="s">
        <v>41</v>
      </c>
      <c r="L1822" s="3" t="s">
        <v>42</v>
      </c>
      <c r="M1822" s="3" t="s">
        <v>41</v>
      </c>
    </row>
    <row r="1823" spans="1:13" ht="183.95">
      <c r="A1823" s="22" t="s">
        <v>18</v>
      </c>
      <c r="B1823" s="3" t="s">
        <v>5732</v>
      </c>
      <c r="C1823" s="3" t="s">
        <v>5733</v>
      </c>
      <c r="D1823" s="3" t="s">
        <v>95</v>
      </c>
      <c r="E1823" s="3" t="s">
        <v>95</v>
      </c>
      <c r="F1823" s="3" t="s">
        <v>5664</v>
      </c>
      <c r="G1823" s="3" t="s">
        <v>5664</v>
      </c>
      <c r="H1823" s="3" t="s">
        <v>5734</v>
      </c>
      <c r="I1823" s="3" t="str">
        <f>HYPERLINK("http://www.jccm.es/sede/tramite/LHZ","JUSTIFICACION DE CONCESION DIRECTA DE UNA SUBVENCION A LA FUNDACION MUJERES PARA FINANCIAR EL PROYECTO DANA + EN CASTILLA-LA MANCHA.")</f>
        <v>JUSTIFICACION DE CONCESION DIRECTA DE UNA SUBVENCION A LA FUNDACION MUJERES PARA FINANCIAR EL PROYECTO DANA + EN CASTILLA-LA MANCHA.</v>
      </c>
      <c r="J1823" s="3" t="s">
        <v>41</v>
      </c>
      <c r="K1823" s="3" t="s">
        <v>41</v>
      </c>
      <c r="L1823" s="3" t="s">
        <v>42</v>
      </c>
      <c r="M1823" s="3" t="s">
        <v>41</v>
      </c>
    </row>
    <row r="1824" spans="1:13" ht="252.95">
      <c r="A1824" s="22" t="s">
        <v>18</v>
      </c>
      <c r="B1824" s="3" t="s">
        <v>5735</v>
      </c>
      <c r="C1824" s="3" t="s">
        <v>5736</v>
      </c>
      <c r="D1824" s="3" t="s">
        <v>95</v>
      </c>
      <c r="E1824" s="3" t="s">
        <v>95</v>
      </c>
      <c r="F1824" s="3" t="s">
        <v>5664</v>
      </c>
      <c r="G1824" s="3" t="s">
        <v>5664</v>
      </c>
      <c r="H1824" s="3" t="s">
        <v>5737</v>
      </c>
      <c r="I1824" s="3" t="str">
        <f>HYPERLINK("http://www.jccm.es/sede/tramite/LMK","JUSTIFICACION DE CONCESION DIRECTA DE SUBVENCIONES A MUNICIPIOS Y EATIM, A UGT Y CCOO PARA EL DESARROLLO DE ACTUACIONES INCLUIDAS EN EL PLAN CORRESPONSABLES.")</f>
        <v>JUSTIFICACION DE CONCESION DIRECTA DE SUBVENCIONES A MUNICIPIOS Y EATIM, A UGT Y CCOO PARA EL DESARROLLO DE ACTUACIONES INCLUIDAS EN EL PLAN CORRESPONSABLES.</v>
      </c>
      <c r="J1824" s="3" t="s">
        <v>41</v>
      </c>
      <c r="K1824" s="3" t="s">
        <v>41</v>
      </c>
      <c r="L1824" s="3" t="s">
        <v>42</v>
      </c>
      <c r="M1824" s="3" t="s">
        <v>41</v>
      </c>
    </row>
    <row r="1825" spans="1:13" ht="172.5">
      <c r="A1825" s="22" t="s">
        <v>18</v>
      </c>
      <c r="B1825" s="3" t="s">
        <v>5738</v>
      </c>
      <c r="C1825" s="3" t="s">
        <v>5739</v>
      </c>
      <c r="D1825" s="3" t="s">
        <v>45</v>
      </c>
      <c r="E1825" s="3" t="s">
        <v>46</v>
      </c>
      <c r="F1825" s="3" t="s">
        <v>5664</v>
      </c>
      <c r="G1825" s="3" t="s">
        <v>5664</v>
      </c>
      <c r="H1825" s="3" t="s">
        <v>5740</v>
      </c>
      <c r="I1825" s="3" t="str">
        <f>HYPERLINK("http://www.jccm.es/sede/tramite/LPL","CONVOCATORIA DE SUBVENCIONES DESTINADAS A ACTUACIONES DE INVERSION EN LOS CENTROS DE LA MUJER Y RECURSOS DE ACOGIDA DE CASTILLA-LA MANCHA EN EL AÑO 2021.")</f>
        <v>CONVOCATORIA DE SUBVENCIONES DESTINADAS A ACTUACIONES DE INVERSION EN LOS CENTROS DE LA MUJER Y RECURSOS DE ACOGIDA DE CASTILLA-LA MANCHA EN EL AÑO 2021.</v>
      </c>
      <c r="J1825" s="3" t="s">
        <v>41</v>
      </c>
      <c r="K1825" s="3" t="s">
        <v>41</v>
      </c>
      <c r="L1825" s="3" t="s">
        <v>42</v>
      </c>
      <c r="M1825" s="3" t="s">
        <v>41</v>
      </c>
    </row>
    <row r="1826" spans="1:13" ht="183.95">
      <c r="A1826" s="22" t="s">
        <v>18</v>
      </c>
      <c r="B1826" s="3" t="s">
        <v>5741</v>
      </c>
      <c r="C1826" s="3" t="s">
        <v>5742</v>
      </c>
      <c r="D1826" s="3" t="s">
        <v>232</v>
      </c>
      <c r="E1826" s="3" t="s">
        <v>46</v>
      </c>
      <c r="F1826" s="3" t="s">
        <v>5664</v>
      </c>
      <c r="G1826" s="3" t="s">
        <v>5664</v>
      </c>
      <c r="H1826" s="3" t="s">
        <v>5743</v>
      </c>
      <c r="I1826" s="3" t="str">
        <f>HYPERLINK("http://www.jccm.es/sede/tramite/LRP","PREMIO A LAS BUENAS PRACTICAS EN IGUALDAD DE GENERO Y CONTRA LA VIOLENCIA MACHISTA QUE SE IMPULSEN DESDE LOS CENTROS DE LA MUJER DE CASTILLA-LA MANCHA")</f>
        <v>PREMIO A LAS BUENAS PRACTICAS EN IGUALDAD DE GENERO Y CONTRA LA VIOLENCIA MACHISTA QUE SE IMPULSEN DESDE LOS CENTROS DE LA MUJER DE CASTILLA-LA MANCHA</v>
      </c>
      <c r="J1826" s="3" t="s">
        <v>41</v>
      </c>
      <c r="K1826" s="3" t="s">
        <v>41</v>
      </c>
      <c r="L1826" s="3" t="s">
        <v>42</v>
      </c>
      <c r="M1826" s="3" t="s">
        <v>41</v>
      </c>
    </row>
    <row r="1827" spans="1:13" ht="252.95">
      <c r="A1827" s="22" t="s">
        <v>18</v>
      </c>
      <c r="B1827" s="3" t="s">
        <v>5744</v>
      </c>
      <c r="C1827" s="3" t="s">
        <v>5745</v>
      </c>
      <c r="D1827" s="3" t="s">
        <v>95</v>
      </c>
      <c r="E1827" s="3" t="s">
        <v>95</v>
      </c>
      <c r="F1827" s="3" t="s">
        <v>5664</v>
      </c>
      <c r="G1827" s="3" t="s">
        <v>5664</v>
      </c>
      <c r="H1827" s="3" t="s">
        <v>5746</v>
      </c>
      <c r="I1827" s="3" t="str">
        <f>HYPERLINK("http://www.jccm.es/sede/tramite/LUZ","CONCESION DIRECTA DE SUBVENCIONES A MUNICIPIOS Y EATIM, PARA EL DESARROLLO DE ACTUACIONES INCLUIDAS EN EL PLAN CORRESPONSABLES.")</f>
        <v>CONCESION DIRECTA DE SUBVENCIONES A MUNICIPIOS Y EATIM, PARA EL DESARROLLO DE ACTUACIONES INCLUIDAS EN EL PLAN CORRESPONSABLES.</v>
      </c>
      <c r="J1827" s="3" t="s">
        <v>41</v>
      </c>
      <c r="K1827" s="3" t="s">
        <v>41</v>
      </c>
      <c r="L1827" s="3" t="s">
        <v>42</v>
      </c>
      <c r="M1827" s="3" t="s">
        <v>41</v>
      </c>
    </row>
    <row r="1828" spans="1:13" ht="161.1">
      <c r="A1828" s="22" t="s">
        <v>18</v>
      </c>
      <c r="B1828" s="3" t="s">
        <v>5747</v>
      </c>
      <c r="C1828" s="3" t="s">
        <v>5748</v>
      </c>
      <c r="D1828" s="3" t="s">
        <v>5692</v>
      </c>
      <c r="E1828" s="3" t="s">
        <v>46</v>
      </c>
      <c r="F1828" s="3" t="s">
        <v>5664</v>
      </c>
      <c r="G1828" s="3" t="s">
        <v>5664</v>
      </c>
      <c r="H1828" s="3" t="s">
        <v>5749</v>
      </c>
      <c r="I1828" s="3" t="str">
        <f>HYPERLINK("http://www.jccm.es/sede/tramite/LZ9","CONVOCATORIA DE LOS PREMIOS DE CASTILLA-LA MANCHA MUJERES EN EL CINE ALICE GUY")</f>
        <v>CONVOCATORIA DE LOS PREMIOS DE CASTILLA-LA MANCHA MUJERES EN EL CINE ALICE GUY</v>
      </c>
      <c r="J1828" s="3" t="s">
        <v>41</v>
      </c>
      <c r="K1828" s="3" t="s">
        <v>41</v>
      </c>
      <c r="L1828" s="3" t="s">
        <v>42</v>
      </c>
      <c r="M1828" s="3" t="s">
        <v>41</v>
      </c>
    </row>
    <row r="1829" spans="1:13" ht="80.45">
      <c r="A1829" s="22" t="s">
        <v>18</v>
      </c>
      <c r="B1829" s="3" t="s">
        <v>5750</v>
      </c>
      <c r="C1829" s="3" t="s">
        <v>5751</v>
      </c>
      <c r="D1829" s="3" t="s">
        <v>5752</v>
      </c>
      <c r="E1829" s="3" t="s">
        <v>46</v>
      </c>
      <c r="F1829" s="3" t="s">
        <v>5664</v>
      </c>
      <c r="G1829" s="3" t="s">
        <v>5664</v>
      </c>
      <c r="H1829" s="3" t="s">
        <v>5753</v>
      </c>
      <c r="I1829" s="3" t="str">
        <f>HYPERLINK("http://www.jccm.es/sede/tramite/K31","AYUDAS PARA LA PREVENCION DE LA TRATA Y LA EXPLOTACION SEXUAL")</f>
        <v>AYUDAS PARA LA PREVENCION DE LA TRATA Y LA EXPLOTACION SEXUAL</v>
      </c>
      <c r="J1829" s="3" t="s">
        <v>41</v>
      </c>
      <c r="K1829" s="3" t="s">
        <v>41</v>
      </c>
      <c r="L1829" s="3" t="s">
        <v>42</v>
      </c>
      <c r="M1829" s="3" t="s">
        <v>41</v>
      </c>
    </row>
    <row r="1830" spans="1:13" ht="80.45">
      <c r="A1830" s="22" t="s">
        <v>18</v>
      </c>
      <c r="B1830" s="3" t="s">
        <v>5754</v>
      </c>
      <c r="C1830" s="3" t="s">
        <v>5755</v>
      </c>
      <c r="D1830" s="3" t="s">
        <v>5752</v>
      </c>
      <c r="E1830" s="3" t="s">
        <v>46</v>
      </c>
      <c r="F1830" s="3" t="s">
        <v>5664</v>
      </c>
      <c r="G1830" s="3" t="s">
        <v>5664</v>
      </c>
      <c r="H1830" s="3" t="s">
        <v>5756</v>
      </c>
      <c r="I1830" s="3" t="str">
        <f>HYPERLINK("http://www.jccm.es/sede/tramite/K30","AYUDAS PARA LA PREVENCION DE LA DISCRIMINACION MULTIPLE")</f>
        <v>AYUDAS PARA LA PREVENCION DE LA DISCRIMINACION MULTIPLE</v>
      </c>
      <c r="J1830" s="3" t="s">
        <v>41</v>
      </c>
      <c r="K1830" s="3" t="s">
        <v>41</v>
      </c>
      <c r="L1830" s="3" t="s">
        <v>42</v>
      </c>
      <c r="M1830" s="3" t="s">
        <v>41</v>
      </c>
    </row>
    <row r="1831" spans="1:13" ht="207">
      <c r="A1831" s="22" t="s">
        <v>18</v>
      </c>
      <c r="B1831" s="3" t="s">
        <v>5757</v>
      </c>
      <c r="C1831" s="3" t="s">
        <v>5758</v>
      </c>
      <c r="D1831" s="3" t="s">
        <v>5759</v>
      </c>
      <c r="E1831" s="3" t="s">
        <v>46</v>
      </c>
      <c r="F1831" s="3" t="s">
        <v>5664</v>
      </c>
      <c r="G1831" s="3" t="s">
        <v>5664</v>
      </c>
      <c r="H1831" s="3" t="s">
        <v>5760</v>
      </c>
      <c r="I1831" s="3" t="str">
        <f>HYPERLINK("http://www.jccm.es/sede/tramite/K5K","CONVOCATORIA DE SUBVENCIONES PARA LA GESTION DEL FUNCIONAMIENTO DE CENTROS DE LA MUJER PARA VICTIMAS DE VIOLENCIA DE GENERO EN CASTILLA- LA MANCHA, PARA 2023-2024")</f>
        <v>CONVOCATORIA DE SUBVENCIONES PARA LA GESTION DEL FUNCIONAMIENTO DE CENTROS DE LA MUJER PARA VICTIMAS DE VIOLENCIA DE GENERO EN CASTILLA- LA MANCHA, PARA 2023-2024</v>
      </c>
      <c r="J1831" s="3" t="s">
        <v>41</v>
      </c>
      <c r="K1831" s="3" t="s">
        <v>41</v>
      </c>
      <c r="L1831" s="3" t="s">
        <v>42</v>
      </c>
      <c r="M1831" s="3" t="s">
        <v>41</v>
      </c>
    </row>
    <row r="1832" spans="1:13" ht="207">
      <c r="A1832" s="22" t="s">
        <v>18</v>
      </c>
      <c r="B1832" s="3" t="s">
        <v>5761</v>
      </c>
      <c r="C1832" s="3" t="s">
        <v>5762</v>
      </c>
      <c r="D1832" s="3" t="s">
        <v>5759</v>
      </c>
      <c r="E1832" s="3" t="s">
        <v>46</v>
      </c>
      <c r="F1832" s="3" t="s">
        <v>5664</v>
      </c>
      <c r="G1832" s="3" t="s">
        <v>5664</v>
      </c>
      <c r="H1832" s="3" t="s">
        <v>5763</v>
      </c>
      <c r="I1832" s="3" t="str">
        <f>HYPERLINK("http://www.jccm.es/sede/tramite/KJH","CONVOCATORIA DE SUBVENCIONES PARA LA GESTION DEL FUNCIONAMIENTO DE RECURSOS DE ACOGIDA PARA VICTIMAS DE VIOLENCIA DE GENERO EN CASTILLA- LA MANCHA, PARA 2023-2024")</f>
        <v>CONVOCATORIA DE SUBVENCIONES PARA LA GESTION DEL FUNCIONAMIENTO DE RECURSOS DE ACOGIDA PARA VICTIMAS DE VIOLENCIA DE GENERO EN CASTILLA- LA MANCHA, PARA 2023-2024</v>
      </c>
      <c r="J1832" s="3" t="s">
        <v>41</v>
      </c>
      <c r="K1832" s="3" t="s">
        <v>41</v>
      </c>
      <c r="L1832" s="3" t="s">
        <v>42</v>
      </c>
      <c r="M1832" s="3" t="s">
        <v>41</v>
      </c>
    </row>
    <row r="1833" spans="1:13" ht="149.44999999999999">
      <c r="A1833" s="22" t="s">
        <v>18</v>
      </c>
      <c r="B1833" s="3" t="s">
        <v>5764</v>
      </c>
      <c r="C1833" s="3" t="s">
        <v>5765</v>
      </c>
      <c r="D1833" s="3" t="s">
        <v>45</v>
      </c>
      <c r="E1833" s="3" t="s">
        <v>46</v>
      </c>
      <c r="F1833" s="3" t="s">
        <v>5664</v>
      </c>
      <c r="G1833" s="3" t="s">
        <v>5664</v>
      </c>
      <c r="H1833" s="3" t="s">
        <v>5766</v>
      </c>
      <c r="I1833" s="3" t="str">
        <f>HYPERLINK("http://www.jccm.es/sede/tramite/L52","AYUDAS A FAMILIARES EN SITUACION DE DEPENDENCIA DE LA MUJER VICTIMA MORTAL POR VIOLENCIA DE GENERO")</f>
        <v>AYUDAS A FAMILIARES EN SITUACION DE DEPENDENCIA DE LA MUJER VICTIMA MORTAL POR VIOLENCIA DE GENERO</v>
      </c>
      <c r="J1833" s="3" t="s">
        <v>42</v>
      </c>
      <c r="K1833" s="3" t="s">
        <v>41</v>
      </c>
      <c r="L1833" s="3" t="s">
        <v>42</v>
      </c>
      <c r="M1833" s="3" t="s">
        <v>41</v>
      </c>
    </row>
    <row r="1834" spans="1:13" ht="126.6">
      <c r="A1834" s="22" t="s">
        <v>18</v>
      </c>
      <c r="B1834" s="3" t="s">
        <v>5767</v>
      </c>
      <c r="C1834" s="3" t="s">
        <v>5768</v>
      </c>
      <c r="D1834" s="3" t="s">
        <v>45</v>
      </c>
      <c r="E1834" s="3" t="s">
        <v>46</v>
      </c>
      <c r="F1834" s="3" t="s">
        <v>5664</v>
      </c>
      <c r="G1834" s="3" t="s">
        <v>5664</v>
      </c>
      <c r="H1834" s="3" t="s">
        <v>5769</v>
      </c>
      <c r="I1834" s="3" t="str">
        <f>HYPERLINK("http://www.jccm.es/sede/tramite/L4I","AYUDAS A MENORES DE EDAD EN SITUACION DE ORFANDAD COMO CONSECUENCIA DE LA VIOLENCIA DE GENERO")</f>
        <v>AYUDAS A MENORES DE EDAD EN SITUACION DE ORFANDAD COMO CONSECUENCIA DE LA VIOLENCIA DE GENERO</v>
      </c>
      <c r="J1834" s="3" t="s">
        <v>42</v>
      </c>
      <c r="K1834" s="3" t="s">
        <v>41</v>
      </c>
      <c r="L1834" s="3" t="s">
        <v>42</v>
      </c>
      <c r="M1834" s="3" t="s">
        <v>41</v>
      </c>
    </row>
    <row r="1835" spans="1:13" ht="207">
      <c r="A1835" s="22" t="s">
        <v>18</v>
      </c>
      <c r="B1835" s="3" t="s">
        <v>5770</v>
      </c>
      <c r="C1835" s="3" t="s">
        <v>5771</v>
      </c>
      <c r="D1835" s="3" t="s">
        <v>95</v>
      </c>
      <c r="E1835" s="3" t="s">
        <v>95</v>
      </c>
      <c r="F1835" s="3" t="s">
        <v>5664</v>
      </c>
      <c r="G1835" s="3" t="s">
        <v>5664</v>
      </c>
      <c r="H1835" s="3" t="s">
        <v>5772</v>
      </c>
      <c r="I1835" s="3" t="str">
        <f>HYPERLINK("http://www.jccm.es/sede/tramite/LOO","PROCEDIMIENTO PARA EL RECONOCIMIENTO DE LA EXPERIENCIA LABORAL FORMAL O NO FORMAL EN EL SECTOR DE LOS CUIDADOS DE MENORES HASTA 14 AÑOS EN EL AMBITO DEL PLAN CORRESPONSABLES.")</f>
        <v>PROCEDIMIENTO PARA EL RECONOCIMIENTO DE LA EXPERIENCIA LABORAL FORMAL O NO FORMAL EN EL SECTOR DE LOS CUIDADOS DE MENORES HASTA 14 AÑOS EN EL AMBITO DEL PLAN CORRESPONSABLES.</v>
      </c>
      <c r="J1835" s="3" t="s">
        <v>42</v>
      </c>
      <c r="K1835" s="3" t="s">
        <v>41</v>
      </c>
      <c r="L1835" s="3" t="s">
        <v>42</v>
      </c>
      <c r="M1835" s="3" t="s">
        <v>41</v>
      </c>
    </row>
    <row r="1836" spans="1:13" ht="103.5">
      <c r="A1836" s="22" t="s">
        <v>18</v>
      </c>
      <c r="B1836" s="3" t="s">
        <v>5773</v>
      </c>
      <c r="C1836" s="3" t="s">
        <v>5774</v>
      </c>
      <c r="D1836" s="3" t="s">
        <v>62</v>
      </c>
      <c r="E1836" s="3" t="s">
        <v>46</v>
      </c>
      <c r="F1836" s="3" t="s">
        <v>5664</v>
      </c>
      <c r="G1836" s="3" t="s">
        <v>5664</v>
      </c>
      <c r="H1836" s="3" t="s">
        <v>5775</v>
      </c>
      <c r="I1836" s="3" t="str">
        <f>HYPERLINK("http://www.jccm.es/sede/tramite/LVW","ACREDITACION ADMINISTRATIVA DE LA CONDICION DE VICTIMA DE VIOLENCIA DE GENERO")</f>
        <v>ACREDITACION ADMINISTRATIVA DE LA CONDICION DE VICTIMA DE VIOLENCIA DE GENERO</v>
      </c>
      <c r="J1836" s="3" t="s">
        <v>42</v>
      </c>
      <c r="K1836" s="3" t="s">
        <v>41</v>
      </c>
      <c r="L1836" s="3" t="s">
        <v>42</v>
      </c>
      <c r="M1836" s="3" t="s">
        <v>41</v>
      </c>
    </row>
    <row r="1837" spans="1:13" ht="80.45">
      <c r="A1837" s="22" t="s">
        <v>18</v>
      </c>
      <c r="B1837" s="3" t="s">
        <v>5776</v>
      </c>
      <c r="C1837" s="3" t="s">
        <v>5777</v>
      </c>
      <c r="D1837" s="3" t="s">
        <v>51</v>
      </c>
      <c r="E1837" s="3" t="s">
        <v>46</v>
      </c>
      <c r="F1837" s="3" t="s">
        <v>5664</v>
      </c>
      <c r="G1837" s="3" t="s">
        <v>5664</v>
      </c>
      <c r="H1837" s="3" t="s">
        <v>5778</v>
      </c>
      <c r="I1837" s="3" t="str">
        <f>HYPERLINK("http://www.jccm.es/sede/tramite/JUJ","PROVISION DE PUESTOS DE TRABAJO DE PERSONAL FUNCIONARIO LD. IM F1/2022")</f>
        <v>PROVISION DE PUESTOS DE TRABAJO DE PERSONAL FUNCIONARIO LD. IM F1/2022</v>
      </c>
      <c r="J1837" s="3" t="s">
        <v>41</v>
      </c>
      <c r="K1837" s="3" t="s">
        <v>41</v>
      </c>
      <c r="L1837" s="3" t="s">
        <v>42</v>
      </c>
      <c r="M1837" s="3" t="s">
        <v>41</v>
      </c>
    </row>
    <row r="1838" spans="1:13" ht="92.1">
      <c r="A1838" s="22" t="s">
        <v>19</v>
      </c>
      <c r="B1838" s="3" t="s">
        <v>5779</v>
      </c>
      <c r="C1838" s="3" t="s">
        <v>5780</v>
      </c>
      <c r="D1838" s="3" t="s">
        <v>45</v>
      </c>
      <c r="E1838" s="3" t="s">
        <v>46</v>
      </c>
      <c r="F1838" s="3" t="s">
        <v>5781</v>
      </c>
      <c r="G1838" s="3" t="s">
        <v>5781</v>
      </c>
      <c r="H1838" s="3" t="s">
        <v>5782</v>
      </c>
      <c r="I1838" s="3" t="str">
        <f>HYPERLINK("http://www.jccm.es/sede/tramite/LF0","CASTILLA-LA MANCHA OPEN DAY DE CHINA 2022")</f>
        <v>CASTILLA-LA MANCHA OPEN DAY DE CHINA 2022</v>
      </c>
      <c r="J1838" s="3" t="s">
        <v>41</v>
      </c>
      <c r="K1838" s="3" t="s">
        <v>41</v>
      </c>
      <c r="L1838" s="3" t="s">
        <v>42</v>
      </c>
      <c r="M1838" s="3" t="s">
        <v>41</v>
      </c>
    </row>
    <row r="1839" spans="1:13" ht="92.1">
      <c r="A1839" s="22" t="s">
        <v>19</v>
      </c>
      <c r="B1839" s="3" t="s">
        <v>5783</v>
      </c>
      <c r="C1839" s="3" t="s">
        <v>5784</v>
      </c>
      <c r="D1839" s="3" t="s">
        <v>2406</v>
      </c>
      <c r="E1839" s="3" t="s">
        <v>46</v>
      </c>
      <c r="F1839" s="3" t="s">
        <v>5781</v>
      </c>
      <c r="G1839" s="3" t="s">
        <v>5781</v>
      </c>
      <c r="H1839" s="3" t="s">
        <v>5785</v>
      </c>
      <c r="I1839" s="3" t="str">
        <f>HYPERLINK("http://www.jccm.es/sede/tramite/LF7","MISION COMERCIAL VIRTUAL A PAISES NORDICOS")</f>
        <v>MISION COMERCIAL VIRTUAL A PAISES NORDICOS</v>
      </c>
      <c r="J1839" s="3" t="s">
        <v>41</v>
      </c>
      <c r="K1839" s="3" t="s">
        <v>41</v>
      </c>
      <c r="L1839" s="3" t="s">
        <v>42</v>
      </c>
      <c r="M1839" s="3" t="s">
        <v>41</v>
      </c>
    </row>
    <row r="1840" spans="1:13" ht="92.1">
      <c r="A1840" s="22" t="s">
        <v>19</v>
      </c>
      <c r="B1840" s="3" t="s">
        <v>5786</v>
      </c>
      <c r="C1840" s="3" t="s">
        <v>5787</v>
      </c>
      <c r="D1840" s="3" t="s">
        <v>45</v>
      </c>
      <c r="E1840" s="3" t="s">
        <v>46</v>
      </c>
      <c r="F1840" s="3" t="s">
        <v>5781</v>
      </c>
      <c r="G1840" s="3" t="s">
        <v>5781</v>
      </c>
      <c r="H1840" s="3" t="s">
        <v>5788</v>
      </c>
      <c r="I1840" s="3" t="str">
        <f>HYPERLINK("http://www.jccm.es/sede/tramite/LFR","V2B WINE MEETING PEKIN")</f>
        <v>V2B WINE MEETING PEKIN</v>
      </c>
      <c r="J1840" s="3" t="s">
        <v>41</v>
      </c>
      <c r="K1840" s="3" t="s">
        <v>41</v>
      </c>
      <c r="L1840" s="3" t="s">
        <v>42</v>
      </c>
      <c r="M1840" s="3" t="s">
        <v>41</v>
      </c>
    </row>
    <row r="1841" spans="1:13" ht="92.1">
      <c r="A1841" s="22" t="s">
        <v>19</v>
      </c>
      <c r="B1841" s="3" t="s">
        <v>5789</v>
      </c>
      <c r="C1841" s="3" t="s">
        <v>5790</v>
      </c>
      <c r="D1841" s="3" t="s">
        <v>45</v>
      </c>
      <c r="E1841" s="3" t="s">
        <v>46</v>
      </c>
      <c r="F1841" s="3" t="s">
        <v>5781</v>
      </c>
      <c r="G1841" s="3" t="s">
        <v>5781</v>
      </c>
      <c r="H1841" s="3" t="s">
        <v>5791</v>
      </c>
      <c r="I1841" s="3" t="str">
        <f>HYPERLINK("http://www.jccm.es/sede/tramite/LFX","V2B WINE MEETING GUANGZHOU")</f>
        <v>V2B WINE MEETING GUANGZHOU</v>
      </c>
      <c r="J1841" s="3" t="s">
        <v>41</v>
      </c>
      <c r="K1841" s="3" t="s">
        <v>41</v>
      </c>
      <c r="L1841" s="3" t="s">
        <v>42</v>
      </c>
      <c r="M1841" s="3" t="s">
        <v>41</v>
      </c>
    </row>
    <row r="1842" spans="1:13" ht="92.1">
      <c r="A1842" s="22" t="s">
        <v>19</v>
      </c>
      <c r="B1842" s="3" t="s">
        <v>5792</v>
      </c>
      <c r="C1842" s="3" t="s">
        <v>5793</v>
      </c>
      <c r="D1842" s="3" t="s">
        <v>45</v>
      </c>
      <c r="E1842" s="3" t="s">
        <v>46</v>
      </c>
      <c r="F1842" s="3" t="s">
        <v>5781</v>
      </c>
      <c r="G1842" s="3" t="s">
        <v>5781</v>
      </c>
      <c r="H1842" s="3" t="s">
        <v>5794</v>
      </c>
      <c r="I1842" s="3" t="str">
        <f>HYPERLINK("http://www.jccm.es/sede/tramite/LG2","V2B WINE MEETING TAILANDIA.")</f>
        <v>V2B WINE MEETING TAILANDIA.</v>
      </c>
      <c r="J1842" s="3" t="s">
        <v>41</v>
      </c>
      <c r="K1842" s="3" t="s">
        <v>41</v>
      </c>
      <c r="L1842" s="3" t="s">
        <v>42</v>
      </c>
      <c r="M1842" s="3" t="s">
        <v>41</v>
      </c>
    </row>
    <row r="1843" spans="1:13" ht="92.1">
      <c r="A1843" s="22" t="s">
        <v>19</v>
      </c>
      <c r="B1843" s="3" t="s">
        <v>5795</v>
      </c>
      <c r="C1843" s="3" t="s">
        <v>5796</v>
      </c>
      <c r="D1843" s="3" t="s">
        <v>45</v>
      </c>
      <c r="E1843" s="3" t="s">
        <v>46</v>
      </c>
      <c r="F1843" s="3" t="s">
        <v>5781</v>
      </c>
      <c r="G1843" s="3" t="s">
        <v>5781</v>
      </c>
      <c r="H1843" s="3" t="s">
        <v>5797</v>
      </c>
      <c r="I1843" s="3" t="str">
        <f>HYPERLINK("http://www.jccm.es/sede/tramite/LGE","FERIA WBWE")</f>
        <v>FERIA WBWE</v>
      </c>
      <c r="J1843" s="3" t="s">
        <v>41</v>
      </c>
      <c r="K1843" s="3" t="s">
        <v>41</v>
      </c>
      <c r="L1843" s="3" t="s">
        <v>42</v>
      </c>
      <c r="M1843" s="3" t="s">
        <v>41</v>
      </c>
    </row>
    <row r="1844" spans="1:13" ht="114.95">
      <c r="A1844" s="22" t="s">
        <v>19</v>
      </c>
      <c r="B1844" s="3" t="s">
        <v>5798</v>
      </c>
      <c r="C1844" s="3" t="s">
        <v>5799</v>
      </c>
      <c r="D1844" s="3" t="s">
        <v>45</v>
      </c>
      <c r="E1844" s="3" t="s">
        <v>46</v>
      </c>
      <c r="F1844" s="3" t="s">
        <v>5781</v>
      </c>
      <c r="G1844" s="3" t="s">
        <v>5781</v>
      </c>
      <c r="H1844" s="3" t="s">
        <v>5800</v>
      </c>
      <c r="I1844" s="3" t="str">
        <f>HYPERLINK("http://www.jccm.es/sede/tramite/LH7","PROMOCION EN MARKETPLACES INTERNACIONALES DE MODA B2B  JOOR Y WE WANT SHOES")</f>
        <v>PROMOCION EN MARKETPLACES INTERNACIONALES DE MODA B2B  JOOR Y WE WANT SHOES</v>
      </c>
      <c r="J1844" s="3" t="s">
        <v>41</v>
      </c>
      <c r="K1844" s="3" t="s">
        <v>41</v>
      </c>
      <c r="L1844" s="3" t="s">
        <v>42</v>
      </c>
      <c r="M1844" s="3" t="s">
        <v>41</v>
      </c>
    </row>
    <row r="1845" spans="1:13" ht="92.1">
      <c r="A1845" s="22" t="s">
        <v>19</v>
      </c>
      <c r="B1845" s="3" t="s">
        <v>5801</v>
      </c>
      <c r="C1845" s="3" t="s">
        <v>5802</v>
      </c>
      <c r="D1845" s="3" t="s">
        <v>45</v>
      </c>
      <c r="E1845" s="3" t="s">
        <v>46</v>
      </c>
      <c r="F1845" s="3" t="s">
        <v>5781</v>
      </c>
      <c r="G1845" s="3" t="s">
        <v>5781</v>
      </c>
      <c r="H1845" s="3" t="s">
        <v>5803</v>
      </c>
      <c r="I1845" s="3" t="str">
        <f>HYPERLINK("http://www.jccm.es/sede/tramite/LH9","FERIAS INTERNACIONALES AGROALIMENTARIAS")</f>
        <v>FERIAS INTERNACIONALES AGROALIMENTARIAS</v>
      </c>
      <c r="J1845" s="3" t="s">
        <v>41</v>
      </c>
      <c r="K1845" s="3" t="s">
        <v>41</v>
      </c>
      <c r="L1845" s="3" t="s">
        <v>42</v>
      </c>
      <c r="M1845" s="3" t="s">
        <v>41</v>
      </c>
    </row>
    <row r="1846" spans="1:13" ht="92.1">
      <c r="A1846" s="22" t="s">
        <v>19</v>
      </c>
      <c r="B1846" s="3" t="s">
        <v>5804</v>
      </c>
      <c r="C1846" s="3" t="s">
        <v>5805</v>
      </c>
      <c r="D1846" s="3" t="s">
        <v>45</v>
      </c>
      <c r="E1846" s="3" t="s">
        <v>46</v>
      </c>
      <c r="F1846" s="3" t="s">
        <v>5781</v>
      </c>
      <c r="G1846" s="3" t="s">
        <v>5781</v>
      </c>
      <c r="H1846" s="3" t="s">
        <v>5806</v>
      </c>
      <c r="I1846" s="3" t="str">
        <f>HYPERLINK("http://www.jccm.es/sede/tramite/LHX","IMPULSA TU EMPRESA  EN CHINA")</f>
        <v>IMPULSA TU EMPRESA  EN CHINA</v>
      </c>
      <c r="J1846" s="3" t="s">
        <v>41</v>
      </c>
      <c r="K1846" s="3" t="s">
        <v>41</v>
      </c>
      <c r="L1846" s="3" t="s">
        <v>42</v>
      </c>
      <c r="M1846" s="3" t="s">
        <v>41</v>
      </c>
    </row>
    <row r="1847" spans="1:13" ht="92.1">
      <c r="A1847" s="22" t="s">
        <v>19</v>
      </c>
      <c r="B1847" s="3" t="s">
        <v>5807</v>
      </c>
      <c r="C1847" s="3" t="s">
        <v>5808</v>
      </c>
      <c r="D1847" s="3" t="s">
        <v>45</v>
      </c>
      <c r="E1847" s="3" t="s">
        <v>46</v>
      </c>
      <c r="F1847" s="3" t="s">
        <v>5781</v>
      </c>
      <c r="G1847" s="3" t="s">
        <v>5781</v>
      </c>
      <c r="H1847" s="3" t="s">
        <v>5809</v>
      </c>
      <c r="I1847" s="3" t="str">
        <f>HYPERLINK("http://www.jccm.es/sede/tramite/LI9","FERIA DE HOTELES DE CHENGDU")</f>
        <v>FERIA DE HOTELES DE CHENGDU</v>
      </c>
      <c r="J1847" s="3" t="s">
        <v>41</v>
      </c>
      <c r="K1847" s="3" t="s">
        <v>41</v>
      </c>
      <c r="L1847" s="3" t="s">
        <v>42</v>
      </c>
      <c r="M1847" s="3" t="s">
        <v>41</v>
      </c>
    </row>
    <row r="1848" spans="1:13" ht="92.1">
      <c r="A1848" s="22" t="s">
        <v>19</v>
      </c>
      <c r="B1848" s="3" t="s">
        <v>5810</v>
      </c>
      <c r="C1848" s="3" t="s">
        <v>5811</v>
      </c>
      <c r="D1848" s="3" t="s">
        <v>45</v>
      </c>
      <c r="E1848" s="3" t="s">
        <v>46</v>
      </c>
      <c r="F1848" s="3" t="s">
        <v>5781</v>
      </c>
      <c r="G1848" s="3" t="s">
        <v>5781</v>
      </c>
      <c r="H1848" s="3" t="s">
        <v>5812</v>
      </c>
      <c r="I1848" s="3" t="str">
        <f>HYPERLINK("http://www.jccm.es/sede/tramite/LIG","ANTAD RETAIL CONNECT: INTERNATIONAL WEEK 2021")</f>
        <v>ANTAD RETAIL CONNECT: INTERNATIONAL WEEK 2021</v>
      </c>
      <c r="J1848" s="3" t="s">
        <v>41</v>
      </c>
      <c r="K1848" s="3" t="s">
        <v>41</v>
      </c>
      <c r="L1848" s="3" t="s">
        <v>42</v>
      </c>
      <c r="M1848" s="3" t="s">
        <v>41</v>
      </c>
    </row>
    <row r="1849" spans="1:13" ht="92.1">
      <c r="A1849" s="22" t="s">
        <v>19</v>
      </c>
      <c r="B1849" s="3" t="s">
        <v>5813</v>
      </c>
      <c r="C1849" s="3" t="s">
        <v>5814</v>
      </c>
      <c r="D1849" s="3" t="s">
        <v>70</v>
      </c>
      <c r="E1849" s="3" t="s">
        <v>46</v>
      </c>
      <c r="F1849" s="3" t="s">
        <v>5781</v>
      </c>
      <c r="G1849" s="3" t="s">
        <v>5781</v>
      </c>
      <c r="H1849" s="3" t="s">
        <v>5815</v>
      </c>
      <c r="I1849" s="3" t="str">
        <f>HYPERLINK("http://www.jccm.es/sede/tramite/LIT","FERIAS INTERNACIONALES AGROALIMENTARIAS SEGUNDO TRIMESTRE.")</f>
        <v>FERIAS INTERNACIONALES AGROALIMENTARIAS SEGUNDO TRIMESTRE.</v>
      </c>
      <c r="J1849" s="3" t="s">
        <v>41</v>
      </c>
      <c r="K1849" s="3" t="s">
        <v>41</v>
      </c>
      <c r="L1849" s="3" t="s">
        <v>42</v>
      </c>
      <c r="M1849" s="3" t="s">
        <v>41</v>
      </c>
    </row>
    <row r="1850" spans="1:13" ht="92.1">
      <c r="A1850" s="22" t="s">
        <v>19</v>
      </c>
      <c r="B1850" s="3" t="s">
        <v>5816</v>
      </c>
      <c r="C1850" s="3" t="s">
        <v>5817</v>
      </c>
      <c r="D1850" s="3" t="s">
        <v>70</v>
      </c>
      <c r="E1850" s="3" t="s">
        <v>46</v>
      </c>
      <c r="F1850" s="3" t="s">
        <v>5781</v>
      </c>
      <c r="G1850" s="3" t="s">
        <v>5781</v>
      </c>
      <c r="H1850" s="3" t="s">
        <v>5818</v>
      </c>
      <c r="I1850" s="3" t="str">
        <f>HYPERLINK("http://www.jccm.es/sede/tramite/LIU","FERIAS INTERNACIONALES SECTORES INDUSTRIALES CUARTO TRIMESTRE")</f>
        <v>FERIAS INTERNACIONALES SECTORES INDUSTRIALES CUARTO TRIMESTRE</v>
      </c>
      <c r="J1850" s="3" t="s">
        <v>41</v>
      </c>
      <c r="K1850" s="3" t="s">
        <v>41</v>
      </c>
      <c r="L1850" s="3" t="s">
        <v>42</v>
      </c>
      <c r="M1850" s="3" t="s">
        <v>41</v>
      </c>
    </row>
    <row r="1851" spans="1:13" ht="114.95">
      <c r="A1851" s="22" t="s">
        <v>19</v>
      </c>
      <c r="B1851" s="3" t="s">
        <v>5819</v>
      </c>
      <c r="C1851" s="3" t="s">
        <v>5820</v>
      </c>
      <c r="D1851" s="3" t="s">
        <v>45</v>
      </c>
      <c r="E1851" s="3" t="s">
        <v>46</v>
      </c>
      <c r="F1851" s="3" t="s">
        <v>5781</v>
      </c>
      <c r="G1851" s="3" t="s">
        <v>5781</v>
      </c>
      <c r="H1851" s="3" t="s">
        <v>5821</v>
      </c>
      <c r="I1851" s="3" t="str">
        <f>HYPERLINK("http://www.jccm.es/sede/tramite/LIV","FERIAS INTERNACIONALES BIENES DE CONSUMO CUARTO TRIMESTRE 2022, (2ª CONVOCATORIA).")</f>
        <v>FERIAS INTERNACIONALES BIENES DE CONSUMO CUARTO TRIMESTRE 2022, (2ª CONVOCATORIA).</v>
      </c>
      <c r="J1851" s="3" t="s">
        <v>41</v>
      </c>
      <c r="K1851" s="3" t="s">
        <v>41</v>
      </c>
      <c r="L1851" s="3" t="s">
        <v>42</v>
      </c>
      <c r="M1851" s="3" t="s">
        <v>41</v>
      </c>
    </row>
    <row r="1852" spans="1:13" ht="92.1">
      <c r="A1852" s="22" t="s">
        <v>19</v>
      </c>
      <c r="B1852" s="3" t="s">
        <v>5822</v>
      </c>
      <c r="C1852" s="3" t="s">
        <v>5823</v>
      </c>
      <c r="D1852" s="3" t="s">
        <v>70</v>
      </c>
      <c r="E1852" s="3" t="s">
        <v>46</v>
      </c>
      <c r="F1852" s="3" t="s">
        <v>5781</v>
      </c>
      <c r="G1852" s="3" t="s">
        <v>5781</v>
      </c>
      <c r="H1852" s="3" t="s">
        <v>5824</v>
      </c>
      <c r="I1852" s="3" t="str">
        <f>HYPERLINK("http://www.jccm.es/sede/tramite/LIW","FERIAS INTERNACIONALES SECTOR MODA TERCER TRIMESTRE")</f>
        <v>FERIAS INTERNACIONALES SECTOR MODA TERCER TRIMESTRE</v>
      </c>
      <c r="J1852" s="3" t="s">
        <v>41</v>
      </c>
      <c r="K1852" s="3" t="s">
        <v>41</v>
      </c>
      <c r="L1852" s="3" t="s">
        <v>42</v>
      </c>
      <c r="M1852" s="3" t="s">
        <v>41</v>
      </c>
    </row>
    <row r="1853" spans="1:13" ht="92.1">
      <c r="A1853" s="22" t="s">
        <v>19</v>
      </c>
      <c r="B1853" s="3" t="s">
        <v>5825</v>
      </c>
      <c r="C1853" s="3" t="s">
        <v>5826</v>
      </c>
      <c r="D1853" s="3" t="s">
        <v>45</v>
      </c>
      <c r="E1853" s="3" t="s">
        <v>46</v>
      </c>
      <c r="F1853" s="3" t="s">
        <v>5781</v>
      </c>
      <c r="G1853" s="3" t="s">
        <v>5781</v>
      </c>
      <c r="H1853" s="3" t="s">
        <v>5827</v>
      </c>
      <c r="I1853" s="3" t="str">
        <f>HYPERLINK("http://www.jccm.es/sede/tramite/LJ4","V2B WINE MEETING EN SINGAPUR")</f>
        <v>V2B WINE MEETING EN SINGAPUR</v>
      </c>
      <c r="J1853" s="3" t="s">
        <v>41</v>
      </c>
      <c r="K1853" s="3" t="s">
        <v>41</v>
      </c>
      <c r="L1853" s="3" t="s">
        <v>42</v>
      </c>
      <c r="M1853" s="3" t="s">
        <v>41</v>
      </c>
    </row>
    <row r="1854" spans="1:13" ht="92.1">
      <c r="A1854" s="22" t="s">
        <v>19</v>
      </c>
      <c r="B1854" s="3" t="s">
        <v>5828</v>
      </c>
      <c r="C1854" s="3" t="s">
        <v>5829</v>
      </c>
      <c r="D1854" s="3" t="s">
        <v>45</v>
      </c>
      <c r="E1854" s="3" t="s">
        <v>46</v>
      </c>
      <c r="F1854" s="3" t="s">
        <v>5781</v>
      </c>
      <c r="G1854" s="3" t="s">
        <v>5781</v>
      </c>
      <c r="H1854" s="3" t="s">
        <v>5830</v>
      </c>
      <c r="I1854" s="3" t="str">
        <f>HYPERLINK("http://www.jccm.es/sede/tramite/LJ5","V2B WINE MEETING EN TAILANDIA.")</f>
        <v>V2B WINE MEETING EN TAILANDIA.</v>
      </c>
      <c r="J1854" s="3" t="s">
        <v>41</v>
      </c>
      <c r="K1854" s="3" t="s">
        <v>41</v>
      </c>
      <c r="L1854" s="3" t="s">
        <v>42</v>
      </c>
      <c r="M1854" s="3" t="s">
        <v>41</v>
      </c>
    </row>
    <row r="1855" spans="1:13" ht="92.1">
      <c r="A1855" s="22" t="s">
        <v>19</v>
      </c>
      <c r="B1855" s="3" t="s">
        <v>5831</v>
      </c>
      <c r="C1855" s="3" t="s">
        <v>5832</v>
      </c>
      <c r="D1855" s="3" t="s">
        <v>45</v>
      </c>
      <c r="E1855" s="3" t="s">
        <v>46</v>
      </c>
      <c r="F1855" s="3" t="s">
        <v>5781</v>
      </c>
      <c r="G1855" s="3" t="s">
        <v>5781</v>
      </c>
      <c r="H1855" s="3" t="s">
        <v>5833</v>
      </c>
      <c r="I1855" s="3" t="str">
        <f>HYPERLINK("http://www.jccm.es/sede/tramite/LJA","V2B WINE MEETING CHINA: CHENGDU")</f>
        <v>V2B WINE MEETING CHINA: CHENGDU</v>
      </c>
      <c r="J1855" s="3" t="s">
        <v>41</v>
      </c>
      <c r="K1855" s="3" t="s">
        <v>41</v>
      </c>
      <c r="L1855" s="3" t="s">
        <v>42</v>
      </c>
      <c r="M1855" s="3" t="s">
        <v>41</v>
      </c>
    </row>
    <row r="1856" spans="1:13" ht="92.1">
      <c r="A1856" s="22" t="s">
        <v>19</v>
      </c>
      <c r="B1856" s="3" t="s">
        <v>5834</v>
      </c>
      <c r="C1856" s="3" t="s">
        <v>5835</v>
      </c>
      <c r="D1856" s="3" t="s">
        <v>45</v>
      </c>
      <c r="E1856" s="3" t="s">
        <v>46</v>
      </c>
      <c r="F1856" s="3" t="s">
        <v>5781</v>
      </c>
      <c r="G1856" s="3" t="s">
        <v>5781</v>
      </c>
      <c r="H1856" s="3" t="s">
        <v>5836</v>
      </c>
      <c r="I1856" s="3" t="str">
        <f>HYPERLINK("http://www.jccm.es/sede/tramite/LJC","MISION COMERCIAL VIRTUAL DE VINO EN COSTA DE MARFIL")</f>
        <v>MISION COMERCIAL VIRTUAL DE VINO EN COSTA DE MARFIL</v>
      </c>
      <c r="J1856" s="3" t="s">
        <v>41</v>
      </c>
      <c r="K1856" s="3" t="s">
        <v>41</v>
      </c>
      <c r="L1856" s="3" t="s">
        <v>42</v>
      </c>
      <c r="M1856" s="3" t="s">
        <v>41</v>
      </c>
    </row>
    <row r="1857" spans="1:13" ht="92.1">
      <c r="A1857" s="22" t="s">
        <v>19</v>
      </c>
      <c r="B1857" s="3" t="s">
        <v>5837</v>
      </c>
      <c r="C1857" s="3" t="s">
        <v>5838</v>
      </c>
      <c r="D1857" s="3" t="s">
        <v>45</v>
      </c>
      <c r="E1857" s="3" t="s">
        <v>46</v>
      </c>
      <c r="F1857" s="3" t="s">
        <v>5781</v>
      </c>
      <c r="G1857" s="3" t="s">
        <v>5781</v>
      </c>
      <c r="H1857" s="3" t="s">
        <v>5839</v>
      </c>
      <c r="I1857" s="3" t="str">
        <f>HYPERLINK("http://www.jccm.es/sede/tramite/LJD","MISION COMERCIAL DIRECTA DE VINO EN GHANA ( 3ª CONVOCATORIA)")</f>
        <v>MISION COMERCIAL DIRECTA DE VINO EN GHANA ( 3ª CONVOCATORIA)</v>
      </c>
      <c r="J1857" s="3" t="s">
        <v>41</v>
      </c>
      <c r="K1857" s="3" t="s">
        <v>41</v>
      </c>
      <c r="L1857" s="3" t="s">
        <v>42</v>
      </c>
      <c r="M1857" s="3" t="s">
        <v>41</v>
      </c>
    </row>
    <row r="1858" spans="1:13" ht="92.1">
      <c r="A1858" s="22" t="s">
        <v>19</v>
      </c>
      <c r="B1858" s="3" t="s">
        <v>5840</v>
      </c>
      <c r="C1858" s="3" t="s">
        <v>5841</v>
      </c>
      <c r="D1858" s="3" t="s">
        <v>45</v>
      </c>
      <c r="E1858" s="3" t="s">
        <v>46</v>
      </c>
      <c r="F1858" s="3" t="s">
        <v>5781</v>
      </c>
      <c r="G1858" s="3" t="s">
        <v>5781</v>
      </c>
      <c r="H1858" s="3" t="s">
        <v>5842</v>
      </c>
      <c r="I1858" s="3" t="str">
        <f>HYPERLINK("http://www.jccm.es/sede/tramite/LJH","MISION COMERCIAL DIRECTA DE VINO EN CAMERUN (3ª CONVOCATORIA)")</f>
        <v>MISION COMERCIAL DIRECTA DE VINO EN CAMERUN (3ª CONVOCATORIA)</v>
      </c>
      <c r="J1858" s="3" t="s">
        <v>41</v>
      </c>
      <c r="K1858" s="3" t="s">
        <v>41</v>
      </c>
      <c r="L1858" s="3" t="s">
        <v>42</v>
      </c>
      <c r="M1858" s="3" t="s">
        <v>41</v>
      </c>
    </row>
    <row r="1859" spans="1:13" ht="92.1">
      <c r="A1859" s="22" t="s">
        <v>19</v>
      </c>
      <c r="B1859" s="3" t="s">
        <v>5843</v>
      </c>
      <c r="C1859" s="3" t="s">
        <v>5844</v>
      </c>
      <c r="D1859" s="3" t="s">
        <v>45</v>
      </c>
      <c r="E1859" s="3" t="s">
        <v>46</v>
      </c>
      <c r="F1859" s="3" t="s">
        <v>5781</v>
      </c>
      <c r="G1859" s="3" t="s">
        <v>5781</v>
      </c>
      <c r="H1859" s="3" t="s">
        <v>5845</v>
      </c>
      <c r="I1859" s="3" t="str">
        <f>HYPERLINK("http://www.jccm.es/sede/tramite/LK3","VISITA FERIA A TASTE OF TAVOLA Y PLATAFORMA TAVOLA ONLINE")</f>
        <v>VISITA FERIA A TASTE OF TAVOLA Y PLATAFORMA TAVOLA ONLINE</v>
      </c>
      <c r="J1859" s="3" t="s">
        <v>41</v>
      </c>
      <c r="K1859" s="3" t="s">
        <v>41</v>
      </c>
      <c r="L1859" s="3" t="s">
        <v>42</v>
      </c>
      <c r="M1859" s="3" t="s">
        <v>41</v>
      </c>
    </row>
    <row r="1860" spans="1:13" ht="92.1">
      <c r="A1860" s="22" t="s">
        <v>19</v>
      </c>
      <c r="B1860" s="3" t="s">
        <v>5846</v>
      </c>
      <c r="C1860" s="3" t="s">
        <v>5847</v>
      </c>
      <c r="D1860" s="3" t="s">
        <v>45</v>
      </c>
      <c r="E1860" s="3" t="s">
        <v>46</v>
      </c>
      <c r="F1860" s="3" t="s">
        <v>5781</v>
      </c>
      <c r="G1860" s="3" t="s">
        <v>5781</v>
      </c>
      <c r="H1860" s="3" t="s">
        <v>5848</v>
      </c>
      <c r="I1860" s="3" t="str">
        <f>HYPERLINK("http://www.jccm.es/sede/tramite/LLI","VISITA A FERIA YUMMEX")</f>
        <v>VISITA A FERIA YUMMEX</v>
      </c>
      <c r="J1860" s="3" t="s">
        <v>41</v>
      </c>
      <c r="K1860" s="3" t="s">
        <v>41</v>
      </c>
      <c r="L1860" s="3" t="s">
        <v>42</v>
      </c>
      <c r="M1860" s="3" t="s">
        <v>41</v>
      </c>
    </row>
    <row r="1861" spans="1:13" ht="92.1">
      <c r="A1861" s="22" t="s">
        <v>19</v>
      </c>
      <c r="B1861" s="3" t="s">
        <v>5849</v>
      </c>
      <c r="C1861" s="3" t="s">
        <v>5850</v>
      </c>
      <c r="D1861" s="3" t="s">
        <v>70</v>
      </c>
      <c r="E1861" s="3" t="s">
        <v>46</v>
      </c>
      <c r="F1861" s="3" t="s">
        <v>5781</v>
      </c>
      <c r="G1861" s="3" t="s">
        <v>5781</v>
      </c>
      <c r="H1861" s="3" t="s">
        <v>5851</v>
      </c>
      <c r="I1861" s="3" t="str">
        <f>HYPERLINK("http://www.jccm.es/sede/tramite/LM0","VISITA FERIA AMERICAS FOOD&amp;BEVERAGES SHOW")</f>
        <v>VISITA FERIA AMERICAS FOOD&amp;BEVERAGES SHOW</v>
      </c>
      <c r="J1861" s="3" t="s">
        <v>41</v>
      </c>
      <c r="K1861" s="3" t="s">
        <v>41</v>
      </c>
      <c r="L1861" s="3" t="s">
        <v>42</v>
      </c>
      <c r="M1861" s="3" t="s">
        <v>41</v>
      </c>
    </row>
    <row r="1862" spans="1:13" ht="92.1">
      <c r="A1862" s="22" t="s">
        <v>19</v>
      </c>
      <c r="B1862" s="3" t="s">
        <v>5852</v>
      </c>
      <c r="C1862" s="3" t="s">
        <v>5853</v>
      </c>
      <c r="D1862" s="3" t="s">
        <v>70</v>
      </c>
      <c r="E1862" s="3" t="s">
        <v>46</v>
      </c>
      <c r="F1862" s="3" t="s">
        <v>5781</v>
      </c>
      <c r="G1862" s="3" t="s">
        <v>5781</v>
      </c>
      <c r="H1862" s="3" t="s">
        <v>5854</v>
      </c>
      <c r="I1862" s="3" t="str">
        <f>HYPERLINK("http://www.jccm.es/sede/tramite/LMO","MISION COMERCIAL DIRECTA MULTISECTORIAL A MARRUECOS")</f>
        <v>MISION COMERCIAL DIRECTA MULTISECTORIAL A MARRUECOS</v>
      </c>
      <c r="J1862" s="3" t="s">
        <v>41</v>
      </c>
      <c r="K1862" s="3" t="s">
        <v>41</v>
      </c>
      <c r="L1862" s="3" t="s">
        <v>42</v>
      </c>
      <c r="M1862" s="3" t="s">
        <v>41</v>
      </c>
    </row>
    <row r="1863" spans="1:13" ht="92.1">
      <c r="A1863" s="22" t="s">
        <v>19</v>
      </c>
      <c r="B1863" s="3" t="s">
        <v>5855</v>
      </c>
      <c r="C1863" s="3" t="s">
        <v>5856</v>
      </c>
      <c r="D1863" s="3" t="s">
        <v>70</v>
      </c>
      <c r="E1863" s="3" t="s">
        <v>46</v>
      </c>
      <c r="F1863" s="3" t="s">
        <v>5781</v>
      </c>
      <c r="G1863" s="3" t="s">
        <v>5781</v>
      </c>
      <c r="H1863" s="3" t="s">
        <v>5857</v>
      </c>
      <c r="I1863" s="3" t="str">
        <f>HYPERLINK("http://www.jccm.es/sede/tramite/LMZ","MISION COMERCIAL DIRECTA A ETIOPIA")</f>
        <v>MISION COMERCIAL DIRECTA A ETIOPIA</v>
      </c>
      <c r="J1863" s="3" t="s">
        <v>41</v>
      </c>
      <c r="K1863" s="3" t="s">
        <v>41</v>
      </c>
      <c r="L1863" s="3" t="s">
        <v>42</v>
      </c>
      <c r="M1863" s="3" t="s">
        <v>41</v>
      </c>
    </row>
    <row r="1864" spans="1:13" ht="92.1">
      <c r="A1864" s="22" t="s">
        <v>19</v>
      </c>
      <c r="B1864" s="3" t="s">
        <v>5858</v>
      </c>
      <c r="C1864" s="3" t="s">
        <v>5859</v>
      </c>
      <c r="D1864" s="3" t="s">
        <v>70</v>
      </c>
      <c r="E1864" s="3" t="s">
        <v>46</v>
      </c>
      <c r="F1864" s="3" t="s">
        <v>5781</v>
      </c>
      <c r="G1864" s="3" t="s">
        <v>5781</v>
      </c>
      <c r="H1864" s="3" t="s">
        <v>5860</v>
      </c>
      <c r="I1864" s="3" t="str">
        <f>HYPERLINK("http://www.jccm.es/sede/tramite/LN2","SPANISH EXTRAVAGANZA CIUDAD DE MEXICO.")</f>
        <v>SPANISH EXTRAVAGANZA CIUDAD DE MEXICO.</v>
      </c>
      <c r="J1864" s="3" t="s">
        <v>41</v>
      </c>
      <c r="K1864" s="3" t="s">
        <v>41</v>
      </c>
      <c r="L1864" s="3" t="s">
        <v>42</v>
      </c>
      <c r="M1864" s="3" t="s">
        <v>41</v>
      </c>
    </row>
    <row r="1865" spans="1:13" ht="92.1">
      <c r="A1865" s="22" t="s">
        <v>19</v>
      </c>
      <c r="B1865" s="3" t="s">
        <v>5861</v>
      </c>
      <c r="C1865" s="3" t="s">
        <v>5862</v>
      </c>
      <c r="D1865" s="3" t="s">
        <v>70</v>
      </c>
      <c r="E1865" s="3" t="s">
        <v>46</v>
      </c>
      <c r="F1865" s="3" t="s">
        <v>5781</v>
      </c>
      <c r="G1865" s="3" t="s">
        <v>5781</v>
      </c>
      <c r="H1865" s="3" t="s">
        <v>5863</v>
      </c>
      <c r="I1865" s="3" t="str">
        <f>HYPERLINK("http://www.jccm.es/sede/tramite/LNL","MISION COMERCIAL DIRECTA A ESTADOS UNIDOS")</f>
        <v>MISION COMERCIAL DIRECTA A ESTADOS UNIDOS</v>
      </c>
      <c r="J1865" s="3" t="s">
        <v>41</v>
      </c>
      <c r="K1865" s="3" t="s">
        <v>41</v>
      </c>
      <c r="L1865" s="3" t="s">
        <v>42</v>
      </c>
      <c r="M1865" s="3" t="s">
        <v>41</v>
      </c>
    </row>
    <row r="1866" spans="1:13" ht="92.1">
      <c r="A1866" s="22" t="s">
        <v>19</v>
      </c>
      <c r="B1866" s="3" t="s">
        <v>5864</v>
      </c>
      <c r="C1866" s="3" t="s">
        <v>5865</v>
      </c>
      <c r="D1866" s="3" t="s">
        <v>70</v>
      </c>
      <c r="E1866" s="3" t="s">
        <v>46</v>
      </c>
      <c r="F1866" s="3" t="s">
        <v>5781</v>
      </c>
      <c r="G1866" s="3" t="s">
        <v>5781</v>
      </c>
      <c r="H1866" s="3" t="s">
        <v>5866</v>
      </c>
      <c r="I1866" s="3" t="str">
        <f>HYPERLINK("http://www.jccm.es/sede/tramite/LNP","V2B WINE MEETING EN TAIWAN.")</f>
        <v>V2B WINE MEETING EN TAIWAN.</v>
      </c>
      <c r="J1866" s="3" t="s">
        <v>41</v>
      </c>
      <c r="K1866" s="3" t="s">
        <v>41</v>
      </c>
      <c r="L1866" s="3" t="s">
        <v>42</v>
      </c>
      <c r="M1866" s="3" t="s">
        <v>41</v>
      </c>
    </row>
    <row r="1867" spans="1:13" ht="92.1">
      <c r="A1867" s="22" t="s">
        <v>19</v>
      </c>
      <c r="B1867" s="3" t="s">
        <v>5867</v>
      </c>
      <c r="C1867" s="3" t="s">
        <v>5868</v>
      </c>
      <c r="D1867" s="3" t="s">
        <v>70</v>
      </c>
      <c r="E1867" s="3" t="s">
        <v>46</v>
      </c>
      <c r="F1867" s="3" t="s">
        <v>5781</v>
      </c>
      <c r="G1867" s="3" t="s">
        <v>5781</v>
      </c>
      <c r="H1867" s="3" t="s">
        <v>5869</v>
      </c>
      <c r="I1867" s="3" t="str">
        <f>HYPERLINK("http://www.jccm.es/sede/tramite/LNW","MISION COMERCIAL DIRECTA A SENEGAL Y COSTA DE MARFIL")</f>
        <v>MISION COMERCIAL DIRECTA A SENEGAL Y COSTA DE MARFIL</v>
      </c>
      <c r="J1867" s="3" t="s">
        <v>41</v>
      </c>
      <c r="K1867" s="3" t="s">
        <v>41</v>
      </c>
      <c r="L1867" s="3" t="s">
        <v>42</v>
      </c>
      <c r="M1867" s="3" t="s">
        <v>41</v>
      </c>
    </row>
    <row r="1868" spans="1:13" ht="92.1">
      <c r="A1868" s="22" t="s">
        <v>19</v>
      </c>
      <c r="B1868" s="3" t="s">
        <v>5870</v>
      </c>
      <c r="C1868" s="3" t="s">
        <v>5871</v>
      </c>
      <c r="D1868" s="3" t="s">
        <v>70</v>
      </c>
      <c r="E1868" s="3" t="s">
        <v>46</v>
      </c>
      <c r="F1868" s="3" t="s">
        <v>5781</v>
      </c>
      <c r="G1868" s="3" t="s">
        <v>5781</v>
      </c>
      <c r="H1868" s="3" t="s">
        <v>5872</v>
      </c>
      <c r="I1868" s="3" t="str">
        <f>HYPERLINK("http://www.jccm.es/sede/tramite/LNX","V2B WINE MEETING EN COREA 2021.")</f>
        <v>V2B WINE MEETING EN COREA 2021.</v>
      </c>
      <c r="J1868" s="3" t="s">
        <v>41</v>
      </c>
      <c r="K1868" s="3" t="s">
        <v>41</v>
      </c>
      <c r="L1868" s="3" t="s">
        <v>42</v>
      </c>
      <c r="M1868" s="3" t="s">
        <v>41</v>
      </c>
    </row>
    <row r="1869" spans="1:13" ht="92.1">
      <c r="A1869" s="22" t="s">
        <v>19</v>
      </c>
      <c r="B1869" s="3" t="s">
        <v>5873</v>
      </c>
      <c r="C1869" s="3" t="s">
        <v>5874</v>
      </c>
      <c r="D1869" s="3" t="s">
        <v>70</v>
      </c>
      <c r="E1869" s="3" t="s">
        <v>46</v>
      </c>
      <c r="F1869" s="3" t="s">
        <v>5781</v>
      </c>
      <c r="G1869" s="3" t="s">
        <v>5781</v>
      </c>
      <c r="H1869" s="3" t="s">
        <v>5875</v>
      </c>
      <c r="I1869" s="3" t="str">
        <f>HYPERLINK("http://www.jccm.es/sede/tramite/LO5","V2B WINE MEETING EN NINGBO")</f>
        <v>V2B WINE MEETING EN NINGBO</v>
      </c>
      <c r="J1869" s="3" t="s">
        <v>41</v>
      </c>
      <c r="K1869" s="3" t="s">
        <v>41</v>
      </c>
      <c r="L1869" s="3" t="s">
        <v>42</v>
      </c>
      <c r="M1869" s="3" t="s">
        <v>41</v>
      </c>
    </row>
    <row r="1870" spans="1:13" ht="92.1">
      <c r="A1870" s="22" t="s">
        <v>19</v>
      </c>
      <c r="B1870" s="3" t="s">
        <v>5876</v>
      </c>
      <c r="C1870" s="3" t="s">
        <v>5877</v>
      </c>
      <c r="D1870" s="3" t="s">
        <v>70</v>
      </c>
      <c r="E1870" s="3" t="s">
        <v>46</v>
      </c>
      <c r="F1870" s="3" t="s">
        <v>5781</v>
      </c>
      <c r="G1870" s="3" t="s">
        <v>5781</v>
      </c>
      <c r="H1870" s="3" t="s">
        <v>5878</v>
      </c>
      <c r="I1870" s="3" t="str">
        <f>HYPERLINK("http://www.jccm.es/sede/tramite/LO6","V2B WINE MEETING EN QUINGDAO.")</f>
        <v>V2B WINE MEETING EN QUINGDAO.</v>
      </c>
      <c r="J1870" s="3" t="s">
        <v>41</v>
      </c>
      <c r="K1870" s="3" t="s">
        <v>41</v>
      </c>
      <c r="L1870" s="3" t="s">
        <v>42</v>
      </c>
      <c r="M1870" s="3" t="s">
        <v>41</v>
      </c>
    </row>
    <row r="1871" spans="1:13" ht="92.1">
      <c r="A1871" s="22" t="s">
        <v>19</v>
      </c>
      <c r="B1871" s="3" t="s">
        <v>5879</v>
      </c>
      <c r="C1871" s="3" t="s">
        <v>5880</v>
      </c>
      <c r="D1871" s="3" t="s">
        <v>926</v>
      </c>
      <c r="E1871" s="3" t="s">
        <v>46</v>
      </c>
      <c r="F1871" s="3" t="s">
        <v>5781</v>
      </c>
      <c r="G1871" s="3" t="s">
        <v>5781</v>
      </c>
      <c r="H1871" s="3" t="s">
        <v>5881</v>
      </c>
      <c r="I1871" s="3" t="str">
        <f>HYPERLINK("http://www.jccm.es/sede/tramite/LOE","CONVOCATORIA DE AYUDAS DESTINADAS AL DESARROLLO DE PLANES INDIVIDUALES DE INTERNACIONALIZACION")</f>
        <v>CONVOCATORIA DE AYUDAS DESTINADAS AL DESARROLLO DE PLANES INDIVIDUALES DE INTERNACIONALIZACION</v>
      </c>
      <c r="J1871" s="3" t="s">
        <v>41</v>
      </c>
      <c r="K1871" s="3" t="s">
        <v>41</v>
      </c>
      <c r="L1871" s="3" t="s">
        <v>42</v>
      </c>
      <c r="M1871" s="3" t="s">
        <v>41</v>
      </c>
    </row>
    <row r="1872" spans="1:13" ht="92.1">
      <c r="A1872" s="22" t="s">
        <v>19</v>
      </c>
      <c r="B1872" s="3" t="s">
        <v>5882</v>
      </c>
      <c r="C1872" s="3" t="s">
        <v>5883</v>
      </c>
      <c r="D1872" s="3" t="s">
        <v>70</v>
      </c>
      <c r="E1872" s="3" t="s">
        <v>46</v>
      </c>
      <c r="F1872" s="3" t="s">
        <v>5781</v>
      </c>
      <c r="G1872" s="3" t="s">
        <v>5781</v>
      </c>
      <c r="H1872" s="3" t="s">
        <v>5884</v>
      </c>
      <c r="I1872" s="3" t="str">
        <f>HYPERLINK("http://www.jccm.es/sede/tramite/LP0","FERIA WORLD BULK WINE EXHIBITION.")</f>
        <v>FERIA WORLD BULK WINE EXHIBITION.</v>
      </c>
      <c r="J1872" s="3" t="s">
        <v>41</v>
      </c>
      <c r="K1872" s="3" t="s">
        <v>41</v>
      </c>
      <c r="L1872" s="3" t="s">
        <v>42</v>
      </c>
      <c r="M1872" s="3" t="s">
        <v>41</v>
      </c>
    </row>
    <row r="1873" spans="1:13" ht="92.1">
      <c r="A1873" s="22" t="s">
        <v>19</v>
      </c>
      <c r="B1873" s="3" t="s">
        <v>5885</v>
      </c>
      <c r="C1873" s="3" t="s">
        <v>5886</v>
      </c>
      <c r="D1873" s="3" t="s">
        <v>45</v>
      </c>
      <c r="E1873" s="3" t="s">
        <v>46</v>
      </c>
      <c r="F1873" s="3" t="s">
        <v>5781</v>
      </c>
      <c r="G1873" s="3" t="s">
        <v>5781</v>
      </c>
      <c r="H1873" s="3" t="s">
        <v>5887</v>
      </c>
      <c r="I1873" s="3" t="str">
        <f>HYPERLINK("http://www.jccm.es/sede/tramite/LP1","FOOD AND HOTEL PROWINE CHINA.")</f>
        <v>FOOD AND HOTEL PROWINE CHINA.</v>
      </c>
      <c r="J1873" s="3" t="s">
        <v>41</v>
      </c>
      <c r="K1873" s="3" t="s">
        <v>41</v>
      </c>
      <c r="L1873" s="3" t="s">
        <v>42</v>
      </c>
      <c r="M1873" s="3" t="s">
        <v>41</v>
      </c>
    </row>
    <row r="1874" spans="1:13" ht="92.1">
      <c r="A1874" s="22" t="s">
        <v>19</v>
      </c>
      <c r="B1874" s="3" t="s">
        <v>5888</v>
      </c>
      <c r="C1874" s="3" t="s">
        <v>5889</v>
      </c>
      <c r="D1874" s="3" t="s">
        <v>70</v>
      </c>
      <c r="E1874" s="3" t="s">
        <v>46</v>
      </c>
      <c r="F1874" s="3" t="s">
        <v>5781</v>
      </c>
      <c r="G1874" s="3" t="s">
        <v>5781</v>
      </c>
      <c r="H1874" s="3" t="s">
        <v>5890</v>
      </c>
      <c r="I1874" s="3" t="str">
        <f>HYPERLINK("http://www.jccm.es/sede/tramite/LP2","FERIA BATIMATEC ARGELIA.")</f>
        <v>FERIA BATIMATEC ARGELIA.</v>
      </c>
      <c r="J1874" s="3" t="s">
        <v>41</v>
      </c>
      <c r="K1874" s="3" t="s">
        <v>41</v>
      </c>
      <c r="L1874" s="3" t="s">
        <v>42</v>
      </c>
      <c r="M1874" s="3" t="s">
        <v>41</v>
      </c>
    </row>
    <row r="1875" spans="1:13" ht="92.1">
      <c r="A1875" s="22" t="s">
        <v>19</v>
      </c>
      <c r="B1875" s="3" t="s">
        <v>5891</v>
      </c>
      <c r="C1875" s="3" t="s">
        <v>5892</v>
      </c>
      <c r="D1875" s="3" t="s">
        <v>70</v>
      </c>
      <c r="E1875" s="3" t="s">
        <v>46</v>
      </c>
      <c r="F1875" s="3" t="s">
        <v>5781</v>
      </c>
      <c r="G1875" s="3" t="s">
        <v>5781</v>
      </c>
      <c r="H1875" s="3" t="s">
        <v>5893</v>
      </c>
      <c r="I1875" s="3" t="str">
        <f>HYPERLINK("http://www.jccm.es/sede/tramite/LP3","VISITA A LA FERIA WORLD TRAVEL MARKET LONDRES")</f>
        <v>VISITA A LA FERIA WORLD TRAVEL MARKET LONDRES</v>
      </c>
      <c r="J1875" s="3" t="s">
        <v>41</v>
      </c>
      <c r="K1875" s="3" t="s">
        <v>41</v>
      </c>
      <c r="L1875" s="3" t="s">
        <v>42</v>
      </c>
      <c r="M1875" s="3" t="s">
        <v>41</v>
      </c>
    </row>
    <row r="1876" spans="1:13" ht="92.1">
      <c r="A1876" s="22" t="s">
        <v>19</v>
      </c>
      <c r="B1876" s="3" t="s">
        <v>5894</v>
      </c>
      <c r="C1876" s="3" t="s">
        <v>5895</v>
      </c>
      <c r="D1876" s="3" t="s">
        <v>70</v>
      </c>
      <c r="E1876" s="3" t="s">
        <v>46</v>
      </c>
      <c r="F1876" s="3" t="s">
        <v>5781</v>
      </c>
      <c r="G1876" s="3" t="s">
        <v>5781</v>
      </c>
      <c r="H1876" s="3" t="s">
        <v>5896</v>
      </c>
      <c r="I1876" s="3" t="str">
        <f>HYPERLINK("http://www.jccm.es/sede/tramite/LP8","FERIA BIOFACH")</f>
        <v>FERIA BIOFACH</v>
      </c>
      <c r="J1876" s="3" t="s">
        <v>41</v>
      </c>
      <c r="K1876" s="3" t="s">
        <v>41</v>
      </c>
      <c r="L1876" s="3" t="s">
        <v>42</v>
      </c>
      <c r="M1876" s="3" t="s">
        <v>41</v>
      </c>
    </row>
    <row r="1877" spans="1:13" ht="92.1">
      <c r="A1877" s="22" t="s">
        <v>19</v>
      </c>
      <c r="B1877" s="3" t="s">
        <v>5897</v>
      </c>
      <c r="C1877" s="3" t="s">
        <v>5898</v>
      </c>
      <c r="D1877" s="3" t="s">
        <v>70</v>
      </c>
      <c r="E1877" s="3" t="s">
        <v>46</v>
      </c>
      <c r="F1877" s="3" t="s">
        <v>5781</v>
      </c>
      <c r="G1877" s="3" t="s">
        <v>5781</v>
      </c>
      <c r="H1877" s="3" t="s">
        <v>5899</v>
      </c>
      <c r="I1877" s="3" t="str">
        <f>HYPERLINK("http://www.jccm.es/sede/tramite/LP9","FERIA FRUIT LOGISTICA.")</f>
        <v>FERIA FRUIT LOGISTICA.</v>
      </c>
      <c r="J1877" s="3" t="s">
        <v>41</v>
      </c>
      <c r="K1877" s="3" t="s">
        <v>41</v>
      </c>
      <c r="L1877" s="3" t="s">
        <v>42</v>
      </c>
      <c r="M1877" s="3" t="s">
        <v>41</v>
      </c>
    </row>
    <row r="1878" spans="1:13" ht="92.1">
      <c r="A1878" s="22" t="s">
        <v>19</v>
      </c>
      <c r="B1878" s="3" t="s">
        <v>5900</v>
      </c>
      <c r="C1878" s="3" t="s">
        <v>5901</v>
      </c>
      <c r="D1878" s="3" t="s">
        <v>70</v>
      </c>
      <c r="E1878" s="3" t="s">
        <v>46</v>
      </c>
      <c r="F1878" s="3" t="s">
        <v>5781</v>
      </c>
      <c r="G1878" s="3" t="s">
        <v>5781</v>
      </c>
      <c r="H1878" s="3" t="s">
        <v>5902</v>
      </c>
      <c r="I1878" s="3" t="str">
        <f>HYPERLINK("http://www.jccm.es/sede/tramite/LPA","FERIA VINEXPO NUEVA YORK")</f>
        <v>FERIA VINEXPO NUEVA YORK</v>
      </c>
      <c r="J1878" s="3" t="s">
        <v>41</v>
      </c>
      <c r="K1878" s="3" t="s">
        <v>41</v>
      </c>
      <c r="L1878" s="3" t="s">
        <v>42</v>
      </c>
      <c r="M1878" s="3" t="s">
        <v>41</v>
      </c>
    </row>
    <row r="1879" spans="1:13" ht="92.1">
      <c r="A1879" s="22" t="s">
        <v>19</v>
      </c>
      <c r="B1879" s="3" t="s">
        <v>5903</v>
      </c>
      <c r="C1879" s="3" t="s">
        <v>5904</v>
      </c>
      <c r="D1879" s="3" t="s">
        <v>70</v>
      </c>
      <c r="E1879" s="3" t="s">
        <v>46</v>
      </c>
      <c r="F1879" s="3" t="s">
        <v>5781</v>
      </c>
      <c r="G1879" s="3" t="s">
        <v>5781</v>
      </c>
      <c r="H1879" s="3" t="s">
        <v>5905</v>
      </c>
      <c r="I1879" s="3" t="str">
        <f>HYPERLINK("http://www.jccm.es/sede/tramite/LPB","FERIA PROWEIN.")</f>
        <v>FERIA PROWEIN.</v>
      </c>
      <c r="J1879" s="3" t="s">
        <v>41</v>
      </c>
      <c r="K1879" s="3" t="s">
        <v>41</v>
      </c>
      <c r="L1879" s="3" t="s">
        <v>42</v>
      </c>
      <c r="M1879" s="3" t="s">
        <v>41</v>
      </c>
    </row>
    <row r="1880" spans="1:13" ht="92.1">
      <c r="A1880" s="22" t="s">
        <v>19</v>
      </c>
      <c r="B1880" s="3" t="s">
        <v>5906</v>
      </c>
      <c r="C1880" s="3" t="s">
        <v>5907</v>
      </c>
      <c r="D1880" s="3" t="s">
        <v>70</v>
      </c>
      <c r="E1880" s="3" t="s">
        <v>46</v>
      </c>
      <c r="F1880" s="3" t="s">
        <v>5781</v>
      </c>
      <c r="G1880" s="3" t="s">
        <v>5781</v>
      </c>
      <c r="H1880" s="3" t="s">
        <v>5908</v>
      </c>
      <c r="I1880" s="3" t="str">
        <f>HYPERLINK("http://www.jccm.es/sede/tramite/LPC","FERIA MILLESIME BIO")</f>
        <v>FERIA MILLESIME BIO</v>
      </c>
      <c r="J1880" s="3" t="s">
        <v>41</v>
      </c>
      <c r="K1880" s="3" t="s">
        <v>41</v>
      </c>
      <c r="L1880" s="3" t="s">
        <v>42</v>
      </c>
      <c r="M1880" s="3" t="s">
        <v>41</v>
      </c>
    </row>
    <row r="1881" spans="1:13" ht="92.1">
      <c r="A1881" s="22" t="s">
        <v>19</v>
      </c>
      <c r="B1881" s="3" t="s">
        <v>5909</v>
      </c>
      <c r="C1881" s="3" t="s">
        <v>5910</v>
      </c>
      <c r="D1881" s="3" t="s">
        <v>45</v>
      </c>
      <c r="E1881" s="3" t="s">
        <v>46</v>
      </c>
      <c r="F1881" s="3" t="s">
        <v>5781</v>
      </c>
      <c r="G1881" s="3" t="s">
        <v>5781</v>
      </c>
      <c r="H1881" s="3" t="s">
        <v>5911</v>
      </c>
      <c r="I1881" s="3" t="str">
        <f>HYPERLINK("http://www.jccm.es/sede/tramite/LQG","FERIA ISM")</f>
        <v>FERIA ISM</v>
      </c>
      <c r="J1881" s="3" t="s">
        <v>41</v>
      </c>
      <c r="K1881" s="3" t="s">
        <v>41</v>
      </c>
      <c r="L1881" s="3" t="s">
        <v>42</v>
      </c>
      <c r="M1881" s="3" t="s">
        <v>41</v>
      </c>
    </row>
    <row r="1882" spans="1:13" ht="92.1">
      <c r="A1882" s="22" t="s">
        <v>19</v>
      </c>
      <c r="B1882" s="3" t="s">
        <v>5912</v>
      </c>
      <c r="C1882" s="3" t="s">
        <v>5913</v>
      </c>
      <c r="D1882" s="3" t="s">
        <v>70</v>
      </c>
      <c r="E1882" s="3" t="s">
        <v>46</v>
      </c>
      <c r="F1882" s="3" t="s">
        <v>5781</v>
      </c>
      <c r="G1882" s="3" t="s">
        <v>5781</v>
      </c>
      <c r="H1882" s="3" t="s">
        <v>5914</v>
      </c>
      <c r="I1882" s="3" t="str">
        <f>HYPERLINK("http://www.jccm.es/sede/tramite/LQH","SALON DU FROMAGE ET DES PRODUITS LAITIERS")</f>
        <v>SALON DU FROMAGE ET DES PRODUITS LAITIERS</v>
      </c>
      <c r="J1882" s="3" t="s">
        <v>41</v>
      </c>
      <c r="K1882" s="3" t="s">
        <v>41</v>
      </c>
      <c r="L1882" s="3" t="s">
        <v>42</v>
      </c>
      <c r="M1882" s="3" t="s">
        <v>41</v>
      </c>
    </row>
    <row r="1883" spans="1:13" ht="92.1">
      <c r="A1883" s="22" t="s">
        <v>19</v>
      </c>
      <c r="B1883" s="3" t="s">
        <v>5915</v>
      </c>
      <c r="C1883" s="3" t="s">
        <v>5916</v>
      </c>
      <c r="D1883" s="3" t="s">
        <v>70</v>
      </c>
      <c r="E1883" s="3" t="s">
        <v>46</v>
      </c>
      <c r="F1883" s="3" t="s">
        <v>5781</v>
      </c>
      <c r="G1883" s="3" t="s">
        <v>5781</v>
      </c>
      <c r="H1883" s="3" t="s">
        <v>5917</v>
      </c>
      <c r="I1883" s="3" t="str">
        <f>HYPERLINK("http://www.jccm.es/sede/tramite/LQI","MISION COMERCIAL DIRECTA A MEXICO")</f>
        <v>MISION COMERCIAL DIRECTA A MEXICO</v>
      </c>
      <c r="J1883" s="3" t="s">
        <v>41</v>
      </c>
      <c r="K1883" s="3" t="s">
        <v>41</v>
      </c>
      <c r="L1883" s="3" t="s">
        <v>42</v>
      </c>
      <c r="M1883" s="3" t="s">
        <v>41</v>
      </c>
    </row>
    <row r="1884" spans="1:13" ht="92.1">
      <c r="A1884" s="22" t="s">
        <v>19</v>
      </c>
      <c r="B1884" s="3" t="s">
        <v>5918</v>
      </c>
      <c r="C1884" s="3" t="s">
        <v>5919</v>
      </c>
      <c r="D1884" s="3" t="s">
        <v>70</v>
      </c>
      <c r="E1884" s="3" t="s">
        <v>46</v>
      </c>
      <c r="F1884" s="3" t="s">
        <v>5781</v>
      </c>
      <c r="G1884" s="3" t="s">
        <v>5781</v>
      </c>
      <c r="H1884" s="3" t="s">
        <v>5920</v>
      </c>
      <c r="I1884" s="3" t="str">
        <f>HYPERLINK("http://www.jccm.es/sede/tramite/LQP","FERIA TAVOLA 2022.")</f>
        <v>FERIA TAVOLA 2022.</v>
      </c>
      <c r="J1884" s="3" t="s">
        <v>41</v>
      </c>
      <c r="K1884" s="3" t="s">
        <v>41</v>
      </c>
      <c r="L1884" s="3" t="s">
        <v>42</v>
      </c>
      <c r="M1884" s="3" t="s">
        <v>41</v>
      </c>
    </row>
    <row r="1885" spans="1:13" ht="92.1">
      <c r="A1885" s="22" t="s">
        <v>19</v>
      </c>
      <c r="B1885" s="3" t="s">
        <v>5921</v>
      </c>
      <c r="C1885" s="3" t="s">
        <v>5922</v>
      </c>
      <c r="D1885" s="3" t="s">
        <v>70</v>
      </c>
      <c r="E1885" s="3" t="s">
        <v>46</v>
      </c>
      <c r="F1885" s="3" t="s">
        <v>5781</v>
      </c>
      <c r="G1885" s="3" t="s">
        <v>5781</v>
      </c>
      <c r="H1885" s="3" t="s">
        <v>5923</v>
      </c>
      <c r="I1885" s="3" t="str">
        <f>HYPERLINK("http://www.jccm.es/sede/tramite/LR7","FERIA SHANGRI LA CHENGDU")</f>
        <v>FERIA SHANGRI LA CHENGDU</v>
      </c>
      <c r="J1885" s="3" t="s">
        <v>41</v>
      </c>
      <c r="K1885" s="3" t="s">
        <v>41</v>
      </c>
      <c r="L1885" s="3" t="s">
        <v>42</v>
      </c>
      <c r="M1885" s="3" t="s">
        <v>41</v>
      </c>
    </row>
    <row r="1886" spans="1:13" ht="92.1">
      <c r="A1886" s="22" t="s">
        <v>19</v>
      </c>
      <c r="B1886" s="3" t="s">
        <v>5924</v>
      </c>
      <c r="C1886" s="3" t="s">
        <v>5925</v>
      </c>
      <c r="D1886" s="3" t="s">
        <v>45</v>
      </c>
      <c r="E1886" s="3" t="s">
        <v>46</v>
      </c>
      <c r="F1886" s="3" t="s">
        <v>5781</v>
      </c>
      <c r="G1886" s="3" t="s">
        <v>5781</v>
      </c>
      <c r="H1886" s="3" t="s">
        <v>5926</v>
      </c>
      <c r="I1886" s="3" t="str">
        <f>HYPERLINK("http://www.jccm.es/sede/tramite/LRD","B2B MEETINGS BRASIL 2022")</f>
        <v>B2B MEETINGS BRASIL 2022</v>
      </c>
      <c r="J1886" s="3" t="s">
        <v>41</v>
      </c>
      <c r="K1886" s="3" t="s">
        <v>41</v>
      </c>
      <c r="L1886" s="3" t="s">
        <v>42</v>
      </c>
      <c r="M1886" s="3" t="s">
        <v>41</v>
      </c>
    </row>
    <row r="1887" spans="1:13" ht="92.1">
      <c r="A1887" s="22" t="s">
        <v>19</v>
      </c>
      <c r="B1887" s="3" t="s">
        <v>5927</v>
      </c>
      <c r="C1887" s="3" t="s">
        <v>5928</v>
      </c>
      <c r="D1887" s="3" t="s">
        <v>70</v>
      </c>
      <c r="E1887" s="3" t="s">
        <v>46</v>
      </c>
      <c r="F1887" s="3" t="s">
        <v>5781</v>
      </c>
      <c r="G1887" s="3" t="s">
        <v>5781</v>
      </c>
      <c r="H1887" s="3" t="s">
        <v>5929</v>
      </c>
      <c r="I1887" s="3" t="str">
        <f>HYPERLINK("http://www.jccm.es/sede/tramite/LRR","MISION COMERCIAL DIRECTA A SUDAFRICA Y MOZAMBIQUE")</f>
        <v>MISION COMERCIAL DIRECTA A SUDAFRICA Y MOZAMBIQUE</v>
      </c>
      <c r="J1887" s="3" t="s">
        <v>41</v>
      </c>
      <c r="K1887" s="3" t="s">
        <v>41</v>
      </c>
      <c r="L1887" s="3" t="s">
        <v>42</v>
      </c>
      <c r="M1887" s="3" t="s">
        <v>41</v>
      </c>
    </row>
    <row r="1888" spans="1:13" ht="92.1">
      <c r="A1888" s="22" t="s">
        <v>19</v>
      </c>
      <c r="B1888" s="3" t="s">
        <v>5930</v>
      </c>
      <c r="C1888" s="3" t="s">
        <v>5931</v>
      </c>
      <c r="D1888" s="3" t="s">
        <v>70</v>
      </c>
      <c r="E1888" s="3" t="s">
        <v>46</v>
      </c>
      <c r="F1888" s="3" t="s">
        <v>5781</v>
      </c>
      <c r="G1888" s="3" t="s">
        <v>5781</v>
      </c>
      <c r="H1888" s="3" t="s">
        <v>5932</v>
      </c>
      <c r="I1888" s="3" t="str">
        <f>HYPERLINK("http://www.jccm.es/sede/tramite/LRS","PREPARA TU EMPRESA PARA VENDER EN EEUU 2022")</f>
        <v>PREPARA TU EMPRESA PARA VENDER EN EEUU 2022</v>
      </c>
      <c r="J1888" s="3" t="s">
        <v>41</v>
      </c>
      <c r="K1888" s="3" t="s">
        <v>41</v>
      </c>
      <c r="L1888" s="3" t="s">
        <v>42</v>
      </c>
      <c r="M1888" s="3" t="s">
        <v>41</v>
      </c>
    </row>
    <row r="1889" spans="1:13" ht="92.1">
      <c r="A1889" s="22" t="s">
        <v>19</v>
      </c>
      <c r="B1889" s="3" t="s">
        <v>5933</v>
      </c>
      <c r="C1889" s="3" t="s">
        <v>5934</v>
      </c>
      <c r="D1889" s="3" t="s">
        <v>45</v>
      </c>
      <c r="E1889" s="3" t="s">
        <v>46</v>
      </c>
      <c r="F1889" s="3" t="s">
        <v>5781</v>
      </c>
      <c r="G1889" s="3" t="s">
        <v>5781</v>
      </c>
      <c r="H1889" s="3" t="s">
        <v>5935</v>
      </c>
      <c r="I1889" s="3" t="str">
        <f>HYPERLINK("http://www.jccm.es/sede/tramite/LRT","MISION COMERCIAL DIRECTA A COLOMBIA")</f>
        <v>MISION COMERCIAL DIRECTA A COLOMBIA</v>
      </c>
      <c r="J1889" s="3" t="s">
        <v>41</v>
      </c>
      <c r="K1889" s="3" t="s">
        <v>41</v>
      </c>
      <c r="L1889" s="3" t="s">
        <v>42</v>
      </c>
      <c r="M1889" s="3" t="s">
        <v>41</v>
      </c>
    </row>
    <row r="1890" spans="1:13" ht="92.1">
      <c r="A1890" s="22" t="s">
        <v>19</v>
      </c>
      <c r="B1890" s="3" t="s">
        <v>5936</v>
      </c>
      <c r="C1890" s="3" t="s">
        <v>5937</v>
      </c>
      <c r="D1890" s="3" t="s">
        <v>45</v>
      </c>
      <c r="E1890" s="3" t="s">
        <v>46</v>
      </c>
      <c r="F1890" s="3" t="s">
        <v>5781</v>
      </c>
      <c r="G1890" s="3" t="s">
        <v>5781</v>
      </c>
      <c r="H1890" s="3" t="s">
        <v>5938</v>
      </c>
      <c r="I1890" s="3" t="str">
        <f>HYPERLINK("http://www.jccm.es/sede/tramite/LRU","FERIA GULFOOD")</f>
        <v>FERIA GULFOOD</v>
      </c>
      <c r="J1890" s="3" t="s">
        <v>41</v>
      </c>
      <c r="K1890" s="3" t="s">
        <v>41</v>
      </c>
      <c r="L1890" s="3" t="s">
        <v>42</v>
      </c>
      <c r="M1890" s="3" t="s">
        <v>41</v>
      </c>
    </row>
    <row r="1891" spans="1:13" ht="92.1">
      <c r="A1891" s="22" t="s">
        <v>19</v>
      </c>
      <c r="B1891" s="3" t="s">
        <v>5939</v>
      </c>
      <c r="C1891" s="3" t="s">
        <v>5940</v>
      </c>
      <c r="D1891" s="3" t="s">
        <v>45</v>
      </c>
      <c r="E1891" s="3" t="s">
        <v>46</v>
      </c>
      <c r="F1891" s="3" t="s">
        <v>5781</v>
      </c>
      <c r="G1891" s="3" t="s">
        <v>5781</v>
      </c>
      <c r="H1891" s="3" t="s">
        <v>5941</v>
      </c>
      <c r="I1891" s="3" t="str">
        <f>HYPERLINK("http://www.jccm.es/sede/tramite/LRW","FERIA IWA NUREMBERG")</f>
        <v>FERIA IWA NUREMBERG</v>
      </c>
      <c r="J1891" s="3" t="s">
        <v>41</v>
      </c>
      <c r="K1891" s="3" t="s">
        <v>41</v>
      </c>
      <c r="L1891" s="3" t="s">
        <v>42</v>
      </c>
      <c r="M1891" s="3" t="s">
        <v>41</v>
      </c>
    </row>
    <row r="1892" spans="1:13" ht="126.6">
      <c r="A1892" s="22" t="s">
        <v>19</v>
      </c>
      <c r="B1892" s="3" t="s">
        <v>5942</v>
      </c>
      <c r="C1892" s="3" t="s">
        <v>5943</v>
      </c>
      <c r="D1892" s="3" t="s">
        <v>5944</v>
      </c>
      <c r="E1892" s="3" t="s">
        <v>46</v>
      </c>
      <c r="F1892" s="3" t="s">
        <v>5781</v>
      </c>
      <c r="G1892" s="3" t="s">
        <v>5781</v>
      </c>
      <c r="H1892" s="3" t="s">
        <v>5945</v>
      </c>
      <c r="I1892" s="3" t="str">
        <f>HYPERLINK("http://www.jccm.es/sede/tramite/LRX","MISION COMERCIAL DIRECTA A RUSIA")</f>
        <v>MISION COMERCIAL DIRECTA A RUSIA</v>
      </c>
      <c r="J1892" s="3" t="s">
        <v>41</v>
      </c>
      <c r="K1892" s="3" t="s">
        <v>41</v>
      </c>
      <c r="L1892" s="3" t="s">
        <v>42</v>
      </c>
      <c r="M1892" s="3" t="s">
        <v>41</v>
      </c>
    </row>
    <row r="1893" spans="1:13" ht="92.1">
      <c r="A1893" s="22" t="s">
        <v>19</v>
      </c>
      <c r="B1893" s="3" t="s">
        <v>5946</v>
      </c>
      <c r="C1893" s="3" t="s">
        <v>5947</v>
      </c>
      <c r="D1893" s="3" t="s">
        <v>45</v>
      </c>
      <c r="E1893" s="3" t="s">
        <v>46</v>
      </c>
      <c r="F1893" s="3" t="s">
        <v>5781</v>
      </c>
      <c r="G1893" s="3" t="s">
        <v>5781</v>
      </c>
      <c r="H1893" s="3" t="s">
        <v>5948</v>
      </c>
      <c r="I1893" s="3" t="str">
        <f>HYPERLINK("http://www.jccm.es/sede/tramite/LSE","FERIA IBERICA EXPO LONDON 2022")</f>
        <v>FERIA IBERICA EXPO LONDON 2022</v>
      </c>
      <c r="J1893" s="3" t="s">
        <v>41</v>
      </c>
      <c r="K1893" s="3" t="s">
        <v>41</v>
      </c>
      <c r="L1893" s="3" t="s">
        <v>42</v>
      </c>
      <c r="M1893" s="3" t="s">
        <v>41</v>
      </c>
    </row>
    <row r="1894" spans="1:13" ht="126.6">
      <c r="A1894" s="22" t="s">
        <v>19</v>
      </c>
      <c r="B1894" s="3" t="s">
        <v>5949</v>
      </c>
      <c r="C1894" s="3" t="s">
        <v>5950</v>
      </c>
      <c r="D1894" s="3" t="s">
        <v>5944</v>
      </c>
      <c r="E1894" s="3" t="s">
        <v>46</v>
      </c>
      <c r="F1894" s="3" t="s">
        <v>5781</v>
      </c>
      <c r="G1894" s="3" t="s">
        <v>5781</v>
      </c>
      <c r="H1894" s="3" t="s">
        <v>5951</v>
      </c>
      <c r="I1894" s="3" t="str">
        <f>HYPERLINK("http://www.jccm.es/sede/tramite/LSD","ENCUENTRO EMPRESARIAL DE HABITAT B2B EN FRANCIA")</f>
        <v>ENCUENTRO EMPRESARIAL DE HABITAT B2B EN FRANCIA</v>
      </c>
      <c r="J1894" s="3" t="s">
        <v>41</v>
      </c>
      <c r="K1894" s="3" t="s">
        <v>41</v>
      </c>
      <c r="L1894" s="3" t="s">
        <v>42</v>
      </c>
      <c r="M1894" s="3" t="s">
        <v>41</v>
      </c>
    </row>
    <row r="1895" spans="1:13" ht="92.1">
      <c r="A1895" s="22" t="s">
        <v>19</v>
      </c>
      <c r="B1895" s="3" t="s">
        <v>5952</v>
      </c>
      <c r="C1895" s="3" t="s">
        <v>5953</v>
      </c>
      <c r="D1895" s="3" t="s">
        <v>45</v>
      </c>
      <c r="E1895" s="3" t="s">
        <v>46</v>
      </c>
      <c r="F1895" s="3" t="s">
        <v>5781</v>
      </c>
      <c r="G1895" s="3" t="s">
        <v>5781</v>
      </c>
      <c r="H1895" s="3" t="s">
        <v>5954</v>
      </c>
      <c r="I1895" s="3" t="str">
        <f>HYPERLINK("http://www.jccm.es/sede/tramite/LSH","SIAL PARIS 2022")</f>
        <v>SIAL PARIS 2022</v>
      </c>
      <c r="J1895" s="3" t="s">
        <v>41</v>
      </c>
      <c r="K1895" s="3" t="s">
        <v>41</v>
      </c>
      <c r="L1895" s="3" t="s">
        <v>42</v>
      </c>
      <c r="M1895" s="3" t="s">
        <v>41</v>
      </c>
    </row>
    <row r="1896" spans="1:13" ht="92.1">
      <c r="A1896" s="22" t="s">
        <v>19</v>
      </c>
      <c r="B1896" s="3" t="s">
        <v>5955</v>
      </c>
      <c r="C1896" s="3" t="s">
        <v>5956</v>
      </c>
      <c r="D1896" s="3" t="s">
        <v>45</v>
      </c>
      <c r="E1896" s="3" t="s">
        <v>46</v>
      </c>
      <c r="F1896" s="3" t="s">
        <v>5781</v>
      </c>
      <c r="G1896" s="3" t="s">
        <v>5781</v>
      </c>
      <c r="H1896" s="3" t="s">
        <v>5957</v>
      </c>
      <c r="I1896" s="3" t="str">
        <f>HYPERLINK("http://www.jccm.es/sede/tramite/LSI","PROMOCION EN PUNTO DE VENTA EN LA TIENDA ONLINE DE IBERICA FOOD 2022  (2ª CONVOCATORIA).")</f>
        <v>PROMOCION EN PUNTO DE VENTA EN LA TIENDA ONLINE DE IBERICA FOOD 2022  (2ª CONVOCATORIA).</v>
      </c>
      <c r="J1896" s="3" t="s">
        <v>41</v>
      </c>
      <c r="K1896" s="3" t="s">
        <v>41</v>
      </c>
      <c r="L1896" s="3" t="s">
        <v>42</v>
      </c>
      <c r="M1896" s="3" t="s">
        <v>41</v>
      </c>
    </row>
    <row r="1897" spans="1:13" ht="92.1">
      <c r="A1897" s="22" t="s">
        <v>19</v>
      </c>
      <c r="B1897" s="3" t="s">
        <v>5958</v>
      </c>
      <c r="C1897" s="3" t="s">
        <v>5959</v>
      </c>
      <c r="D1897" s="3" t="s">
        <v>45</v>
      </c>
      <c r="E1897" s="3" t="s">
        <v>46</v>
      </c>
      <c r="F1897" s="3" t="s">
        <v>5781</v>
      </c>
      <c r="G1897" s="3" t="s">
        <v>5781</v>
      </c>
      <c r="H1897" s="3" t="s">
        <v>5960</v>
      </c>
      <c r="I1897" s="3" t="str">
        <f>HYPERLINK("http://www.jccm.es/sede/tramite/LTC","MISION COMERCIAL DIRECTA DE VINO EN COSTA DE MARFIL (2ª CONVOCATORIA).")</f>
        <v>MISION COMERCIAL DIRECTA DE VINO EN COSTA DE MARFIL (2ª CONVOCATORIA).</v>
      </c>
      <c r="J1897" s="3" t="s">
        <v>41</v>
      </c>
      <c r="K1897" s="3" t="s">
        <v>41</v>
      </c>
      <c r="L1897" s="3" t="s">
        <v>42</v>
      </c>
      <c r="M1897" s="3" t="s">
        <v>41</v>
      </c>
    </row>
    <row r="1898" spans="1:13" ht="126.6">
      <c r="A1898" s="22" t="s">
        <v>19</v>
      </c>
      <c r="B1898" s="3" t="s">
        <v>5961</v>
      </c>
      <c r="C1898" s="3" t="s">
        <v>5962</v>
      </c>
      <c r="D1898" s="3" t="s">
        <v>5963</v>
      </c>
      <c r="E1898" s="3" t="s">
        <v>46</v>
      </c>
      <c r="F1898" s="3" t="s">
        <v>5781</v>
      </c>
      <c r="G1898" s="3" t="s">
        <v>5781</v>
      </c>
      <c r="H1898" s="3" t="s">
        <v>5964</v>
      </c>
      <c r="I1898" s="3" t="str">
        <f>HYPERLINK("http://www.jccm.es/sede/tramite/LTY","V2B WINE MEETING HANGZHOU")</f>
        <v>V2B WINE MEETING HANGZHOU</v>
      </c>
      <c r="J1898" s="3" t="s">
        <v>41</v>
      </c>
      <c r="K1898" s="3" t="s">
        <v>41</v>
      </c>
      <c r="L1898" s="3" t="s">
        <v>42</v>
      </c>
      <c r="M1898" s="3" t="s">
        <v>41</v>
      </c>
    </row>
    <row r="1899" spans="1:13" ht="138">
      <c r="A1899" s="22" t="s">
        <v>19</v>
      </c>
      <c r="B1899" s="3" t="s">
        <v>5965</v>
      </c>
      <c r="C1899" s="3" t="s">
        <v>5966</v>
      </c>
      <c r="D1899" s="3" t="s">
        <v>5967</v>
      </c>
      <c r="E1899" s="3" t="s">
        <v>46</v>
      </c>
      <c r="F1899" s="3" t="s">
        <v>5781</v>
      </c>
      <c r="G1899" s="3" t="s">
        <v>5781</v>
      </c>
      <c r="H1899" s="3" t="s">
        <v>5968</v>
      </c>
      <c r="I1899" s="3" t="str">
        <f>HYPERLINK("http://www.jccm.es/sede/tramite/LTZ","V2B WINE MEETING TIANJIN Y XIAMEN")</f>
        <v>V2B WINE MEETING TIANJIN Y XIAMEN</v>
      </c>
      <c r="J1899" s="3" t="s">
        <v>41</v>
      </c>
      <c r="K1899" s="3" t="s">
        <v>41</v>
      </c>
      <c r="L1899" s="3" t="s">
        <v>42</v>
      </c>
      <c r="M1899" s="3" t="s">
        <v>41</v>
      </c>
    </row>
    <row r="1900" spans="1:13" ht="92.1">
      <c r="A1900" s="22" t="s">
        <v>19</v>
      </c>
      <c r="B1900" s="3" t="s">
        <v>5969</v>
      </c>
      <c r="C1900" s="3" t="s">
        <v>5970</v>
      </c>
      <c r="D1900" s="3" t="s">
        <v>45</v>
      </c>
      <c r="E1900" s="3" t="s">
        <v>46</v>
      </c>
      <c r="F1900" s="3" t="s">
        <v>5781</v>
      </c>
      <c r="G1900" s="3" t="s">
        <v>5781</v>
      </c>
      <c r="H1900" s="3" t="s">
        <v>5971</v>
      </c>
      <c r="I1900" s="3" t="str">
        <f>HYPERLINK("http://www.jccm.es/sede/tramite/LU0","MISION COMERCIAL DIRECTA NUEVA DELHI")</f>
        <v>MISION COMERCIAL DIRECTA NUEVA DELHI</v>
      </c>
      <c r="J1900" s="3" t="s">
        <v>41</v>
      </c>
      <c r="K1900" s="3" t="s">
        <v>41</v>
      </c>
      <c r="L1900" s="3" t="s">
        <v>42</v>
      </c>
      <c r="M1900" s="3" t="s">
        <v>41</v>
      </c>
    </row>
    <row r="1901" spans="1:13" ht="92.1">
      <c r="A1901" s="22" t="s">
        <v>19</v>
      </c>
      <c r="B1901" s="3" t="s">
        <v>5972</v>
      </c>
      <c r="C1901" s="3" t="s">
        <v>5973</v>
      </c>
      <c r="D1901" s="3" t="s">
        <v>45</v>
      </c>
      <c r="E1901" s="3" t="s">
        <v>46</v>
      </c>
      <c r="F1901" s="3" t="s">
        <v>5781</v>
      </c>
      <c r="G1901" s="3" t="s">
        <v>5781</v>
      </c>
      <c r="H1901" s="3" t="s">
        <v>5974</v>
      </c>
      <c r="I1901" s="3" t="str">
        <f>HYPERLINK("http://www.jccm.es/sede/tramite/LU1","MISION COMERCIAL DIRECTA A EMIRATOS ARABES UNIDOS Y ARABIA SAUDI")</f>
        <v>MISION COMERCIAL DIRECTA A EMIRATOS ARABES UNIDOS Y ARABIA SAUDI</v>
      </c>
      <c r="J1901" s="3" t="s">
        <v>41</v>
      </c>
      <c r="K1901" s="3" t="s">
        <v>41</v>
      </c>
      <c r="L1901" s="3" t="s">
        <v>42</v>
      </c>
      <c r="M1901" s="3" t="s">
        <v>41</v>
      </c>
    </row>
    <row r="1902" spans="1:13" ht="126.6">
      <c r="A1902" s="22" t="s">
        <v>19</v>
      </c>
      <c r="B1902" s="3" t="s">
        <v>5975</v>
      </c>
      <c r="C1902" s="3" t="s">
        <v>5976</v>
      </c>
      <c r="D1902" s="3" t="s">
        <v>5944</v>
      </c>
      <c r="E1902" s="3" t="s">
        <v>46</v>
      </c>
      <c r="F1902" s="3" t="s">
        <v>5781</v>
      </c>
      <c r="G1902" s="3" t="s">
        <v>5781</v>
      </c>
      <c r="H1902" s="3" t="s">
        <v>5977</v>
      </c>
      <c r="I1902" s="3" t="str">
        <f>HYPERLINK("http://www.jccm.es/sede/tramite/LU3","VISITA FERIA SUMMER FANCY FOOD SHOW")</f>
        <v>VISITA FERIA SUMMER FANCY FOOD SHOW</v>
      </c>
      <c r="J1902" s="3" t="s">
        <v>41</v>
      </c>
      <c r="K1902" s="3" t="s">
        <v>41</v>
      </c>
      <c r="L1902" s="3" t="s">
        <v>42</v>
      </c>
      <c r="M1902" s="3" t="s">
        <v>41</v>
      </c>
    </row>
    <row r="1903" spans="1:13" ht="183.95">
      <c r="A1903" s="22" t="s">
        <v>19</v>
      </c>
      <c r="B1903" s="3" t="s">
        <v>5978</v>
      </c>
      <c r="C1903" s="3" t="s">
        <v>5979</v>
      </c>
      <c r="D1903" s="3" t="s">
        <v>5980</v>
      </c>
      <c r="E1903" s="3" t="s">
        <v>46</v>
      </c>
      <c r="F1903" s="3" t="s">
        <v>5781</v>
      </c>
      <c r="G1903" s="3" t="s">
        <v>5781</v>
      </c>
      <c r="H1903" s="3" t="s">
        <v>5981</v>
      </c>
      <c r="I1903" s="3" t="str">
        <f>HYPERLINK("http://www.jccm.es/sede/tramite/LU6","PROMOCION EN PUNTO DE VENTA EN LA TIENDA ONLINE DE RIVERA WINE AND GOURMET")</f>
        <v>PROMOCION EN PUNTO DE VENTA EN LA TIENDA ONLINE DE RIVERA WINE AND GOURMET</v>
      </c>
      <c r="J1903" s="3" t="s">
        <v>41</v>
      </c>
      <c r="K1903" s="3" t="s">
        <v>41</v>
      </c>
      <c r="L1903" s="3" t="s">
        <v>42</v>
      </c>
      <c r="M1903" s="3" t="s">
        <v>41</v>
      </c>
    </row>
    <row r="1904" spans="1:13" ht="183.95">
      <c r="A1904" s="22" t="s">
        <v>19</v>
      </c>
      <c r="B1904" s="3" t="s">
        <v>5982</v>
      </c>
      <c r="C1904" s="3" t="s">
        <v>5983</v>
      </c>
      <c r="D1904" s="3" t="s">
        <v>5980</v>
      </c>
      <c r="E1904" s="3" t="s">
        <v>46</v>
      </c>
      <c r="F1904" s="3" t="s">
        <v>5781</v>
      </c>
      <c r="G1904" s="3" t="s">
        <v>5781</v>
      </c>
      <c r="H1904" s="3" t="s">
        <v>5984</v>
      </c>
      <c r="I1904" s="3" t="str">
        <f>HYPERLINK("http://www.jccm.es/sede/tramite/LUG","MISION COMERCIAL DIRECTA A ECUADOR ( 2ª CONVOCATORIA)")</f>
        <v>MISION COMERCIAL DIRECTA A ECUADOR ( 2ª CONVOCATORIA)</v>
      </c>
      <c r="J1904" s="3" t="s">
        <v>41</v>
      </c>
      <c r="K1904" s="3" t="s">
        <v>41</v>
      </c>
      <c r="L1904" s="3" t="s">
        <v>42</v>
      </c>
      <c r="M1904" s="3" t="s">
        <v>41</v>
      </c>
    </row>
    <row r="1905" spans="1:13" ht="138">
      <c r="A1905" s="22" t="s">
        <v>19</v>
      </c>
      <c r="B1905" s="3" t="s">
        <v>5985</v>
      </c>
      <c r="C1905" s="3" t="s">
        <v>5986</v>
      </c>
      <c r="D1905" s="3" t="s">
        <v>5987</v>
      </c>
      <c r="E1905" s="3" t="s">
        <v>46</v>
      </c>
      <c r="F1905" s="3" t="s">
        <v>5781</v>
      </c>
      <c r="G1905" s="3" t="s">
        <v>5781</v>
      </c>
      <c r="H1905" s="3" t="s">
        <v>5988</v>
      </c>
      <c r="I1905" s="3" t="str">
        <f>HYPERLINK("http://www.jccm.es/sede/tramite/LUY","PROMOCION EN PUNTO DE VENTA EN MERCADOS ELECTRONICOS DE EEUU + PLATAFORMA LOGISTICA")</f>
        <v>PROMOCION EN PUNTO DE VENTA EN MERCADOS ELECTRONICOS DE EEUU + PLATAFORMA LOGISTICA</v>
      </c>
      <c r="J1905" s="3" t="s">
        <v>41</v>
      </c>
      <c r="K1905" s="3" t="s">
        <v>41</v>
      </c>
      <c r="L1905" s="3" t="s">
        <v>42</v>
      </c>
      <c r="M1905" s="3" t="s">
        <v>41</v>
      </c>
    </row>
    <row r="1906" spans="1:13" ht="92.1">
      <c r="A1906" s="22" t="s">
        <v>19</v>
      </c>
      <c r="B1906" s="3" t="s">
        <v>5989</v>
      </c>
      <c r="C1906" s="3" t="s">
        <v>5990</v>
      </c>
      <c r="D1906" s="3" t="s">
        <v>459</v>
      </c>
      <c r="E1906" s="3" t="s">
        <v>46</v>
      </c>
      <c r="F1906" s="3" t="s">
        <v>5781</v>
      </c>
      <c r="G1906" s="3" t="s">
        <v>5781</v>
      </c>
      <c r="H1906" s="3" t="s">
        <v>5991</v>
      </c>
      <c r="I1906" s="3" t="str">
        <f>HYPERLINK("http://www.jccm.es/sede/tramite/LV1","ACCEDE AL MERCADO ESTADOS UNIDOS")</f>
        <v>ACCEDE AL MERCADO ESTADOS UNIDOS</v>
      </c>
      <c r="J1906" s="3" t="s">
        <v>41</v>
      </c>
      <c r="K1906" s="3" t="s">
        <v>41</v>
      </c>
      <c r="L1906" s="3" t="s">
        <v>42</v>
      </c>
      <c r="M1906" s="3" t="s">
        <v>41</v>
      </c>
    </row>
    <row r="1907" spans="1:13" ht="92.1">
      <c r="A1907" s="22" t="s">
        <v>19</v>
      </c>
      <c r="B1907" s="3" t="s">
        <v>5992</v>
      </c>
      <c r="C1907" s="3" t="s">
        <v>5993</v>
      </c>
      <c r="D1907" s="3" t="s">
        <v>459</v>
      </c>
      <c r="E1907" s="3" t="s">
        <v>46</v>
      </c>
      <c r="F1907" s="3" t="s">
        <v>5781</v>
      </c>
      <c r="G1907" s="3" t="s">
        <v>5781</v>
      </c>
      <c r="H1907" s="3" t="s">
        <v>5994</v>
      </c>
      <c r="I1907" s="3" t="str">
        <f>HYPERLINK("http://www.jccm.es/sede/tramite/LV2","VISITA A LA FERIA DEL LIBRO DE FRANFURT")</f>
        <v>VISITA A LA FERIA DEL LIBRO DE FRANFURT</v>
      </c>
      <c r="J1907" s="3" t="s">
        <v>41</v>
      </c>
      <c r="K1907" s="3" t="s">
        <v>41</v>
      </c>
      <c r="L1907" s="3" t="s">
        <v>42</v>
      </c>
      <c r="M1907" s="3" t="s">
        <v>41</v>
      </c>
    </row>
    <row r="1908" spans="1:13" ht="92.1">
      <c r="A1908" s="22" t="s">
        <v>19</v>
      </c>
      <c r="B1908" s="3" t="s">
        <v>5995</v>
      </c>
      <c r="C1908" s="3" t="s">
        <v>5996</v>
      </c>
      <c r="D1908" s="3" t="s">
        <v>459</v>
      </c>
      <c r="E1908" s="3" t="s">
        <v>46</v>
      </c>
      <c r="F1908" s="3" t="s">
        <v>5781</v>
      </c>
      <c r="G1908" s="3" t="s">
        <v>5781</v>
      </c>
      <c r="H1908" s="3" t="s">
        <v>5997</v>
      </c>
      <c r="I1908" s="3" t="str">
        <f>HYPERLINK("http://www.jccm.es/sede/tramite/LV3","MISION COMERCIAL DIRECTA A REPUBLICA DOMINICANA Y PUERTO RICO SEGUNDA CONVOCATORIA")</f>
        <v>MISION COMERCIAL DIRECTA A REPUBLICA DOMINICANA Y PUERTO RICO SEGUNDA CONVOCATORIA</v>
      </c>
      <c r="J1908" s="3" t="s">
        <v>41</v>
      </c>
      <c r="K1908" s="3" t="s">
        <v>41</v>
      </c>
      <c r="L1908" s="3" t="s">
        <v>42</v>
      </c>
      <c r="M1908" s="3" t="s">
        <v>41</v>
      </c>
    </row>
    <row r="1909" spans="1:13" ht="92.1">
      <c r="A1909" s="22" t="s">
        <v>19</v>
      </c>
      <c r="B1909" s="3" t="s">
        <v>5998</v>
      </c>
      <c r="C1909" s="3" t="s">
        <v>5999</v>
      </c>
      <c r="D1909" s="3" t="s">
        <v>45</v>
      </c>
      <c r="E1909" s="3" t="s">
        <v>46</v>
      </c>
      <c r="F1909" s="3" t="s">
        <v>5781</v>
      </c>
      <c r="G1909" s="3" t="s">
        <v>5781</v>
      </c>
      <c r="H1909" s="3" t="s">
        <v>6000</v>
      </c>
      <c r="I1909" s="3" t="str">
        <f>HYPERLINK("http://www.jccm.es/sede/tramite/LVA","FERIA ISM MIDDLE EAST")</f>
        <v>FERIA ISM MIDDLE EAST</v>
      </c>
      <c r="J1909" s="3" t="s">
        <v>41</v>
      </c>
      <c r="K1909" s="3" t="s">
        <v>41</v>
      </c>
      <c r="L1909" s="3" t="s">
        <v>42</v>
      </c>
      <c r="M1909" s="3" t="s">
        <v>41</v>
      </c>
    </row>
    <row r="1910" spans="1:13" ht="183.95">
      <c r="A1910" s="22" t="s">
        <v>19</v>
      </c>
      <c r="B1910" s="3" t="s">
        <v>6001</v>
      </c>
      <c r="C1910" s="3" t="s">
        <v>6002</v>
      </c>
      <c r="D1910" s="3" t="s">
        <v>5980</v>
      </c>
      <c r="E1910" s="3" t="s">
        <v>46</v>
      </c>
      <c r="F1910" s="3" t="s">
        <v>5781</v>
      </c>
      <c r="G1910" s="3" t="s">
        <v>5781</v>
      </c>
      <c r="H1910" s="3" t="s">
        <v>6003</v>
      </c>
      <c r="I1910" s="3" t="str">
        <f>HYPERLINK("http://www.jccm.es/sede/tramite/LVE","MISION COMERCIAL DIRECTA A RUMANIA SEGUNDA CONVOCATORIA")</f>
        <v>MISION COMERCIAL DIRECTA A RUMANIA SEGUNDA CONVOCATORIA</v>
      </c>
      <c r="J1910" s="3" t="s">
        <v>41</v>
      </c>
      <c r="K1910" s="3" t="s">
        <v>41</v>
      </c>
      <c r="L1910" s="3" t="s">
        <v>42</v>
      </c>
      <c r="M1910" s="3" t="s">
        <v>41</v>
      </c>
    </row>
    <row r="1911" spans="1:13" ht="183.95">
      <c r="A1911" s="22" t="s">
        <v>19</v>
      </c>
      <c r="B1911" s="3" t="s">
        <v>6004</v>
      </c>
      <c r="C1911" s="3" t="s">
        <v>6005</v>
      </c>
      <c r="D1911" s="3" t="s">
        <v>5980</v>
      </c>
      <c r="E1911" s="3" t="s">
        <v>46</v>
      </c>
      <c r="F1911" s="3" t="s">
        <v>5781</v>
      </c>
      <c r="G1911" s="3" t="s">
        <v>5781</v>
      </c>
      <c r="H1911" s="3" t="s">
        <v>6006</v>
      </c>
      <c r="I1911" s="3" t="str">
        <f>HYPERLINK("http://www.jccm.es/sede/tramite/LVO","MISION COMERCIAL DIRECTA A PAISES BAJOS")</f>
        <v>MISION COMERCIAL DIRECTA A PAISES BAJOS</v>
      </c>
      <c r="J1911" s="3" t="s">
        <v>41</v>
      </c>
      <c r="K1911" s="3" t="s">
        <v>41</v>
      </c>
      <c r="L1911" s="3" t="s">
        <v>42</v>
      </c>
      <c r="M1911" s="3" t="s">
        <v>41</v>
      </c>
    </row>
    <row r="1912" spans="1:13" ht="183.95">
      <c r="A1912" s="22" t="s">
        <v>19</v>
      </c>
      <c r="B1912" s="3" t="s">
        <v>6007</v>
      </c>
      <c r="C1912" s="3" t="s">
        <v>6008</v>
      </c>
      <c r="D1912" s="3" t="s">
        <v>5980</v>
      </c>
      <c r="E1912" s="3" t="s">
        <v>46</v>
      </c>
      <c r="F1912" s="3" t="s">
        <v>5781</v>
      </c>
      <c r="G1912" s="3" t="s">
        <v>5781</v>
      </c>
      <c r="H1912" s="3" t="s">
        <v>6009</v>
      </c>
      <c r="I1912" s="3" t="str">
        <f>HYPERLINK("http://www.jccm.es/sede/tramite/LVP","MISION COMERCIAL DIRECTA A REINO UNIDO")</f>
        <v>MISION COMERCIAL DIRECTA A REINO UNIDO</v>
      </c>
      <c r="J1912" s="3" t="s">
        <v>41</v>
      </c>
      <c r="K1912" s="3" t="s">
        <v>41</v>
      </c>
      <c r="L1912" s="3" t="s">
        <v>42</v>
      </c>
      <c r="M1912" s="3" t="s">
        <v>41</v>
      </c>
    </row>
    <row r="1913" spans="1:13" ht="183.95">
      <c r="A1913" s="22" t="s">
        <v>19</v>
      </c>
      <c r="B1913" s="3" t="s">
        <v>6010</v>
      </c>
      <c r="C1913" s="3" t="s">
        <v>6011</v>
      </c>
      <c r="D1913" s="3" t="s">
        <v>5980</v>
      </c>
      <c r="E1913" s="3" t="s">
        <v>46</v>
      </c>
      <c r="F1913" s="3" t="s">
        <v>5781</v>
      </c>
      <c r="G1913" s="3" t="s">
        <v>5781</v>
      </c>
      <c r="H1913" s="3" t="s">
        <v>6012</v>
      </c>
      <c r="I1913" s="3" t="str">
        <f>HYPERLINK("http://www.jccm.es/sede/tramite/LVQ","VISITA A LA FERIA SIAL PARIS")</f>
        <v>VISITA A LA FERIA SIAL PARIS</v>
      </c>
      <c r="J1913" s="3" t="s">
        <v>41</v>
      </c>
      <c r="K1913" s="3" t="s">
        <v>41</v>
      </c>
      <c r="L1913" s="3" t="s">
        <v>42</v>
      </c>
      <c r="M1913" s="3" t="s">
        <v>41</v>
      </c>
    </row>
    <row r="1914" spans="1:13" ht="183.95">
      <c r="A1914" s="22" t="s">
        <v>19</v>
      </c>
      <c r="B1914" s="3" t="s">
        <v>6013</v>
      </c>
      <c r="C1914" s="3" t="s">
        <v>6014</v>
      </c>
      <c r="D1914" s="3" t="s">
        <v>5980</v>
      </c>
      <c r="E1914" s="3" t="s">
        <v>46</v>
      </c>
      <c r="F1914" s="3" t="s">
        <v>5781</v>
      </c>
      <c r="G1914" s="3" t="s">
        <v>5781</v>
      </c>
      <c r="H1914" s="3" t="s">
        <v>6015</v>
      </c>
      <c r="I1914" s="3" t="str">
        <f>HYPERLINK("http://www.jccm.es/sede/tramite/LVV","B2B WINE ROAD SHOW JAPON Y COREA DEL SUR")</f>
        <v>B2B WINE ROAD SHOW JAPON Y COREA DEL SUR</v>
      </c>
      <c r="J1914" s="3" t="s">
        <v>41</v>
      </c>
      <c r="K1914" s="3" t="s">
        <v>41</v>
      </c>
      <c r="L1914" s="3" t="s">
        <v>42</v>
      </c>
      <c r="M1914" s="3" t="s">
        <v>41</v>
      </c>
    </row>
    <row r="1915" spans="1:13" ht="183.95">
      <c r="A1915" s="22" t="s">
        <v>19</v>
      </c>
      <c r="B1915" s="3" t="s">
        <v>6016</v>
      </c>
      <c r="C1915" s="3" t="s">
        <v>6017</v>
      </c>
      <c r="D1915" s="3" t="s">
        <v>5980</v>
      </c>
      <c r="E1915" s="3" t="s">
        <v>46</v>
      </c>
      <c r="F1915" s="3" t="s">
        <v>5781</v>
      </c>
      <c r="G1915" s="3" t="s">
        <v>5781</v>
      </c>
      <c r="H1915" s="3" t="s">
        <v>6018</v>
      </c>
      <c r="I1915" s="3" t="str">
        <f>HYPERLINK("http://www.jccm.es/sede/tramite/LVY","PRESENTACION DE PRODUCTOS EN PERU")</f>
        <v>PRESENTACION DE PRODUCTOS EN PERU</v>
      </c>
      <c r="J1915" s="3" t="s">
        <v>41</v>
      </c>
      <c r="K1915" s="3" t="s">
        <v>41</v>
      </c>
      <c r="L1915" s="3" t="s">
        <v>42</v>
      </c>
      <c r="M1915" s="3" t="s">
        <v>41</v>
      </c>
    </row>
    <row r="1916" spans="1:13" ht="183.95">
      <c r="A1916" s="22" t="s">
        <v>19</v>
      </c>
      <c r="B1916" s="3" t="s">
        <v>6019</v>
      </c>
      <c r="C1916" s="3" t="s">
        <v>6020</v>
      </c>
      <c r="D1916" s="3" t="s">
        <v>5980</v>
      </c>
      <c r="E1916" s="3" t="s">
        <v>46</v>
      </c>
      <c r="F1916" s="3" t="s">
        <v>5781</v>
      </c>
      <c r="G1916" s="3" t="s">
        <v>5781</v>
      </c>
      <c r="H1916" s="3" t="s">
        <v>6021</v>
      </c>
      <c r="I1916" s="3" t="str">
        <f>HYPERLINK("http://www.jccm.es/sede/tramite/LVZ","V2B FOOD MEETINGS BRASIL")</f>
        <v>V2B FOOD MEETINGS BRASIL</v>
      </c>
      <c r="J1916" s="3" t="s">
        <v>41</v>
      </c>
      <c r="K1916" s="3" t="s">
        <v>41</v>
      </c>
      <c r="L1916" s="3" t="s">
        <v>42</v>
      </c>
      <c r="M1916" s="3" t="s">
        <v>41</v>
      </c>
    </row>
    <row r="1917" spans="1:13" ht="92.1">
      <c r="A1917" s="22" t="s">
        <v>19</v>
      </c>
      <c r="B1917" s="3" t="s">
        <v>6022</v>
      </c>
      <c r="C1917" s="3" t="s">
        <v>6023</v>
      </c>
      <c r="D1917" s="3" t="s">
        <v>45</v>
      </c>
      <c r="E1917" s="3" t="s">
        <v>46</v>
      </c>
      <c r="F1917" s="3" t="s">
        <v>5781</v>
      </c>
      <c r="G1917" s="3" t="s">
        <v>5781</v>
      </c>
      <c r="H1917" s="3" t="s">
        <v>6024</v>
      </c>
      <c r="I1917" s="3" t="str">
        <f>HYPERLINK("http://www.jccm.es/sede/tramite/LW5","MISION COMERCIAL DIRECTA A JAPON Y COREA DEL SUR")</f>
        <v>MISION COMERCIAL DIRECTA A JAPON Y COREA DEL SUR</v>
      </c>
      <c r="J1917" s="3" t="s">
        <v>41</v>
      </c>
      <c r="K1917" s="3" t="s">
        <v>41</v>
      </c>
      <c r="L1917" s="3" t="s">
        <v>42</v>
      </c>
      <c r="M1917" s="3" t="s">
        <v>41</v>
      </c>
    </row>
    <row r="1918" spans="1:13" ht="92.1">
      <c r="A1918" s="22" t="s">
        <v>19</v>
      </c>
      <c r="B1918" s="3" t="s">
        <v>6025</v>
      </c>
      <c r="C1918" s="3" t="s">
        <v>6026</v>
      </c>
      <c r="D1918" s="3" t="s">
        <v>45</v>
      </c>
      <c r="E1918" s="3" t="s">
        <v>46</v>
      </c>
      <c r="F1918" s="3" t="s">
        <v>5781</v>
      </c>
      <c r="G1918" s="3" t="s">
        <v>5781</v>
      </c>
      <c r="H1918" s="3" t="s">
        <v>6027</v>
      </c>
      <c r="I1918" s="3" t="str">
        <f>HYPERLINK("http://www.jccm.es/sede/tramite/LW6","FERIA RESTAURANT AND BAR HONG KONG")</f>
        <v>FERIA RESTAURANT AND BAR HONG KONG</v>
      </c>
      <c r="J1918" s="3" t="s">
        <v>41</v>
      </c>
      <c r="K1918" s="3" t="s">
        <v>41</v>
      </c>
      <c r="L1918" s="3" t="s">
        <v>42</v>
      </c>
      <c r="M1918" s="3" t="s">
        <v>41</v>
      </c>
    </row>
    <row r="1919" spans="1:13" ht="92.1">
      <c r="A1919" s="22" t="s">
        <v>19</v>
      </c>
      <c r="B1919" s="3" t="s">
        <v>6028</v>
      </c>
      <c r="C1919" s="3" t="s">
        <v>6029</v>
      </c>
      <c r="D1919" s="3" t="s">
        <v>45</v>
      </c>
      <c r="E1919" s="3" t="s">
        <v>46</v>
      </c>
      <c r="F1919" s="3" t="s">
        <v>5781</v>
      </c>
      <c r="G1919" s="3" t="s">
        <v>5781</v>
      </c>
      <c r="H1919" s="3" t="s">
        <v>6030</v>
      </c>
      <c r="I1919" s="3" t="str">
        <f>HYPERLINK("http://www.jccm.es/sede/tramite/LWA","B2B WINE ROADSHOW FILIPINAS Y VIETNAM")</f>
        <v>B2B WINE ROADSHOW FILIPINAS Y VIETNAM</v>
      </c>
      <c r="J1919" s="3" t="s">
        <v>41</v>
      </c>
      <c r="K1919" s="3" t="s">
        <v>41</v>
      </c>
      <c r="L1919" s="3" t="s">
        <v>42</v>
      </c>
      <c r="M1919" s="3" t="s">
        <v>41</v>
      </c>
    </row>
    <row r="1920" spans="1:13" ht="183.95">
      <c r="A1920" s="22" t="s">
        <v>19</v>
      </c>
      <c r="B1920" s="3" t="s">
        <v>6031</v>
      </c>
      <c r="C1920" s="3" t="s">
        <v>6032</v>
      </c>
      <c r="D1920" s="3" t="s">
        <v>5980</v>
      </c>
      <c r="E1920" s="3" t="s">
        <v>46</v>
      </c>
      <c r="F1920" s="3" t="s">
        <v>5781</v>
      </c>
      <c r="G1920" s="3" t="s">
        <v>5781</v>
      </c>
      <c r="H1920" s="3" t="s">
        <v>6033</v>
      </c>
      <c r="I1920" s="3" t="str">
        <f>HYPERLINK("http://www.jccm.es/sede/tramite/LWC","MISION COMERCIAL DIRECTA A CAMERUN Y GABON")</f>
        <v>MISION COMERCIAL DIRECTA A CAMERUN Y GABON</v>
      </c>
      <c r="J1920" s="3" t="s">
        <v>41</v>
      </c>
      <c r="K1920" s="3" t="s">
        <v>41</v>
      </c>
      <c r="L1920" s="3" t="s">
        <v>42</v>
      </c>
      <c r="M1920" s="3" t="s">
        <v>41</v>
      </c>
    </row>
    <row r="1921" spans="1:13" ht="92.1">
      <c r="A1921" s="22" t="s">
        <v>19</v>
      </c>
      <c r="B1921" s="3" t="s">
        <v>6034</v>
      </c>
      <c r="C1921" s="3" t="s">
        <v>6035</v>
      </c>
      <c r="D1921" s="3" t="s">
        <v>45</v>
      </c>
      <c r="E1921" s="3" t="s">
        <v>46</v>
      </c>
      <c r="F1921" s="3" t="s">
        <v>5781</v>
      </c>
      <c r="G1921" s="3" t="s">
        <v>5781</v>
      </c>
      <c r="H1921" s="3" t="s">
        <v>6036</v>
      </c>
      <c r="I1921" s="3" t="str">
        <f>HYPERLINK("http://www.jccm.es/sede/tramite/LWF","B2B WINE ROADSHOW INDONESIA Y TAIWAN")</f>
        <v>B2B WINE ROADSHOW INDONESIA Y TAIWAN</v>
      </c>
      <c r="J1921" s="3" t="s">
        <v>41</v>
      </c>
      <c r="K1921" s="3" t="s">
        <v>41</v>
      </c>
      <c r="L1921" s="3" t="s">
        <v>42</v>
      </c>
      <c r="M1921" s="3" t="s">
        <v>41</v>
      </c>
    </row>
    <row r="1922" spans="1:13" ht="92.1">
      <c r="A1922" s="22" t="s">
        <v>19</v>
      </c>
      <c r="B1922" s="3" t="s">
        <v>6037</v>
      </c>
      <c r="C1922" s="3" t="s">
        <v>6038</v>
      </c>
      <c r="D1922" s="3" t="s">
        <v>45</v>
      </c>
      <c r="E1922" s="3" t="s">
        <v>46</v>
      </c>
      <c r="F1922" s="3" t="s">
        <v>5781</v>
      </c>
      <c r="G1922" s="3" t="s">
        <v>5781</v>
      </c>
      <c r="H1922" s="3" t="s">
        <v>6039</v>
      </c>
      <c r="I1922" s="3" t="str">
        <f>HYPERLINK("http://www.jccm.es/sede/tramite/LWK","V2B WINE MEETING WUHAN 2022")</f>
        <v>V2B WINE MEETING WUHAN 2022</v>
      </c>
      <c r="J1922" s="3" t="s">
        <v>41</v>
      </c>
      <c r="K1922" s="3" t="s">
        <v>41</v>
      </c>
      <c r="L1922" s="3" t="s">
        <v>42</v>
      </c>
      <c r="M1922" s="3" t="s">
        <v>41</v>
      </c>
    </row>
    <row r="1923" spans="1:13" ht="92.1">
      <c r="A1923" s="22" t="s">
        <v>19</v>
      </c>
      <c r="B1923" s="3" t="s">
        <v>6040</v>
      </c>
      <c r="C1923" s="3" t="s">
        <v>6041</v>
      </c>
      <c r="D1923" s="3" t="s">
        <v>45</v>
      </c>
      <c r="E1923" s="3" t="s">
        <v>46</v>
      </c>
      <c r="F1923" s="3" t="s">
        <v>5781</v>
      </c>
      <c r="G1923" s="3" t="s">
        <v>5781</v>
      </c>
      <c r="H1923" s="3" t="s">
        <v>6042</v>
      </c>
      <c r="I1923" s="3" t="str">
        <f>HYPERLINK("http://www.jccm.es/sede/tramite/LWM","ACCESS TO MARKET WINE USA")</f>
        <v>ACCESS TO MARKET WINE USA</v>
      </c>
      <c r="J1923" s="3" t="s">
        <v>41</v>
      </c>
      <c r="K1923" s="3" t="s">
        <v>41</v>
      </c>
      <c r="L1923" s="3" t="s">
        <v>42</v>
      </c>
      <c r="M1923" s="3" t="s">
        <v>41</v>
      </c>
    </row>
    <row r="1924" spans="1:13" ht="92.1">
      <c r="A1924" s="22" t="s">
        <v>19</v>
      </c>
      <c r="B1924" s="3" t="s">
        <v>6043</v>
      </c>
      <c r="C1924" s="3" t="s">
        <v>6044</v>
      </c>
      <c r="D1924" s="3" t="s">
        <v>459</v>
      </c>
      <c r="E1924" s="3" t="s">
        <v>46</v>
      </c>
      <c r="F1924" s="3" t="s">
        <v>5781</v>
      </c>
      <c r="G1924" s="3" t="s">
        <v>5781</v>
      </c>
      <c r="H1924" s="3" t="s">
        <v>6045</v>
      </c>
      <c r="I1924" s="3" t="str">
        <f>HYPERLINK("http://www.jccm.es/sede/tramite/LWU","EXPOSICION DE PRODUCTOS EN MEXICO")</f>
        <v>EXPOSICION DE PRODUCTOS EN MEXICO</v>
      </c>
      <c r="J1924" s="3" t="s">
        <v>41</v>
      </c>
      <c r="K1924" s="3" t="s">
        <v>41</v>
      </c>
      <c r="L1924" s="3" t="s">
        <v>42</v>
      </c>
      <c r="M1924" s="3" t="s">
        <v>41</v>
      </c>
    </row>
    <row r="1925" spans="1:13" ht="92.1">
      <c r="A1925" s="22" t="s">
        <v>19</v>
      </c>
      <c r="B1925" s="3" t="s">
        <v>6046</v>
      </c>
      <c r="C1925" s="3" t="s">
        <v>6047</v>
      </c>
      <c r="D1925" s="3" t="s">
        <v>45</v>
      </c>
      <c r="E1925" s="3" t="s">
        <v>46</v>
      </c>
      <c r="F1925" s="3" t="s">
        <v>5781</v>
      </c>
      <c r="G1925" s="3" t="s">
        <v>5781</v>
      </c>
      <c r="H1925" s="3" t="s">
        <v>6048</v>
      </c>
      <c r="I1925" s="3" t="str">
        <f>HYPERLINK("http://www.jccm.es/sede/tramite/LX2","PROMOCION PUNTO DE VENTA VINO: GRUPO CORNERS DELI CHINA")</f>
        <v>PROMOCION PUNTO DE VENTA VINO: GRUPO CORNERS DELI CHINA</v>
      </c>
      <c r="J1925" s="3" t="s">
        <v>41</v>
      </c>
      <c r="K1925" s="3" t="s">
        <v>41</v>
      </c>
      <c r="L1925" s="3" t="s">
        <v>42</v>
      </c>
      <c r="M1925" s="3" t="s">
        <v>41</v>
      </c>
    </row>
    <row r="1926" spans="1:13" ht="92.1">
      <c r="A1926" s="22" t="s">
        <v>19</v>
      </c>
      <c r="B1926" s="3" t="s">
        <v>6049</v>
      </c>
      <c r="C1926" s="3" t="s">
        <v>6050</v>
      </c>
      <c r="D1926" s="3" t="s">
        <v>70</v>
      </c>
      <c r="E1926" s="3" t="s">
        <v>46</v>
      </c>
      <c r="F1926" s="3" t="s">
        <v>5781</v>
      </c>
      <c r="G1926" s="3" t="s">
        <v>5781</v>
      </c>
      <c r="H1926" s="3" t="s">
        <v>6051</v>
      </c>
      <c r="I1926" s="3" t="str">
        <f>HYPERLINK("http://www.jccm.es/sede/tramite/LXJ","FERIA FOOD EXPO GREECE")</f>
        <v>FERIA FOOD EXPO GREECE</v>
      </c>
      <c r="J1926" s="3" t="s">
        <v>41</v>
      </c>
      <c r="K1926" s="3" t="s">
        <v>41</v>
      </c>
      <c r="L1926" s="3" t="s">
        <v>42</v>
      </c>
      <c r="M1926" s="3" t="s">
        <v>41</v>
      </c>
    </row>
    <row r="1927" spans="1:13" ht="92.1">
      <c r="A1927" s="22" t="s">
        <v>19</v>
      </c>
      <c r="B1927" s="3" t="s">
        <v>6052</v>
      </c>
      <c r="C1927" s="3" t="s">
        <v>6053</v>
      </c>
      <c r="D1927" s="3" t="s">
        <v>45</v>
      </c>
      <c r="E1927" s="3" t="s">
        <v>46</v>
      </c>
      <c r="F1927" s="3" t="s">
        <v>5781</v>
      </c>
      <c r="G1927" s="3" t="s">
        <v>5781</v>
      </c>
      <c r="H1927" s="3" t="s">
        <v>6054</v>
      </c>
      <c r="I1927" s="3" t="str">
        <f>HYPERLINK("http://www.jccm.es/sede/tramite/LY0","B2B WINE MEETING SUIZA")</f>
        <v>B2B WINE MEETING SUIZA</v>
      </c>
      <c r="J1927" s="3" t="s">
        <v>41</v>
      </c>
      <c r="K1927" s="3" t="s">
        <v>41</v>
      </c>
      <c r="L1927" s="3" t="s">
        <v>42</v>
      </c>
      <c r="M1927" s="3" t="s">
        <v>41</v>
      </c>
    </row>
    <row r="1928" spans="1:13" ht="92.1">
      <c r="A1928" s="22" t="s">
        <v>19</v>
      </c>
      <c r="B1928" s="3" t="s">
        <v>6055</v>
      </c>
      <c r="C1928" s="3" t="s">
        <v>6056</v>
      </c>
      <c r="D1928" s="3" t="s">
        <v>45</v>
      </c>
      <c r="E1928" s="3" t="s">
        <v>46</v>
      </c>
      <c r="F1928" s="3" t="s">
        <v>5781</v>
      </c>
      <c r="G1928" s="3" t="s">
        <v>5781</v>
      </c>
      <c r="H1928" s="3" t="s">
        <v>6057</v>
      </c>
      <c r="I1928" s="3" t="str">
        <f>HYPERLINK("http://www.jccm.es/sede/tramite/LYQ","PRESENTACION DE PRODUCTO VINO SINGAPUR Y HONG KONG (2ª CONVOCATORIA)")</f>
        <v>PRESENTACION DE PRODUCTO VINO SINGAPUR Y HONG KONG (2ª CONVOCATORIA)</v>
      </c>
      <c r="J1928" s="3" t="s">
        <v>41</v>
      </c>
      <c r="K1928" s="3" t="s">
        <v>41</v>
      </c>
      <c r="L1928" s="3" t="s">
        <v>42</v>
      </c>
      <c r="M1928" s="3" t="s">
        <v>41</v>
      </c>
    </row>
    <row r="1929" spans="1:13" ht="92.1">
      <c r="A1929" s="22" t="s">
        <v>19</v>
      </c>
      <c r="B1929" s="3" t="s">
        <v>6058</v>
      </c>
      <c r="C1929" s="3" t="s">
        <v>6059</v>
      </c>
      <c r="D1929" s="3" t="s">
        <v>45</v>
      </c>
      <c r="E1929" s="3" t="s">
        <v>46</v>
      </c>
      <c r="F1929" s="3" t="s">
        <v>5781</v>
      </c>
      <c r="G1929" s="3" t="s">
        <v>5781</v>
      </c>
      <c r="H1929" s="3" t="s">
        <v>6060</v>
      </c>
      <c r="I1929" s="3" t="str">
        <f>HYPERLINK("http://www.jccm.es/sede/tramite/LYU","IMPULSA TU EMPRESA EN EEUU")</f>
        <v>IMPULSA TU EMPRESA EN EEUU</v>
      </c>
      <c r="J1929" s="3" t="s">
        <v>41</v>
      </c>
      <c r="K1929" s="3" t="s">
        <v>41</v>
      </c>
      <c r="L1929" s="3" t="s">
        <v>42</v>
      </c>
      <c r="M1929" s="3" t="s">
        <v>41</v>
      </c>
    </row>
    <row r="1930" spans="1:13" ht="92.1">
      <c r="A1930" s="22" t="s">
        <v>19</v>
      </c>
      <c r="B1930" s="3" t="s">
        <v>6061</v>
      </c>
      <c r="C1930" s="3" t="s">
        <v>6062</v>
      </c>
      <c r="D1930" s="3" t="s">
        <v>70</v>
      </c>
      <c r="E1930" s="3" t="s">
        <v>46</v>
      </c>
      <c r="F1930" s="3" t="s">
        <v>5781</v>
      </c>
      <c r="G1930" s="3" t="s">
        <v>5781</v>
      </c>
      <c r="H1930" s="3" t="s">
        <v>6063</v>
      </c>
      <c r="I1930" s="3" t="str">
        <f>HYPERLINK("http://www.jccm.es/sede/tramite/LN3","FERIA ANUGA, DIRIGIDA A EMPRESAS EXPOSITORAS.")</f>
        <v>FERIA ANUGA, DIRIGIDA A EMPRESAS EXPOSITORAS.</v>
      </c>
      <c r="J1930" s="3" t="s">
        <v>41</v>
      </c>
      <c r="K1930" s="3" t="s">
        <v>41</v>
      </c>
      <c r="L1930" s="3" t="s">
        <v>42</v>
      </c>
      <c r="M1930" s="3" t="s">
        <v>41</v>
      </c>
    </row>
    <row r="1931" spans="1:13" ht="103.5">
      <c r="A1931" s="22" t="s">
        <v>19</v>
      </c>
      <c r="B1931" s="3" t="s">
        <v>6064</v>
      </c>
      <c r="C1931" s="3" t="s">
        <v>6065</v>
      </c>
      <c r="D1931" s="3" t="s">
        <v>70</v>
      </c>
      <c r="E1931" s="3" t="s">
        <v>46</v>
      </c>
      <c r="F1931" s="3" t="s">
        <v>5781</v>
      </c>
      <c r="G1931" s="3" t="s">
        <v>5781</v>
      </c>
      <c r="H1931" s="3" t="s">
        <v>6066</v>
      </c>
      <c r="I1931" s="3" t="str">
        <f>HYPERLINK("http://www.jccm.es/sede/tramite/LN4","VISITA FERIA ANUGA, DIRIGIDA A EMPRESAS VISITANTES DE LA FERIA (NO EXPOSITORAS)")</f>
        <v>VISITA FERIA ANUGA, DIRIGIDA A EMPRESAS VISITANTES DE LA FERIA (NO EXPOSITORAS)</v>
      </c>
      <c r="J1931" s="3" t="s">
        <v>41</v>
      </c>
      <c r="K1931" s="3" t="s">
        <v>41</v>
      </c>
      <c r="L1931" s="3" t="s">
        <v>42</v>
      </c>
      <c r="M1931" s="3" t="s">
        <v>41</v>
      </c>
    </row>
    <row r="1932" spans="1:13" ht="92.1">
      <c r="A1932" s="22" t="s">
        <v>19</v>
      </c>
      <c r="B1932" s="3" t="s">
        <v>6067</v>
      </c>
      <c r="C1932" s="3" t="s">
        <v>6068</v>
      </c>
      <c r="D1932" s="3" t="s">
        <v>70</v>
      </c>
      <c r="E1932" s="3" t="s">
        <v>46</v>
      </c>
      <c r="F1932" s="3" t="s">
        <v>5781</v>
      </c>
      <c r="G1932" s="3" t="s">
        <v>5781</v>
      </c>
      <c r="H1932" s="3" t="s">
        <v>6069</v>
      </c>
      <c r="I1932" s="3" t="str">
        <f>HYPERLINK("http://www.jccm.es/sede/tramite/LRV","VISITA FERIA MICAM I SHOE EVENT MILAN (NO EXPOSITORES)")</f>
        <v>VISITA FERIA MICAM I SHOE EVENT MILAN (NO EXPOSITORES)</v>
      </c>
      <c r="J1932" s="3" t="s">
        <v>41</v>
      </c>
      <c r="K1932" s="3" t="s">
        <v>41</v>
      </c>
      <c r="L1932" s="3" t="s">
        <v>42</v>
      </c>
      <c r="M1932" s="3" t="s">
        <v>41</v>
      </c>
    </row>
    <row r="1933" spans="1:13" ht="92.1">
      <c r="A1933" s="22" t="s">
        <v>19</v>
      </c>
      <c r="B1933" s="3" t="s">
        <v>6070</v>
      </c>
      <c r="C1933" s="3" t="s">
        <v>6071</v>
      </c>
      <c r="D1933" s="3" t="s">
        <v>70</v>
      </c>
      <c r="E1933" s="3" t="s">
        <v>46</v>
      </c>
      <c r="F1933" s="3" t="s">
        <v>5781</v>
      </c>
      <c r="G1933" s="3" t="s">
        <v>5781</v>
      </c>
      <c r="H1933" s="3" t="s">
        <v>6072</v>
      </c>
      <c r="I1933" s="3" t="str">
        <f>HYPERLINK("http://www.jccm.es/sede/tramite/LSA","MICAM II SHOE EVENT MILAN , (DIRIGIDA A EMPRESAS EXPOSITORAS).")</f>
        <v>MICAM II SHOE EVENT MILAN , (DIRIGIDA A EMPRESAS EXPOSITORAS).</v>
      </c>
      <c r="J1933" s="3" t="s">
        <v>41</v>
      </c>
      <c r="K1933" s="3" t="s">
        <v>41</v>
      </c>
      <c r="L1933" s="3" t="s">
        <v>42</v>
      </c>
      <c r="M1933" s="3" t="s">
        <v>41</v>
      </c>
    </row>
    <row r="1934" spans="1:13" ht="161.1">
      <c r="A1934" s="22" t="s">
        <v>19</v>
      </c>
      <c r="B1934" s="3" t="s">
        <v>6073</v>
      </c>
      <c r="C1934" s="3" t="s">
        <v>6074</v>
      </c>
      <c r="D1934" s="3" t="s">
        <v>95</v>
      </c>
      <c r="E1934" s="3" t="s">
        <v>95</v>
      </c>
      <c r="F1934" s="3" t="s">
        <v>5781</v>
      </c>
      <c r="G1934" s="3" t="s">
        <v>5781</v>
      </c>
      <c r="H1934" s="3" t="s">
        <v>6075</v>
      </c>
      <c r="I1934" s="3" t="str">
        <f>HYPERLINK("http://www.jccm.es/sede/tramite/LC2","SOLICITUD PARA EL PROCESO SELECCION TECNICO/A COMERCIO EXTERIOR EN IPEX.")</f>
        <v>SOLICITUD PARA EL PROCESO SELECCION TECNICO/A COMERCIO EXTERIOR EN IPEX.</v>
      </c>
      <c r="J1934" s="3" t="s">
        <v>42</v>
      </c>
      <c r="K1934" s="3" t="s">
        <v>41</v>
      </c>
      <c r="L1934" s="3" t="s">
        <v>42</v>
      </c>
      <c r="M1934" s="3" t="s">
        <v>41</v>
      </c>
    </row>
    <row r="1935" spans="1:13" ht="230.1">
      <c r="A1935" s="22" t="s">
        <v>19</v>
      </c>
      <c r="B1935" s="3" t="s">
        <v>6076</v>
      </c>
      <c r="C1935" s="3" t="s">
        <v>6077</v>
      </c>
      <c r="D1935" s="3" t="s">
        <v>95</v>
      </c>
      <c r="E1935" s="3" t="s">
        <v>95</v>
      </c>
      <c r="F1935" s="3" t="s">
        <v>5781</v>
      </c>
      <c r="G1935" s="3" t="s">
        <v>5781</v>
      </c>
      <c r="H1935" s="3" t="s">
        <v>6078</v>
      </c>
      <c r="I1935" s="3" t="str">
        <f>HYPERLINK("http://www.jccm.es/sede/tramite/LFL","SOLICITUD PARA EL PROCESO SELECCION GESTOR/A PROYECTOS PARA DEPARTAMENTO CAPTACION INVERSIONES IPEX")</f>
        <v>SOLICITUD PARA EL PROCESO SELECCION GESTOR/A PROYECTOS PARA DEPARTAMENTO CAPTACION INVERSIONES IPEX</v>
      </c>
      <c r="J1935" s="3" t="s">
        <v>41</v>
      </c>
      <c r="K1935" s="3" t="s">
        <v>41</v>
      </c>
      <c r="L1935" s="3" t="s">
        <v>42</v>
      </c>
      <c r="M1935" s="3" t="s">
        <v>41</v>
      </c>
    </row>
    <row r="1936" spans="1:13" ht="241.5">
      <c r="A1936" s="22" t="s">
        <v>23</v>
      </c>
      <c r="B1936" s="3" t="s">
        <v>6079</v>
      </c>
      <c r="C1936" s="3" t="s">
        <v>6080</v>
      </c>
      <c r="D1936" s="3" t="s">
        <v>62</v>
      </c>
      <c r="E1936" s="3" t="s">
        <v>46</v>
      </c>
      <c r="F1936" s="3" t="s">
        <v>6081</v>
      </c>
      <c r="G1936" s="3" t="s">
        <v>6082</v>
      </c>
      <c r="H1936" s="3" t="s">
        <v>6083</v>
      </c>
      <c r="I1936" s="3" t="str">
        <f>HYPERLINK("http://www.jccm.es/sede/tramite/KLN","EJERCICIO DE LOS DERECHOS DE ACCESO, RECTIFICACION, OPOSICION, LIMITACION, PORTABILIDAD, SUPRESION Y DECISIONES AUTOMATIZADAS A LOS TRATAMIENTOS DEL SESCAM (EXCLUIDOS LOS DATOS SANITARIOS)")</f>
        <v>EJERCICIO DE LOS DERECHOS DE ACCESO, RECTIFICACION, OPOSICION, LIMITACION, PORTABILIDAD, SUPRESION Y DECISIONES AUTOMATIZADAS A LOS TRATAMIENTOS DEL SESCAM (EXCLUIDOS LOS DATOS SANITARIOS)</v>
      </c>
      <c r="J1936" s="3" t="s">
        <v>42</v>
      </c>
      <c r="K1936" s="3" t="s">
        <v>41</v>
      </c>
      <c r="L1936" s="3" t="s">
        <v>42</v>
      </c>
      <c r="M1936" s="3" t="s">
        <v>41</v>
      </c>
    </row>
    <row r="1937" spans="1:13" ht="103.5">
      <c r="A1937" s="22" t="s">
        <v>23</v>
      </c>
      <c r="B1937" s="3" t="s">
        <v>6084</v>
      </c>
      <c r="C1937" s="3" t="s">
        <v>6085</v>
      </c>
      <c r="D1937" s="3" t="s">
        <v>45</v>
      </c>
      <c r="E1937" s="3" t="s">
        <v>37</v>
      </c>
      <c r="F1937" s="3" t="s">
        <v>6081</v>
      </c>
      <c r="G1937" s="3" t="s">
        <v>6082</v>
      </c>
      <c r="H1937" s="3" t="s">
        <v>6086</v>
      </c>
      <c r="I1937" s="3" t="str">
        <f>HYPERLINK("http://www.jccm.es/sede/tramite/ISW","AYUDAS POR DESPLAZAMIENTOS Y MANUTENCION")</f>
        <v>AYUDAS POR DESPLAZAMIENTOS Y MANUTENCION</v>
      </c>
      <c r="J1937" s="3" t="s">
        <v>42</v>
      </c>
      <c r="K1937" s="3" t="s">
        <v>41</v>
      </c>
      <c r="L1937" s="3" t="s">
        <v>42</v>
      </c>
      <c r="M1937" s="3" t="s">
        <v>41</v>
      </c>
    </row>
    <row r="1938" spans="1:13" ht="114.95">
      <c r="A1938" s="22" t="s">
        <v>23</v>
      </c>
      <c r="B1938" s="3" t="s">
        <v>6087</v>
      </c>
      <c r="C1938" s="3" t="s">
        <v>6088</v>
      </c>
      <c r="D1938" s="3" t="s">
        <v>6089</v>
      </c>
      <c r="E1938" s="3" t="s">
        <v>46</v>
      </c>
      <c r="F1938" s="3" t="s">
        <v>6081</v>
      </c>
      <c r="G1938" s="3" t="s">
        <v>6090</v>
      </c>
      <c r="H1938" s="3" t="s">
        <v>6091</v>
      </c>
      <c r="I1938" s="3" t="str">
        <f>HYPERLINK("http://www.jccm.es/sede/tramite/JOJ","CURSOS FORMACION CONTINUADA")</f>
        <v>CURSOS FORMACION CONTINUADA</v>
      </c>
      <c r="J1938" s="3" t="s">
        <v>41</v>
      </c>
      <c r="K1938" s="3" t="s">
        <v>41</v>
      </c>
      <c r="L1938" s="3" t="s">
        <v>42</v>
      </c>
      <c r="M1938" s="3" t="s">
        <v>41</v>
      </c>
    </row>
    <row r="1939" spans="1:13" ht="114.95">
      <c r="A1939" s="22" t="s">
        <v>23</v>
      </c>
      <c r="B1939" s="3" t="s">
        <v>6092</v>
      </c>
      <c r="C1939" s="3" t="s">
        <v>6093</v>
      </c>
      <c r="D1939" s="3" t="s">
        <v>95</v>
      </c>
      <c r="E1939" s="3" t="s">
        <v>95</v>
      </c>
      <c r="F1939" s="3" t="s">
        <v>6081</v>
      </c>
      <c r="G1939" s="3" t="s">
        <v>6094</v>
      </c>
      <c r="H1939" s="3" t="s">
        <v>6095</v>
      </c>
      <c r="I1939" s="3" t="str">
        <f>HYPERLINK("http://www.jccm.es/sede/tramite/JTD","CORRECCION DE DATOS RELATIVOS A LA APORTACION FARMACEUTICA.")</f>
        <v>CORRECCION DE DATOS RELATIVOS A LA APORTACION FARMACEUTICA.</v>
      </c>
      <c r="J1939" s="3" t="s">
        <v>42</v>
      </c>
      <c r="K1939" s="3" t="s">
        <v>41</v>
      </c>
      <c r="L1939" s="3" t="s">
        <v>42</v>
      </c>
      <c r="M1939" s="3" t="s">
        <v>41</v>
      </c>
    </row>
    <row r="1940" spans="1:13" ht="92.1">
      <c r="A1940" s="22" t="s">
        <v>23</v>
      </c>
      <c r="B1940" s="3" t="s">
        <v>6096</v>
      </c>
      <c r="C1940" s="3" t="s">
        <v>6097</v>
      </c>
      <c r="D1940" s="3" t="s">
        <v>45</v>
      </c>
      <c r="E1940" s="3" t="s">
        <v>46</v>
      </c>
      <c r="F1940" s="3" t="s">
        <v>6081</v>
      </c>
      <c r="G1940" s="3" t="s">
        <v>6081</v>
      </c>
      <c r="H1940" s="3" t="s">
        <v>6098</v>
      </c>
      <c r="I1940" s="3" t="str">
        <f>HYPERLINK("http://www.jccm.es/sede/tramite/K91","EMISION DE INFORMES Y CERTIFICADOS DEL SERVICIO DE SALUD DE CASTILLA-LA MANCHA")</f>
        <v>EMISION DE INFORMES Y CERTIFICADOS DEL SERVICIO DE SALUD DE CASTILLA-LA MANCHA</v>
      </c>
      <c r="J1940" s="3" t="s">
        <v>42</v>
      </c>
      <c r="K1940" s="3" t="s">
        <v>41</v>
      </c>
      <c r="L1940" s="3" t="s">
        <v>42</v>
      </c>
      <c r="M1940" s="3" t="s">
        <v>41</v>
      </c>
    </row>
    <row r="1941" spans="1:13" ht="103.5">
      <c r="A1941" s="22" t="s">
        <v>23</v>
      </c>
      <c r="B1941" s="3" t="s">
        <v>6099</v>
      </c>
      <c r="C1941" s="3" t="s">
        <v>6100</v>
      </c>
      <c r="D1941" s="3" t="s">
        <v>45</v>
      </c>
      <c r="E1941" s="3" t="s">
        <v>37</v>
      </c>
      <c r="F1941" s="3" t="s">
        <v>6081</v>
      </c>
      <c r="G1941" s="3" t="s">
        <v>6082</v>
      </c>
      <c r="H1941" s="3" t="s">
        <v>6101</v>
      </c>
      <c r="I1941" s="3" t="str">
        <f>HYPERLINK("http://www.jccm.es/sede/tramite/KPJ","ACREDITACION COMO TUTOR DE FORMACION SANITARIA ESPECIALIZADA EN CASTILLA-LA MANCHA")</f>
        <v>ACREDITACION COMO TUTOR DE FORMACION SANITARIA ESPECIALIZADA EN CASTILLA-LA MANCHA</v>
      </c>
      <c r="J1941" s="3" t="s">
        <v>41</v>
      </c>
      <c r="K1941" s="3" t="s">
        <v>41</v>
      </c>
      <c r="L1941" s="3" t="s">
        <v>42</v>
      </c>
      <c r="M1941" s="3" t="s">
        <v>41</v>
      </c>
    </row>
    <row r="1942" spans="1:13" ht="114.95">
      <c r="A1942" s="22" t="s">
        <v>23</v>
      </c>
      <c r="B1942" s="3" t="s">
        <v>6102</v>
      </c>
      <c r="C1942" s="3" t="s">
        <v>6103</v>
      </c>
      <c r="D1942" s="3" t="s">
        <v>95</v>
      </c>
      <c r="E1942" s="3" t="s">
        <v>95</v>
      </c>
      <c r="F1942" s="3" t="s">
        <v>6081</v>
      </c>
      <c r="G1942" s="3" t="s">
        <v>6081</v>
      </c>
      <c r="H1942" s="3" t="s">
        <v>6104</v>
      </c>
      <c r="I1942" s="3" t="str">
        <f>HYPERLINK("http://www.jccm.es/sede/tramite/KU7","INFORME DE USO DE UN DESFIBRILADOR EXTERNO AUTOMATIZADO (DEA) FUERA DEL AMBITO SANITARIO")</f>
        <v>INFORME DE USO DE UN DESFIBRILADOR EXTERNO AUTOMATIZADO (DEA) FUERA DEL AMBITO SANITARIO</v>
      </c>
      <c r="J1942" s="3" t="s">
        <v>42</v>
      </c>
      <c r="K1942" s="3" t="s">
        <v>41</v>
      </c>
      <c r="L1942" s="3" t="s">
        <v>42</v>
      </c>
      <c r="M1942" s="3" t="s">
        <v>41</v>
      </c>
    </row>
    <row r="1943" spans="1:13" ht="161.1">
      <c r="A1943" s="22" t="s">
        <v>23</v>
      </c>
      <c r="B1943" s="3" t="s">
        <v>6105</v>
      </c>
      <c r="C1943" s="3" t="s">
        <v>6106</v>
      </c>
      <c r="D1943" s="3" t="s">
        <v>6107</v>
      </c>
      <c r="E1943" s="3" t="s">
        <v>46</v>
      </c>
      <c r="F1943" s="3" t="s">
        <v>6081</v>
      </c>
      <c r="G1943" s="3" t="s">
        <v>6108</v>
      </c>
      <c r="H1943" s="3" t="s">
        <v>6109</v>
      </c>
      <c r="I1943" s="3" t="str">
        <f>HYPERLINK("http://www.jccm.es/sede/tramite/JGR","SUGERENCIAS,AGRADECIMIENTOS E INICIATIVAS RELATIVAS AL SESCAM")</f>
        <v>SUGERENCIAS,AGRADECIMIENTOS E INICIATIVAS RELATIVAS AL SESCAM</v>
      </c>
      <c r="J1943" s="3" t="s">
        <v>42</v>
      </c>
      <c r="K1943" s="3" t="s">
        <v>41</v>
      </c>
      <c r="L1943" s="3" t="s">
        <v>42</v>
      </c>
      <c r="M1943" s="3" t="s">
        <v>41</v>
      </c>
    </row>
    <row r="1944" spans="1:13" ht="161.1">
      <c r="A1944" s="22" t="s">
        <v>23</v>
      </c>
      <c r="B1944" s="3" t="s">
        <v>6110</v>
      </c>
      <c r="C1944" s="3" t="s">
        <v>6111</v>
      </c>
      <c r="D1944" s="3" t="s">
        <v>6107</v>
      </c>
      <c r="E1944" s="3" t="s">
        <v>46</v>
      </c>
      <c r="F1944" s="3" t="s">
        <v>6081</v>
      </c>
      <c r="G1944" s="3" t="s">
        <v>6108</v>
      </c>
      <c r="H1944" s="3" t="s">
        <v>6112</v>
      </c>
      <c r="I1944" s="3" t="str">
        <f>HYPERLINK("http://www.jccm.es/sede/tramite/JGS","RECLAMACIONES Y QUEJAS RELATIVAS AL SESCAM")</f>
        <v>RECLAMACIONES Y QUEJAS RELATIVAS AL SESCAM</v>
      </c>
      <c r="J1944" s="3" t="s">
        <v>42</v>
      </c>
      <c r="K1944" s="3" t="s">
        <v>42</v>
      </c>
      <c r="L1944" s="3" t="s">
        <v>42</v>
      </c>
      <c r="M1944" s="3" t="s">
        <v>41</v>
      </c>
    </row>
    <row r="1945" spans="1:13" ht="114.95">
      <c r="A1945" s="22" t="s">
        <v>23</v>
      </c>
      <c r="B1945" s="3" t="s">
        <v>6113</v>
      </c>
      <c r="C1945" s="3" t="s">
        <v>6114</v>
      </c>
      <c r="D1945" s="3" t="s">
        <v>45</v>
      </c>
      <c r="E1945" s="3" t="s">
        <v>46</v>
      </c>
      <c r="F1945" s="3" t="s">
        <v>6081</v>
      </c>
      <c r="G1945" s="3" t="s">
        <v>6090</v>
      </c>
      <c r="H1945" s="3" t="s">
        <v>6115</v>
      </c>
      <c r="I1945" s="3" t="str">
        <f>HYPERLINK("http://www.jccm.es/sede/tramite/KL6","SELECCION TEMPORAL DE PERSONAL LICENCIADO SANITARIO SIN LISTADOS DEFINITIVOS DE BOLSA DE TRABAJO")</f>
        <v>SELECCION TEMPORAL DE PERSONAL LICENCIADO SANITARIO SIN LISTADOS DEFINITIVOS DE BOLSA DE TRABAJO</v>
      </c>
      <c r="J1945" s="3" t="s">
        <v>42</v>
      </c>
      <c r="K1945" s="3" t="s">
        <v>41</v>
      </c>
      <c r="L1945" s="3" t="s">
        <v>42</v>
      </c>
      <c r="M1945" s="3" t="s">
        <v>41</v>
      </c>
    </row>
    <row r="1946" spans="1:13" ht="183.95">
      <c r="A1946" s="22" t="s">
        <v>23</v>
      </c>
      <c r="B1946" s="3" t="s">
        <v>6116</v>
      </c>
      <c r="C1946" s="3" t="s">
        <v>6117</v>
      </c>
      <c r="D1946" s="3" t="s">
        <v>45</v>
      </c>
      <c r="E1946" s="3" t="s">
        <v>46</v>
      </c>
      <c r="F1946" s="3" t="s">
        <v>6081</v>
      </c>
      <c r="G1946" s="3" t="s">
        <v>6090</v>
      </c>
      <c r="H1946" s="3" t="s">
        <v>6118</v>
      </c>
      <c r="I1946" s="3" t="str">
        <f>HYPERLINK("http://www.jccm.es/sede/tramite/L6J","OFERTA Y ADJUDICACION DE DESTINOS DERIVADOS DE LOS PROCESOS SELECTIVOS DE PERSONAL ESTATUTARIO DEL SERVICIO DE SALUD DE CASTILLA-LA MANCHA.")</f>
        <v>OFERTA Y ADJUDICACION DE DESTINOS DERIVADOS DE LOS PROCESOS SELECTIVOS DE PERSONAL ESTATUTARIO DEL SERVICIO DE SALUD DE CASTILLA-LA MANCHA.</v>
      </c>
      <c r="J1946" s="3" t="s">
        <v>42</v>
      </c>
      <c r="K1946" s="3" t="s">
        <v>41</v>
      </c>
      <c r="L1946" s="3" t="s">
        <v>42</v>
      </c>
      <c r="M1946" s="3" t="s">
        <v>41</v>
      </c>
    </row>
    <row r="1947" spans="1:13" ht="126.6">
      <c r="A1947" s="22" t="s">
        <v>23</v>
      </c>
      <c r="B1947" s="3" t="s">
        <v>6119</v>
      </c>
      <c r="C1947" s="3" t="s">
        <v>6120</v>
      </c>
      <c r="D1947" s="3" t="s">
        <v>232</v>
      </c>
      <c r="E1947" s="3" t="s">
        <v>46</v>
      </c>
      <c r="F1947" s="3" t="s">
        <v>6081</v>
      </c>
      <c r="G1947" s="3" t="s">
        <v>6081</v>
      </c>
      <c r="H1947" s="3" t="s">
        <v>6121</v>
      </c>
      <c r="I1947" s="3" t="str">
        <f>HYPERLINK("http://www.jccm.es/sede/tramite/LKA","SOLICITUD DE BAJA DE CATEGORIA DE BOLSA DE SELECCION DE PERSONAL TEMPORAL DEL SESCAM.")</f>
        <v>SOLICITUD DE BAJA DE CATEGORIA DE BOLSA DE SELECCION DE PERSONAL TEMPORAL DEL SESCAM.</v>
      </c>
      <c r="J1947" s="3" t="s">
        <v>42</v>
      </c>
      <c r="K1947" s="3" t="s">
        <v>41</v>
      </c>
      <c r="L1947" s="3" t="s">
        <v>42</v>
      </c>
      <c r="M1947" s="3" t="s">
        <v>41</v>
      </c>
    </row>
    <row r="1948" spans="1:13" ht="252.95">
      <c r="A1948" s="22" t="s">
        <v>23</v>
      </c>
      <c r="B1948" s="3" t="s">
        <v>6122</v>
      </c>
      <c r="C1948" s="3" t="s">
        <v>6123</v>
      </c>
      <c r="D1948" s="3" t="s">
        <v>45</v>
      </c>
      <c r="E1948" s="3" t="s">
        <v>46</v>
      </c>
      <c r="F1948" s="3" t="s">
        <v>6081</v>
      </c>
      <c r="G1948" s="3" t="s">
        <v>6081</v>
      </c>
      <c r="H1948" s="3" t="s">
        <v>6124</v>
      </c>
      <c r="I1948" s="3" t="str">
        <f>HYPERLINK("http://www.jccm.es/sede/tramite/LYW","CONVOCATORIA PARA LA SELECCION DE PERSONAL TEMPORAL DE 3 PLAZAS DE MEDICO/A PEAC (PERSONAL ESTATUTARIO DE ATENCION CONTINUADA)  EN LA GERENCIA DE ATENCION INTEGRADA DE VALDEPEÑAS.")</f>
        <v>CONVOCATORIA PARA LA SELECCION DE PERSONAL TEMPORAL DE 3 PLAZAS DE MEDICO/A PEAC (PERSONAL ESTATUTARIO DE ATENCION CONTINUADA)  EN LA GERENCIA DE ATENCION INTEGRADA DE VALDEPEÑAS.</v>
      </c>
      <c r="J1948" s="3" t="s">
        <v>42</v>
      </c>
      <c r="K1948" s="3" t="s">
        <v>41</v>
      </c>
      <c r="L1948" s="3" t="s">
        <v>42</v>
      </c>
      <c r="M1948" s="3" t="s">
        <v>41</v>
      </c>
    </row>
    <row r="1949" spans="1:13" ht="252.95">
      <c r="A1949" s="22" t="s">
        <v>23</v>
      </c>
      <c r="B1949" s="3" t="s">
        <v>6125</v>
      </c>
      <c r="C1949" s="3" t="s">
        <v>6126</v>
      </c>
      <c r="D1949" s="3" t="s">
        <v>45</v>
      </c>
      <c r="E1949" s="3" t="s">
        <v>46</v>
      </c>
      <c r="F1949" s="3" t="s">
        <v>6081</v>
      </c>
      <c r="G1949" s="3" t="s">
        <v>6127</v>
      </c>
      <c r="H1949" s="3" t="s">
        <v>6128</v>
      </c>
      <c r="I1949" s="3" t="str">
        <f>HYPERLINK("http://www.jccm.es/sede/tramite/LZ6","PROVISION MEDIANTE NOMBRAMIENTO ESTATUTARIO TEMPORAL DE INTERINIDAD, DE UNA PLAZA DE FACULTATIVO ESPECIALISTA DE AREA HEMATOLOGIA - HEMOTERAPIA, GAI TALAVERA REINA. SESCAM.")</f>
        <v>PROVISION MEDIANTE NOMBRAMIENTO ESTATUTARIO TEMPORAL DE INTERINIDAD, DE UNA PLAZA DE FACULTATIVO ESPECIALISTA DE AREA HEMATOLOGIA - HEMOTERAPIA, GAI TALAVERA REINA. SESCAM.</v>
      </c>
      <c r="J1949" s="3" t="s">
        <v>42</v>
      </c>
      <c r="K1949" s="3" t="s">
        <v>41</v>
      </c>
      <c r="L1949" s="3" t="s">
        <v>42</v>
      </c>
      <c r="M1949" s="3" t="s">
        <v>41</v>
      </c>
    </row>
    <row r="1950" spans="1:13" ht="241.5">
      <c r="A1950" s="22" t="s">
        <v>23</v>
      </c>
      <c r="B1950" s="3" t="s">
        <v>6129</v>
      </c>
      <c r="C1950" s="3" t="s">
        <v>6130</v>
      </c>
      <c r="D1950" s="3" t="s">
        <v>6131</v>
      </c>
      <c r="E1950" s="3" t="s">
        <v>46</v>
      </c>
      <c r="F1950" s="3" t="s">
        <v>6081</v>
      </c>
      <c r="G1950" s="3" t="s">
        <v>6127</v>
      </c>
      <c r="H1950" s="3" t="s">
        <v>6132</v>
      </c>
      <c r="I1950" s="3" t="str">
        <f>HYPERLINK("http://www.jccm.es/sede/tramite/LZ8","PROVISION MEDIANTE NOMBRAMIENTO ESTATUTARIO TEMPORAL DE INTERINIDAD, DE UNA PLAZA DE FACULTATIVO ESPECIALISTA DE AREA DE ANALISIS CLINICOS,  GAI TALAVERA REINA. SESCAM.")</f>
        <v>PROVISION MEDIANTE NOMBRAMIENTO ESTATUTARIO TEMPORAL DE INTERINIDAD, DE UNA PLAZA DE FACULTATIVO ESPECIALISTA DE AREA DE ANALISIS CLINICOS,  GAI TALAVERA REINA. SESCAM.</v>
      </c>
      <c r="J1950" s="3" t="s">
        <v>42</v>
      </c>
      <c r="K1950" s="3" t="s">
        <v>41</v>
      </c>
      <c r="L1950" s="3" t="s">
        <v>42</v>
      </c>
      <c r="M1950" s="3" t="s">
        <v>41</v>
      </c>
    </row>
    <row r="1951" spans="1:13" ht="183.95">
      <c r="A1951" s="22" t="s">
        <v>23</v>
      </c>
      <c r="B1951" s="3" t="s">
        <v>6133</v>
      </c>
      <c r="C1951" s="3" t="s">
        <v>6134</v>
      </c>
      <c r="D1951" s="3" t="s">
        <v>95</v>
      </c>
      <c r="E1951" s="3" t="s">
        <v>46</v>
      </c>
      <c r="F1951" s="3" t="s">
        <v>6081</v>
      </c>
      <c r="G1951" s="3" t="s">
        <v>6090</v>
      </c>
      <c r="H1951" s="3" t="s">
        <v>6135</v>
      </c>
      <c r="I1951" s="3" t="str">
        <f>HYPERLINK("http://www.jccm.es/sede/tramite/JC2","PROCESOS DE SELECCION DEL PERSONAL ESTATUTARIO FIJO DE LAS INSTITUCIONES SANITARIAS DEL SERVICIO DE SALUD DE CASTILLA-LA MANCHA.")</f>
        <v>PROCESOS DE SELECCION DEL PERSONAL ESTATUTARIO FIJO DE LAS INSTITUCIONES SANITARIAS DEL SERVICIO DE SALUD DE CASTILLA-LA MANCHA.</v>
      </c>
      <c r="J1951" s="3" t="s">
        <v>42</v>
      </c>
      <c r="K1951" s="3" t="s">
        <v>41</v>
      </c>
      <c r="L1951" s="3" t="s">
        <v>42</v>
      </c>
      <c r="M1951" s="3" t="s">
        <v>41</v>
      </c>
    </row>
    <row r="1952" spans="1:13" ht="172.5">
      <c r="A1952" s="22" t="s">
        <v>23</v>
      </c>
      <c r="B1952" s="3" t="s">
        <v>6136</v>
      </c>
      <c r="C1952" s="3" t="s">
        <v>6137</v>
      </c>
      <c r="D1952" s="3" t="s">
        <v>95</v>
      </c>
      <c r="E1952" s="3" t="s">
        <v>46</v>
      </c>
      <c r="F1952" s="3" t="s">
        <v>6081</v>
      </c>
      <c r="G1952" s="3" t="s">
        <v>6090</v>
      </c>
      <c r="H1952" s="3" t="s">
        <v>6138</v>
      </c>
      <c r="I1952" s="3" t="str">
        <f>HYPERLINK("http://www.jccm.es/sede/tramite/KWA","SUBSANACION DE SOLICITUDES PRESENTADAS PARA PARTICIPAR EN LOS PROCESOS SELECTIVOS DE PERSONAL ESTATUTARIO FIJO DEL SESCAM")</f>
        <v>SUBSANACION DE SOLICITUDES PRESENTADAS PARA PARTICIPAR EN LOS PROCESOS SELECTIVOS DE PERSONAL ESTATUTARIO FIJO DEL SESCAM</v>
      </c>
      <c r="J1952" s="3" t="s">
        <v>42</v>
      </c>
      <c r="K1952" s="3" t="s">
        <v>41</v>
      </c>
      <c r="L1952" s="3" t="s">
        <v>42</v>
      </c>
      <c r="M1952" s="3" t="s">
        <v>41</v>
      </c>
    </row>
    <row r="1953" spans="1:13" ht="114.95">
      <c r="A1953" s="22" t="s">
        <v>23</v>
      </c>
      <c r="B1953" s="3" t="s">
        <v>6139</v>
      </c>
      <c r="C1953" s="3" t="s">
        <v>6140</v>
      </c>
      <c r="D1953" s="3" t="s">
        <v>45</v>
      </c>
      <c r="E1953" s="3" t="s">
        <v>46</v>
      </c>
      <c r="F1953" s="3" t="s">
        <v>6081</v>
      </c>
      <c r="G1953" s="3" t="s">
        <v>6090</v>
      </c>
      <c r="H1953" s="3" t="s">
        <v>6141</v>
      </c>
      <c r="I1953" s="3" t="str">
        <f>HYPERLINK("http://www.jccm.es/sede/tramite/KR1","SOLICITUD DE EXCLUSION TEMPORAL VOLUNTARIA")</f>
        <v>SOLICITUD DE EXCLUSION TEMPORAL VOLUNTARIA</v>
      </c>
      <c r="J1953" s="3" t="s">
        <v>42</v>
      </c>
      <c r="K1953" s="3" t="s">
        <v>41</v>
      </c>
      <c r="L1953" s="3" t="s">
        <v>42</v>
      </c>
      <c r="M1953" s="3" t="s">
        <v>41</v>
      </c>
    </row>
    <row r="1954" spans="1:13" ht="114.95">
      <c r="A1954" s="22" t="s">
        <v>23</v>
      </c>
      <c r="B1954" s="3" t="s">
        <v>6142</v>
      </c>
      <c r="C1954" s="3" t="s">
        <v>6143</v>
      </c>
      <c r="D1954" s="3" t="s">
        <v>45</v>
      </c>
      <c r="E1954" s="3" t="s">
        <v>46</v>
      </c>
      <c r="F1954" s="3" t="s">
        <v>6081</v>
      </c>
      <c r="G1954" s="3" t="s">
        <v>6090</v>
      </c>
      <c r="H1954" s="3" t="s">
        <v>6144</v>
      </c>
      <c r="I1954" s="3" t="str">
        <f>HYPERLINK("http://www.jccm.es/sede/tramite/KR3","SOLICITUD DE REINGRESO TRAS EXCLUSION TEMPORAL EN BOLSA DE TRABAJO")</f>
        <v>SOLICITUD DE REINGRESO TRAS EXCLUSION TEMPORAL EN BOLSA DE TRABAJO</v>
      </c>
      <c r="J1954" s="3" t="s">
        <v>42</v>
      </c>
      <c r="K1954" s="3" t="s">
        <v>41</v>
      </c>
      <c r="L1954" s="3" t="s">
        <v>42</v>
      </c>
      <c r="M1954" s="3" t="s">
        <v>41</v>
      </c>
    </row>
    <row r="1955" spans="1:13" ht="114.95">
      <c r="A1955" s="22" t="s">
        <v>23</v>
      </c>
      <c r="B1955" s="3" t="s">
        <v>6145</v>
      </c>
      <c r="C1955" s="3" t="s">
        <v>6146</v>
      </c>
      <c r="D1955" s="3" t="s">
        <v>45</v>
      </c>
      <c r="E1955" s="3" t="s">
        <v>46</v>
      </c>
      <c r="F1955" s="3" t="s">
        <v>6081</v>
      </c>
      <c r="G1955" s="3" t="s">
        <v>6090</v>
      </c>
      <c r="H1955" s="3" t="s">
        <v>6147</v>
      </c>
      <c r="I1955" s="3" t="str">
        <f>HYPERLINK("http://www.jccm.es/sede/tramite/KR2","SOLICITUD DE SUSPENSION TEMPORAL")</f>
        <v>SOLICITUD DE SUSPENSION TEMPORAL</v>
      </c>
      <c r="J1955" s="3" t="s">
        <v>41</v>
      </c>
      <c r="K1955" s="3" t="s">
        <v>41</v>
      </c>
      <c r="L1955" s="3" t="s">
        <v>42</v>
      </c>
      <c r="M1955" s="3" t="s">
        <v>41</v>
      </c>
    </row>
    <row r="1956" spans="1:13" ht="114.95">
      <c r="A1956" s="22" t="s">
        <v>23</v>
      </c>
      <c r="B1956" s="3" t="s">
        <v>6148</v>
      </c>
      <c r="C1956" s="3" t="s">
        <v>6149</v>
      </c>
      <c r="D1956" s="3" t="s">
        <v>45</v>
      </c>
      <c r="E1956" s="3" t="s">
        <v>46</v>
      </c>
      <c r="F1956" s="3" t="s">
        <v>6081</v>
      </c>
      <c r="G1956" s="3" t="s">
        <v>6090</v>
      </c>
      <c r="H1956" s="3" t="s">
        <v>6150</v>
      </c>
      <c r="I1956" s="3" t="str">
        <f>HYPERLINK("http://www.jccm.es/sede/tramite/KR4","SOLICITUD DE REINGRESO TRAS SUSPENSION TEMPORAL / NO DISPONIBILIDAD")</f>
        <v>SOLICITUD DE REINGRESO TRAS SUSPENSION TEMPORAL / NO DISPONIBILIDAD</v>
      </c>
      <c r="J1956" s="3" t="s">
        <v>42</v>
      </c>
      <c r="K1956" s="3" t="s">
        <v>41</v>
      </c>
      <c r="L1956" s="3" t="s">
        <v>42</v>
      </c>
      <c r="M1956" s="3" t="s">
        <v>41</v>
      </c>
    </row>
    <row r="1957" spans="1:13" ht="69">
      <c r="A1957" s="22" t="s">
        <v>23</v>
      </c>
      <c r="B1957" s="3" t="s">
        <v>6151</v>
      </c>
      <c r="C1957" s="3" t="s">
        <v>6152</v>
      </c>
      <c r="D1957" s="3" t="s">
        <v>45</v>
      </c>
      <c r="E1957" s="3" t="s">
        <v>46</v>
      </c>
      <c r="F1957" s="3" t="s">
        <v>6081</v>
      </c>
      <c r="G1957" s="3" t="s">
        <v>6081</v>
      </c>
      <c r="H1957" s="3" t="s">
        <v>6153</v>
      </c>
      <c r="I1957" s="3" t="str">
        <f>HYPERLINK("http://www.jccm.es/sede/tramite/KXK","SOLICITUD DE NO DISPONIBILIDAD")</f>
        <v>SOLICITUD DE NO DISPONIBILIDAD</v>
      </c>
      <c r="J1957" s="3" t="s">
        <v>41</v>
      </c>
      <c r="K1957" s="3" t="s">
        <v>41</v>
      </c>
      <c r="L1957" s="3" t="s">
        <v>42</v>
      </c>
      <c r="M1957" s="3" t="s">
        <v>41</v>
      </c>
    </row>
    <row r="1958" spans="1:13" ht="138">
      <c r="A1958" s="22" t="s">
        <v>23</v>
      </c>
      <c r="B1958" s="3" t="s">
        <v>6154</v>
      </c>
      <c r="C1958" s="3" t="s">
        <v>6155</v>
      </c>
      <c r="D1958" s="3" t="s">
        <v>45</v>
      </c>
      <c r="E1958" s="3" t="s">
        <v>46</v>
      </c>
      <c r="F1958" s="3" t="s">
        <v>6081</v>
      </c>
      <c r="G1958" s="3" t="s">
        <v>6090</v>
      </c>
      <c r="H1958" s="3" t="s">
        <v>6156</v>
      </c>
      <c r="I1958" s="3" t="str">
        <f>HYPERLINK("http://www.jccm.es/sede/tramite/L00","SOLICITUD DE RECLAMACION Y/O SUBSANACION A LOS LISTADOS PROVISIONALES DE LA BOLSA DE TRABAJO DEL SESCAM")</f>
        <v>SOLICITUD DE RECLAMACION Y/O SUBSANACION A LOS LISTADOS PROVISIONALES DE LA BOLSA DE TRABAJO DEL SESCAM</v>
      </c>
      <c r="J1958" s="3" t="s">
        <v>41</v>
      </c>
      <c r="K1958" s="3" t="s">
        <v>41</v>
      </c>
      <c r="L1958" s="3" t="s">
        <v>42</v>
      </c>
      <c r="M1958" s="3" t="s">
        <v>41</v>
      </c>
    </row>
    <row r="1959" spans="1:13" ht="114.95">
      <c r="A1959" s="22" t="s">
        <v>23</v>
      </c>
      <c r="B1959" s="3" t="s">
        <v>6157</v>
      </c>
      <c r="C1959" s="3" t="s">
        <v>6158</v>
      </c>
      <c r="D1959" s="3" t="s">
        <v>45</v>
      </c>
      <c r="E1959" s="3" t="s">
        <v>46</v>
      </c>
      <c r="F1959" s="3" t="s">
        <v>6081</v>
      </c>
      <c r="G1959" s="3" t="s">
        <v>6090</v>
      </c>
      <c r="H1959" s="3" t="s">
        <v>6159</v>
      </c>
      <c r="I1959" s="3" t="str">
        <f>HYPERLINK("http://www.jccm.es/sede/tramite/JC1","PROCESOS DE SELECCION DE PERSONAL TEMPORAL DE IISS DEL SESCAM (BOLSAS DE TRABAJO)")</f>
        <v>PROCESOS DE SELECCION DE PERSONAL TEMPORAL DE IISS DEL SESCAM (BOLSAS DE TRABAJO)</v>
      </c>
      <c r="J1959" s="3" t="s">
        <v>42</v>
      </c>
      <c r="K1959" s="3" t="s">
        <v>41</v>
      </c>
      <c r="L1959" s="3" t="s">
        <v>42</v>
      </c>
      <c r="M1959" s="3" t="s">
        <v>41</v>
      </c>
    </row>
    <row r="1960" spans="1:13" ht="183.95">
      <c r="A1960" s="22" t="s">
        <v>23</v>
      </c>
      <c r="B1960" s="3" t="s">
        <v>6160</v>
      </c>
      <c r="C1960" s="3" t="s">
        <v>6161</v>
      </c>
      <c r="D1960" s="3" t="s">
        <v>45</v>
      </c>
      <c r="E1960" s="3" t="s">
        <v>46</v>
      </c>
      <c r="F1960" s="3" t="s">
        <v>6081</v>
      </c>
      <c r="G1960" s="3" t="s">
        <v>6162</v>
      </c>
      <c r="H1960" s="3" t="s">
        <v>6163</v>
      </c>
      <c r="I1960" s="3" t="str">
        <f>HYPERLINK("http://www.jccm.es/sede/tramite/LX8","SOLICITUD PROVISION DE JEFATURA DE CARACTER ASISTENCIAL DEL SESCAM. JEFATURA DE SERVICIO DE PEDIATRIA. GAI DE ALCAZAR DE SAN JUAN")</f>
        <v>SOLICITUD PROVISION DE JEFATURA DE CARACTER ASISTENCIAL DEL SESCAM. JEFATURA DE SERVICIO DE PEDIATRIA. GAI DE ALCAZAR DE SAN JUAN</v>
      </c>
      <c r="J1960" s="3" t="s">
        <v>42</v>
      </c>
      <c r="K1960" s="3" t="s">
        <v>41</v>
      </c>
      <c r="L1960" s="3" t="s">
        <v>42</v>
      </c>
      <c r="M1960" s="3" t="s">
        <v>41</v>
      </c>
    </row>
    <row r="1961" spans="1:13" ht="230.1">
      <c r="A1961" s="22" t="s">
        <v>23</v>
      </c>
      <c r="B1961" s="3" t="s">
        <v>6164</v>
      </c>
      <c r="C1961" s="3" t="s">
        <v>6165</v>
      </c>
      <c r="D1961" s="3" t="s">
        <v>45</v>
      </c>
      <c r="E1961" s="3" t="s">
        <v>46</v>
      </c>
      <c r="F1961" s="3" t="s">
        <v>6081</v>
      </c>
      <c r="G1961" s="3" t="s">
        <v>6166</v>
      </c>
      <c r="H1961" s="3" t="s">
        <v>6167</v>
      </c>
      <c r="I1961" s="3" t="str">
        <f>HYPERLINK("http://www.jccm.es/sede/tramite/LY8","PROVISION DE JEFATURA DE CARACTER ASISTENCIAL DEL SERVICIO DE SALUD DE CASILLA-LA MANCHA. JEFATURA DE SECCION DE NEUROLOGIA. GERENCIA DE ATENCION INTEGRADA ALBACETE.")</f>
        <v>PROVISION DE JEFATURA DE CARACTER ASISTENCIAL DEL SERVICIO DE SALUD DE CASILLA-LA MANCHA. JEFATURA DE SECCION DE NEUROLOGIA. GERENCIA DE ATENCION INTEGRADA ALBACETE.</v>
      </c>
      <c r="J1961" s="3" t="s">
        <v>41</v>
      </c>
      <c r="K1961" s="3" t="s">
        <v>41</v>
      </c>
      <c r="L1961" s="3" t="s">
        <v>42</v>
      </c>
      <c r="M1961" s="3" t="s">
        <v>41</v>
      </c>
    </row>
    <row r="1962" spans="1:13" ht="114.95">
      <c r="A1962" s="22" t="s">
        <v>23</v>
      </c>
      <c r="B1962" s="3" t="s">
        <v>6168</v>
      </c>
      <c r="C1962" s="3" t="s">
        <v>6169</v>
      </c>
      <c r="D1962" s="3" t="s">
        <v>374</v>
      </c>
      <c r="E1962" s="3" t="s">
        <v>37</v>
      </c>
      <c r="F1962" s="3" t="s">
        <v>6081</v>
      </c>
      <c r="G1962" s="3" t="s">
        <v>6094</v>
      </c>
      <c r="H1962" s="3" t="s">
        <v>6170</v>
      </c>
      <c r="I1962" s="3" t="str">
        <f>HYPERLINK("http://www.jccm.es/sede/tramite/IU1","SEGUNDA OPINION MEDICA")</f>
        <v>SEGUNDA OPINION MEDICA</v>
      </c>
      <c r="J1962" s="3" t="s">
        <v>42</v>
      </c>
      <c r="K1962" s="3" t="s">
        <v>41</v>
      </c>
      <c r="L1962" s="3" t="s">
        <v>42</v>
      </c>
      <c r="M1962" s="3" t="s">
        <v>41</v>
      </c>
    </row>
    <row r="1963" spans="1:13" ht="69">
      <c r="A1963" s="22" t="s">
        <v>23</v>
      </c>
      <c r="B1963" s="3" t="s">
        <v>6171</v>
      </c>
      <c r="C1963" s="3" t="s">
        <v>6172</v>
      </c>
      <c r="D1963" s="3" t="s">
        <v>1655</v>
      </c>
      <c r="E1963" s="3" t="s">
        <v>95</v>
      </c>
      <c r="F1963" s="3" t="s">
        <v>6081</v>
      </c>
      <c r="G1963" s="3" t="s">
        <v>6081</v>
      </c>
      <c r="H1963" s="3" t="s">
        <v>6173</v>
      </c>
      <c r="I1963" s="3" t="str">
        <f>HYPERLINK("http://www.jccm.es/sede/tramite/JBZ","CITA PREVIA CON SU MEDICO DE CABECERA, PEDIATRA O ENFERMERO")</f>
        <v>CITA PREVIA CON SU MEDICO DE CABECERA, PEDIATRA O ENFERMERO</v>
      </c>
      <c r="J1963" s="3" t="s">
        <v>41</v>
      </c>
      <c r="K1963" s="3" t="s">
        <v>41</v>
      </c>
      <c r="L1963" s="3" t="s">
        <v>41</v>
      </c>
      <c r="M1963" s="3" t="s">
        <v>41</v>
      </c>
    </row>
    <row r="1964" spans="1:13" ht="69">
      <c r="A1964" s="22" t="s">
        <v>23</v>
      </c>
      <c r="B1964" s="3" t="s">
        <v>6174</v>
      </c>
      <c r="C1964" s="3" t="s">
        <v>6175</v>
      </c>
      <c r="D1964" s="3" t="s">
        <v>51</v>
      </c>
      <c r="E1964" s="3" t="s">
        <v>37</v>
      </c>
      <c r="F1964" s="3" t="s">
        <v>6081</v>
      </c>
      <c r="G1964" s="3" t="s">
        <v>6081</v>
      </c>
      <c r="H1964" s="3" t="s">
        <v>6176</v>
      </c>
      <c r="I1964" s="3" t="str">
        <f>HYPERLINK("http://www.jccm.es/sede/tramite/JI1","TARJETA SANITARIA INDIVIDUAL")</f>
        <v>TARJETA SANITARIA INDIVIDUAL</v>
      </c>
      <c r="J1964" s="3" t="s">
        <v>41</v>
      </c>
      <c r="K1964" s="3" t="s">
        <v>41</v>
      </c>
      <c r="L1964" s="3" t="s">
        <v>41</v>
      </c>
      <c r="M1964" s="3" t="s">
        <v>41</v>
      </c>
    </row>
    <row r="1965" spans="1:13" ht="103.5">
      <c r="A1965" s="22" t="s">
        <v>23</v>
      </c>
      <c r="B1965" s="3" t="s">
        <v>6177</v>
      </c>
      <c r="C1965" s="3" t="s">
        <v>6178</v>
      </c>
      <c r="D1965" s="3" t="s">
        <v>3632</v>
      </c>
      <c r="E1965" s="3" t="s">
        <v>37</v>
      </c>
      <c r="F1965" s="3" t="s">
        <v>6081</v>
      </c>
      <c r="G1965" s="3" t="s">
        <v>6179</v>
      </c>
      <c r="H1965" s="3" t="s">
        <v>6180</v>
      </c>
      <c r="I1965" s="3" t="str">
        <f>HYPERLINK("http://www.jccm.es/sede/tramite/K34","CONVENIO ESPECIAL ASISTENCIA SANIT. A PERSONAS QUE NO TENGAN LA CONDICION DE ASEGURADAS NI BENEFICIARIAS A EFECTOS DE LA ASISTENCIA SANIT. A TRAVES DEL SISTEMA NACIONAL DE SALUD.")</f>
        <v>CONVENIO ESPECIAL ASISTENCIA SANIT. A PERSONAS QUE NO TENGAN LA CONDICION DE ASEGURADAS NI BENEFICIARIAS A EFECTOS DE LA ASISTENCIA SANIT. A TRAVES DEL SISTEMA NACIONAL DE SALUD.</v>
      </c>
      <c r="J1965" s="3" t="s">
        <v>42</v>
      </c>
      <c r="K1965" s="3" t="s">
        <v>41</v>
      </c>
      <c r="L1965" s="3" t="s">
        <v>42</v>
      </c>
      <c r="M1965" s="3" t="s">
        <v>41</v>
      </c>
    </row>
    <row r="1966" spans="1:13" ht="149.44999999999999">
      <c r="A1966" s="22" t="s">
        <v>23</v>
      </c>
      <c r="B1966" s="3" t="s">
        <v>6181</v>
      </c>
      <c r="C1966" s="3" t="s">
        <v>6182</v>
      </c>
      <c r="D1966" s="3" t="s">
        <v>45</v>
      </c>
      <c r="E1966" s="3" t="s">
        <v>37</v>
      </c>
      <c r="F1966" s="3" t="s">
        <v>6081</v>
      </c>
      <c r="G1966" s="3" t="s">
        <v>6081</v>
      </c>
      <c r="H1966" s="3" t="s">
        <v>6183</v>
      </c>
      <c r="I1966" s="3" t="str">
        <f>HYPERLINK("http://www.jccm.es/sede/tramite/KCP","SOLICITUD DE LIBRE ELECCION EN EL AMBITO DE LA ATENCION PRIMARIA.")</f>
        <v>SOLICITUD DE LIBRE ELECCION EN EL AMBITO DE LA ATENCION PRIMARIA.</v>
      </c>
      <c r="J1966" s="3" t="s">
        <v>42</v>
      </c>
      <c r="K1966" s="3" t="s">
        <v>41</v>
      </c>
      <c r="L1966" s="3" t="s">
        <v>42</v>
      </c>
      <c r="M1966" s="3" t="s">
        <v>41</v>
      </c>
    </row>
    <row r="1967" spans="1:13" ht="149.44999999999999">
      <c r="A1967" s="22" t="s">
        <v>23</v>
      </c>
      <c r="B1967" s="3" t="s">
        <v>6184</v>
      </c>
      <c r="C1967" s="3" t="s">
        <v>6185</v>
      </c>
      <c r="D1967" s="3" t="s">
        <v>45</v>
      </c>
      <c r="E1967" s="3" t="s">
        <v>37</v>
      </c>
      <c r="F1967" s="3" t="s">
        <v>6081</v>
      </c>
      <c r="G1967" s="3" t="s">
        <v>6081</v>
      </c>
      <c r="H1967" s="3" t="s">
        <v>6186</v>
      </c>
      <c r="I1967" s="3" t="str">
        <f>HYPERLINK("http://www.jccm.es/sede/tramite/KCU","SOLICITUD DE LIBRE ELECCION EN EL AMBITO DE LA ATENCION ESPECIALIZADA.")</f>
        <v>SOLICITUD DE LIBRE ELECCION EN EL AMBITO DE LA ATENCION ESPECIALIZADA.</v>
      </c>
      <c r="J1967" s="3" t="s">
        <v>42</v>
      </c>
      <c r="K1967" s="3" t="s">
        <v>41</v>
      </c>
      <c r="L1967" s="3" t="s">
        <v>42</v>
      </c>
      <c r="M1967" s="3" t="s">
        <v>41</v>
      </c>
    </row>
    <row r="1968" spans="1:13" ht="114.95">
      <c r="A1968" s="22" t="s">
        <v>23</v>
      </c>
      <c r="B1968" s="3" t="s">
        <v>6187</v>
      </c>
      <c r="C1968" s="3" t="s">
        <v>6188</v>
      </c>
      <c r="D1968" s="3" t="s">
        <v>6189</v>
      </c>
      <c r="E1968" s="3" t="s">
        <v>37</v>
      </c>
      <c r="F1968" s="3" t="s">
        <v>6081</v>
      </c>
      <c r="G1968" s="3" t="s">
        <v>6094</v>
      </c>
      <c r="H1968" s="3" t="s">
        <v>6190</v>
      </c>
      <c r="I1968" s="3" t="str">
        <f>HYPERLINK("http://www.jccm.es/sede/tramite/KZS","AUTORIZACION PREVIA ASISTENCIA SANITARIA TRANSFRONTERIZA")</f>
        <v>AUTORIZACION PREVIA ASISTENCIA SANITARIA TRANSFRONTERIZA</v>
      </c>
      <c r="J1968" s="3" t="s">
        <v>42</v>
      </c>
      <c r="K1968" s="3" t="s">
        <v>41</v>
      </c>
      <c r="L1968" s="3" t="s">
        <v>42</v>
      </c>
      <c r="M1968" s="3" t="s">
        <v>41</v>
      </c>
    </row>
    <row r="1969" spans="1:13" ht="149.44999999999999">
      <c r="A1969" s="22" t="s">
        <v>23</v>
      </c>
      <c r="B1969" s="3" t="s">
        <v>6191</v>
      </c>
      <c r="C1969" s="3" t="s">
        <v>6192</v>
      </c>
      <c r="D1969" s="3" t="s">
        <v>45</v>
      </c>
      <c r="E1969" s="3" t="s">
        <v>46</v>
      </c>
      <c r="F1969" s="3" t="s">
        <v>6081</v>
      </c>
      <c r="G1969" s="3" t="s">
        <v>6094</v>
      </c>
      <c r="H1969" s="3" t="s">
        <v>6193</v>
      </c>
      <c r="I1969" s="3" t="str">
        <f>HYPERLINK("http://www.jccm.es/sede/tramite/L7I","PROCEDIMIENTO DE ADHESION Y DE BAJA DE ESTABLECIMIENTOS DISPENSADORES DE MATERIAL ORTOPROTESICO EN CASTILLA-LA MANCHA.")</f>
        <v>PROCEDIMIENTO DE ADHESION Y DE BAJA DE ESTABLECIMIENTOS DISPENSADORES DE MATERIAL ORTOPROTESICO EN CASTILLA-LA MANCHA.</v>
      </c>
      <c r="J1969" s="3" t="s">
        <v>42</v>
      </c>
      <c r="K1969" s="3" t="s">
        <v>41</v>
      </c>
      <c r="L1969" s="3" t="s">
        <v>42</v>
      </c>
      <c r="M1969" s="3" t="s">
        <v>41</v>
      </c>
    </row>
    <row r="1970" spans="1:13" ht="149.44999999999999">
      <c r="A1970" s="22" t="s">
        <v>23</v>
      </c>
      <c r="B1970" s="3" t="s">
        <v>6194</v>
      </c>
      <c r="C1970" s="3" t="s">
        <v>6195</v>
      </c>
      <c r="D1970" s="3" t="s">
        <v>51</v>
      </c>
      <c r="E1970" s="3" t="s">
        <v>37</v>
      </c>
      <c r="F1970" s="3" t="s">
        <v>6081</v>
      </c>
      <c r="G1970" s="3" t="s">
        <v>6082</v>
      </c>
      <c r="H1970" s="3" t="s">
        <v>6196</v>
      </c>
      <c r="I1970" s="3" t="str">
        <f>HYPERLINK("http://www.jccm.es/sede/tramite/KKO","COMUNICACION DE MODIFICACION DE REQUISITOS PARA LA INCLUSION EN EL SISTEMA SANITARIO PUBLICO DE CASTILLA-LA MANCHA")</f>
        <v>COMUNICACION DE MODIFICACION DE REQUISITOS PARA LA INCLUSION EN EL SISTEMA SANITARIO PUBLICO DE CASTILLA-LA MANCHA</v>
      </c>
      <c r="J1970" s="3" t="s">
        <v>42</v>
      </c>
      <c r="K1970" s="3" t="s">
        <v>41</v>
      </c>
      <c r="L1970" s="3" t="s">
        <v>42</v>
      </c>
      <c r="M1970" s="3" t="s">
        <v>41</v>
      </c>
    </row>
    <row r="1971" spans="1:13" ht="103.5">
      <c r="A1971" s="22" t="s">
        <v>23</v>
      </c>
      <c r="B1971" s="3" t="s">
        <v>6197</v>
      </c>
      <c r="C1971" s="3" t="s">
        <v>6198</v>
      </c>
      <c r="D1971" s="3" t="s">
        <v>51</v>
      </c>
      <c r="E1971" s="3" t="s">
        <v>37</v>
      </c>
      <c r="F1971" s="3" t="s">
        <v>6081</v>
      </c>
      <c r="G1971" s="3" t="s">
        <v>6082</v>
      </c>
      <c r="H1971" s="3" t="s">
        <v>6199</v>
      </c>
      <c r="I1971" s="3" t="str">
        <f>HYPERLINK("http://www.jccm.es/sede/tramite/KKN","SOLICITUD DE TARJETA PARA LA ATENCION SANITARIA EN EL SESCAM")</f>
        <v>SOLICITUD DE TARJETA PARA LA ATENCION SANITARIA EN EL SESCAM</v>
      </c>
      <c r="J1971" s="3" t="s">
        <v>42</v>
      </c>
      <c r="K1971" s="3" t="s">
        <v>41</v>
      </c>
      <c r="L1971" s="3" t="s">
        <v>42</v>
      </c>
      <c r="M1971" s="3" t="s">
        <v>41</v>
      </c>
    </row>
    <row r="1972" spans="1:13" ht="114.95">
      <c r="A1972" s="22" t="s">
        <v>23</v>
      </c>
      <c r="B1972" s="3" t="s">
        <v>6200</v>
      </c>
      <c r="C1972" s="3" t="s">
        <v>6201</v>
      </c>
      <c r="D1972" s="3" t="s">
        <v>45</v>
      </c>
      <c r="E1972" s="3" t="s">
        <v>46</v>
      </c>
      <c r="F1972" s="3" t="s">
        <v>6081</v>
      </c>
      <c r="G1972" s="3" t="s">
        <v>6094</v>
      </c>
      <c r="H1972" s="3" t="s">
        <v>6202</v>
      </c>
      <c r="I1972" s="3" t="str">
        <f>HYPERLINK("http://www.jccm.es/sede/tramite/KZL","REINTEGRO DE GASTOS POR ASISTENCIA SANITARIA TRANSFRONTERIZA")</f>
        <v>REINTEGRO DE GASTOS POR ASISTENCIA SANITARIA TRANSFRONTERIZA</v>
      </c>
      <c r="J1972" s="3" t="s">
        <v>42</v>
      </c>
      <c r="K1972" s="3" t="s">
        <v>41</v>
      </c>
      <c r="L1972" s="3" t="s">
        <v>42</v>
      </c>
      <c r="M1972" s="3" t="s">
        <v>41</v>
      </c>
    </row>
    <row r="1973" spans="1:13" ht="114.95">
      <c r="A1973" s="22" t="s">
        <v>23</v>
      </c>
      <c r="B1973" s="3" t="s">
        <v>6203</v>
      </c>
      <c r="C1973" s="3" t="s">
        <v>6204</v>
      </c>
      <c r="D1973" s="3" t="s">
        <v>45</v>
      </c>
      <c r="E1973" s="3" t="s">
        <v>46</v>
      </c>
      <c r="F1973" s="3" t="s">
        <v>6081</v>
      </c>
      <c r="G1973" s="3" t="s">
        <v>6094</v>
      </c>
      <c r="H1973" s="3" t="s">
        <v>6205</v>
      </c>
      <c r="I1973" s="3" t="str">
        <f>HYPERLINK("http://www.jccm.es/sede/tramite/ISY","REINTEGRO DE GASTOS POR ASISTENCIA SANITARIA URGENTE, INMEDIATA Y DE CARACTER VITAL.")</f>
        <v>REINTEGRO DE GASTOS POR ASISTENCIA SANITARIA URGENTE, INMEDIATA Y DE CARACTER VITAL.</v>
      </c>
      <c r="J1973" s="3" t="s">
        <v>42</v>
      </c>
      <c r="K1973" s="3" t="s">
        <v>41</v>
      </c>
      <c r="L1973" s="3" t="s">
        <v>42</v>
      </c>
      <c r="M1973" s="3" t="s">
        <v>41</v>
      </c>
    </row>
    <row r="1974" spans="1:13" ht="114.95">
      <c r="A1974" s="22" t="s">
        <v>23</v>
      </c>
      <c r="B1974" s="3" t="s">
        <v>6206</v>
      </c>
      <c r="C1974" s="3" t="s">
        <v>6207</v>
      </c>
      <c r="D1974" s="3" t="s">
        <v>45</v>
      </c>
      <c r="E1974" s="3" t="s">
        <v>46</v>
      </c>
      <c r="F1974" s="3" t="s">
        <v>6081</v>
      </c>
      <c r="G1974" s="3" t="s">
        <v>6094</v>
      </c>
      <c r="H1974" s="3" t="s">
        <v>6208</v>
      </c>
      <c r="I1974" s="3" t="str">
        <f>HYPERLINK("http://www.jccm.es/sede/tramite/ISV","REINTEGRO DE GASTOS POR PRESTACION ORTOPROTESICA")</f>
        <v>REINTEGRO DE GASTOS POR PRESTACION ORTOPROTESICA</v>
      </c>
      <c r="J1974" s="3" t="s">
        <v>42</v>
      </c>
      <c r="K1974" s="3" t="s">
        <v>41</v>
      </c>
      <c r="L1974" s="3" t="s">
        <v>42</v>
      </c>
      <c r="M1974" s="3" t="s">
        <v>41</v>
      </c>
    </row>
    <row r="1975" spans="1:13" ht="114.95">
      <c r="A1975" s="22" t="s">
        <v>23</v>
      </c>
      <c r="B1975" s="3" t="s">
        <v>6209</v>
      </c>
      <c r="C1975" s="3" t="s">
        <v>6210</v>
      </c>
      <c r="D1975" s="3" t="s">
        <v>45</v>
      </c>
      <c r="E1975" s="3" t="s">
        <v>46</v>
      </c>
      <c r="F1975" s="3" t="s">
        <v>6081</v>
      </c>
      <c r="G1975" s="3" t="s">
        <v>6094</v>
      </c>
      <c r="H1975" s="3" t="s">
        <v>6211</v>
      </c>
      <c r="I1975" s="3" t="str">
        <f>HYPERLINK("http://www.jccm.es/sede/tramite/JC3","REINTEGRO DE GASTOS POR SALUD BUCODENTAL")</f>
        <v>REINTEGRO DE GASTOS POR SALUD BUCODENTAL</v>
      </c>
      <c r="J1975" s="3" t="s">
        <v>42</v>
      </c>
      <c r="K1975" s="3" t="s">
        <v>41</v>
      </c>
      <c r="L1975" s="3" t="s">
        <v>42</v>
      </c>
      <c r="M1975" s="3" t="s">
        <v>41</v>
      </c>
    </row>
    <row r="1976" spans="1:13" ht="218.45">
      <c r="A1976" s="22" t="s">
        <v>23</v>
      </c>
      <c r="B1976" s="3" t="s">
        <v>6212</v>
      </c>
      <c r="C1976" s="3" t="s">
        <v>6213</v>
      </c>
      <c r="D1976" s="3" t="s">
        <v>45</v>
      </c>
      <c r="E1976" s="3" t="s">
        <v>46</v>
      </c>
      <c r="F1976" s="3" t="s">
        <v>6081</v>
      </c>
      <c r="G1976" s="3" t="s">
        <v>6081</v>
      </c>
      <c r="H1976" s="3" t="s">
        <v>6214</v>
      </c>
      <c r="I1976" s="3" t="str">
        <f>HYPERLINK("http://www.jccm.es/sede/tramite/L2R","REINTEGRO DE GASTOS POR ADQUISICION DE MEDICAMENTOS Y EFECTOS Y ACCESORIOS PARA PACIENTES MENORES DE EDAD AFECTADOS POR DISCAPACIDAD IGUAL O SUPERIOR AL 33%.")</f>
        <v>REINTEGRO DE GASTOS POR ADQUISICION DE MEDICAMENTOS Y EFECTOS Y ACCESORIOS PARA PACIENTES MENORES DE EDAD AFECTADOS POR DISCAPACIDAD IGUAL O SUPERIOR AL 33%.</v>
      </c>
      <c r="J1976" s="3" t="s">
        <v>42</v>
      </c>
      <c r="K1976" s="3" t="s">
        <v>41</v>
      </c>
      <c r="L1976" s="3" t="s">
        <v>42</v>
      </c>
      <c r="M1976" s="3" t="s">
        <v>41</v>
      </c>
    </row>
    <row r="1977" spans="1:13" ht="126.6">
      <c r="A1977" s="22" t="s">
        <v>23</v>
      </c>
      <c r="B1977" s="3" t="s">
        <v>6215</v>
      </c>
      <c r="C1977" s="3" t="s">
        <v>6216</v>
      </c>
      <c r="D1977" s="3" t="s">
        <v>45</v>
      </c>
      <c r="E1977" s="3" t="s">
        <v>46</v>
      </c>
      <c r="F1977" s="3" t="s">
        <v>6081</v>
      </c>
      <c r="G1977" s="3" t="s">
        <v>6081</v>
      </c>
      <c r="H1977" s="3" t="s">
        <v>6217</v>
      </c>
      <c r="I1977" s="3" t="str">
        <f>HYPERLINK("http://www.jccm.es/sede/tramite/L88","PROCEDIMIENTO DE REINTEGRO DE GASTOS POR ATENCION PODOLOGICA DEL PIE DIABETICO (QUIROPODIA BASICA)")</f>
        <v>PROCEDIMIENTO DE REINTEGRO DE GASTOS POR ATENCION PODOLOGICA DEL PIE DIABETICO (QUIROPODIA BASICA)</v>
      </c>
      <c r="J1977" s="3" t="s">
        <v>42</v>
      </c>
      <c r="K1977" s="3" t="s">
        <v>41</v>
      </c>
      <c r="L1977" s="3" t="s">
        <v>42</v>
      </c>
      <c r="M1977" s="3" t="s">
        <v>41</v>
      </c>
    </row>
    <row r="1978" spans="1:13" ht="114.95">
      <c r="A1978" s="22" t="s">
        <v>23</v>
      </c>
      <c r="B1978" s="3" t="s">
        <v>6218</v>
      </c>
      <c r="C1978" s="3" t="s">
        <v>6219</v>
      </c>
      <c r="D1978" s="3" t="s">
        <v>327</v>
      </c>
      <c r="E1978" s="3" t="s">
        <v>46</v>
      </c>
      <c r="F1978" s="3" t="s">
        <v>6081</v>
      </c>
      <c r="G1978" s="3" t="s">
        <v>6094</v>
      </c>
      <c r="H1978" s="3" t="s">
        <v>6220</v>
      </c>
      <c r="I1978" s="3" t="str">
        <f>HYPERLINK("http://www.jccm.es/sede/tramite/JCY","REINTEGRO DE GASTOS POR APORTACIONES EN LA PRESTACION FARMACEUTICA AMBULATORIA")</f>
        <v>REINTEGRO DE GASTOS POR APORTACIONES EN LA PRESTACION FARMACEUTICA AMBULATORIA</v>
      </c>
      <c r="J1978" s="3" t="s">
        <v>42</v>
      </c>
      <c r="K1978" s="3" t="s">
        <v>41</v>
      </c>
      <c r="L1978" s="3" t="s">
        <v>42</v>
      </c>
      <c r="M1978" s="3" t="s">
        <v>41</v>
      </c>
    </row>
    <row r="1979" spans="1:13" ht="149.44999999999999">
      <c r="A1979" s="22" t="s">
        <v>23</v>
      </c>
      <c r="B1979" s="3" t="s">
        <v>6221</v>
      </c>
      <c r="C1979" s="3" t="s">
        <v>6222</v>
      </c>
      <c r="D1979" s="3" t="s">
        <v>6223</v>
      </c>
      <c r="E1979" s="3" t="s">
        <v>46</v>
      </c>
      <c r="F1979" s="3" t="s">
        <v>6081</v>
      </c>
      <c r="G1979" s="3" t="s">
        <v>6081</v>
      </c>
      <c r="H1979" s="3" t="s">
        <v>6224</v>
      </c>
      <c r="I1979" s="3" t="str">
        <f>HYPERLINK("http://www.jccm.es/sede/tramite/JPE","EXENCION DE JORNADA COMPLEMENTARIA EN HORARIO DE ATENCION CONTINUADA POR GUARDIAS DEL PERSONAL DE II.SS DEL SESCAM")</f>
        <v>EXENCION DE JORNADA COMPLEMENTARIA EN HORARIO DE ATENCION CONTINUADA POR GUARDIAS DEL PERSONAL DE II.SS DEL SESCAM</v>
      </c>
      <c r="J1979" s="3" t="s">
        <v>41</v>
      </c>
      <c r="K1979" s="3" t="s">
        <v>41</v>
      </c>
      <c r="L1979" s="3" t="s">
        <v>41</v>
      </c>
      <c r="M1979" s="3" t="s">
        <v>41</v>
      </c>
    </row>
    <row r="1980" spans="1:13" ht="92.1">
      <c r="A1980" s="22" t="s">
        <v>23</v>
      </c>
      <c r="B1980" s="3" t="s">
        <v>6225</v>
      </c>
      <c r="C1980" s="3" t="s">
        <v>6226</v>
      </c>
      <c r="D1980" s="3" t="s">
        <v>6223</v>
      </c>
      <c r="E1980" s="3" t="s">
        <v>46</v>
      </c>
      <c r="F1980" s="3" t="s">
        <v>6081</v>
      </c>
      <c r="G1980" s="3" t="s">
        <v>6081</v>
      </c>
      <c r="H1980" s="3" t="s">
        <v>6227</v>
      </c>
      <c r="I1980" s="3" t="str">
        <f>HYPERLINK("http://www.jccm.es/sede/tramite/JPF","DECLARACION DE SITUACIONES ADMINISTRATIVAS PERSONAL IISS SESCAM")</f>
        <v>DECLARACION DE SITUACIONES ADMINISTRATIVAS PERSONAL IISS SESCAM</v>
      </c>
      <c r="J1980" s="3" t="s">
        <v>41</v>
      </c>
      <c r="K1980" s="3" t="s">
        <v>41</v>
      </c>
      <c r="L1980" s="3" t="s">
        <v>41</v>
      </c>
      <c r="M1980" s="3" t="s">
        <v>41</v>
      </c>
    </row>
    <row r="1981" spans="1:13" ht="103.5">
      <c r="A1981" s="22" t="s">
        <v>23</v>
      </c>
      <c r="B1981" s="3" t="s">
        <v>6228</v>
      </c>
      <c r="C1981" s="3" t="s">
        <v>6229</v>
      </c>
      <c r="D1981" s="3" t="s">
        <v>6223</v>
      </c>
      <c r="E1981" s="3" t="s">
        <v>46</v>
      </c>
      <c r="F1981" s="3" t="s">
        <v>6081</v>
      </c>
      <c r="G1981" s="3" t="s">
        <v>6081</v>
      </c>
      <c r="H1981" s="3" t="s">
        <v>6230</v>
      </c>
      <c r="I1981" s="3" t="str">
        <f>HYPERLINK("http://www.jccm.es/sede/tramite/JPG","RECONOCIMIENTO DE SERVICIOS PREVIOS DEL PERSONAL DE INSTITUCIONES SANITARIAS DEL SESCAM.")</f>
        <v>RECONOCIMIENTO DE SERVICIOS PREVIOS DEL PERSONAL DE INSTITUCIONES SANITARIAS DEL SESCAM.</v>
      </c>
      <c r="J1981" s="3" t="s">
        <v>41</v>
      </c>
      <c r="K1981" s="3" t="s">
        <v>41</v>
      </c>
      <c r="L1981" s="3" t="s">
        <v>41</v>
      </c>
      <c r="M1981" s="3" t="s">
        <v>41</v>
      </c>
    </row>
    <row r="1982" spans="1:13" ht="161.1">
      <c r="A1982" s="22" t="s">
        <v>23</v>
      </c>
      <c r="B1982" s="3" t="s">
        <v>6231</v>
      </c>
      <c r="C1982" s="3" t="s">
        <v>6232</v>
      </c>
      <c r="D1982" s="3" t="s">
        <v>6233</v>
      </c>
      <c r="E1982" s="3" t="s">
        <v>46</v>
      </c>
      <c r="F1982" s="3" t="s">
        <v>6081</v>
      </c>
      <c r="G1982" s="3" t="s">
        <v>6081</v>
      </c>
      <c r="H1982" s="3" t="s">
        <v>6234</v>
      </c>
      <c r="I1982" s="3" t="str">
        <f>HYPERLINK("http://www.jccm.es/sede/tramite/JPH","ANTICIPOS DE RETRIBUCIONES AL PERSONAL ESTATUTARIO DEL SESCAM.")</f>
        <v>ANTICIPOS DE RETRIBUCIONES AL PERSONAL ESTATUTARIO DEL SESCAM.</v>
      </c>
      <c r="J1982" s="3" t="s">
        <v>42</v>
      </c>
      <c r="K1982" s="3" t="s">
        <v>41</v>
      </c>
      <c r="L1982" s="3" t="s">
        <v>41</v>
      </c>
      <c r="M1982" s="3" t="s">
        <v>41</v>
      </c>
    </row>
    <row r="1983" spans="1:13" ht="126.6">
      <c r="A1983" s="22" t="s">
        <v>23</v>
      </c>
      <c r="B1983" s="3" t="s">
        <v>6235</v>
      </c>
      <c r="C1983" s="3" t="s">
        <v>6236</v>
      </c>
      <c r="D1983" s="3" t="s">
        <v>45</v>
      </c>
      <c r="E1983" s="3" t="s">
        <v>46</v>
      </c>
      <c r="F1983" s="3" t="s">
        <v>6081</v>
      </c>
      <c r="G1983" s="3" t="s">
        <v>6081</v>
      </c>
      <c r="H1983" s="3" t="s">
        <v>6237</v>
      </c>
      <c r="I1983" s="3" t="str">
        <f>HYPERLINK("http://www.jccm.es/sede/tramite/JPI","AUTORIZACION DE COMPATIBILIDAD PARA SEGUNDA ACTIVIDAD PUBLICA DEL PERSONAL DE II.SS. DEL SESCAM")</f>
        <v>AUTORIZACION DE COMPATIBILIDAD PARA SEGUNDA ACTIVIDAD PUBLICA DEL PERSONAL DE II.SS. DEL SESCAM</v>
      </c>
      <c r="J1983" s="3" t="s">
        <v>42</v>
      </c>
      <c r="K1983" s="3" t="s">
        <v>41</v>
      </c>
      <c r="L1983" s="3" t="s">
        <v>42</v>
      </c>
      <c r="M1983" s="3" t="s">
        <v>41</v>
      </c>
    </row>
    <row r="1984" spans="1:13" ht="114.95">
      <c r="A1984" s="22" t="s">
        <v>23</v>
      </c>
      <c r="B1984" s="3" t="s">
        <v>6238</v>
      </c>
      <c r="C1984" s="3" t="s">
        <v>6239</v>
      </c>
      <c r="D1984" s="3" t="s">
        <v>51</v>
      </c>
      <c r="E1984" s="3" t="s">
        <v>46</v>
      </c>
      <c r="F1984" s="3" t="s">
        <v>6081</v>
      </c>
      <c r="G1984" s="3" t="s">
        <v>6081</v>
      </c>
      <c r="H1984" s="3" t="s">
        <v>6240</v>
      </c>
      <c r="I1984" s="3" t="str">
        <f>HYPERLINK("http://www.jccm.es/sede/tramite/JPK","AUTORIZACION DE COMPATIBILIDAD PARA SEGUNDA ACTIVIDAD PRIVADA DEL PERSONAL DE IISS DEL SESCAM.")</f>
        <v>AUTORIZACION DE COMPATIBILIDAD PARA SEGUNDA ACTIVIDAD PRIVADA DEL PERSONAL DE IISS DEL SESCAM.</v>
      </c>
      <c r="J1984" s="3" t="s">
        <v>42</v>
      </c>
      <c r="K1984" s="3" t="s">
        <v>41</v>
      </c>
      <c r="L1984" s="3" t="s">
        <v>42</v>
      </c>
      <c r="M1984" s="3" t="s">
        <v>41</v>
      </c>
    </row>
    <row r="1985" spans="1:13" ht="69">
      <c r="A1985" s="22" t="s">
        <v>23</v>
      </c>
      <c r="B1985" s="3" t="s">
        <v>6241</v>
      </c>
      <c r="C1985" s="3" t="s">
        <v>6242</v>
      </c>
      <c r="D1985" s="3" t="s">
        <v>45</v>
      </c>
      <c r="E1985" s="3" t="s">
        <v>46</v>
      </c>
      <c r="F1985" s="3" t="s">
        <v>6081</v>
      </c>
      <c r="G1985" s="3" t="s">
        <v>6081</v>
      </c>
      <c r="H1985" s="3" t="s">
        <v>6243</v>
      </c>
      <c r="I1985" s="3" t="str">
        <f>HYPERLINK("http://www.jccm.es/sede/tramite/JPL","REINGRESO AL SERVICIO ACTIVO.")</f>
        <v>REINGRESO AL SERVICIO ACTIVO.</v>
      </c>
      <c r="J1985" s="3" t="s">
        <v>42</v>
      </c>
      <c r="K1985" s="3" t="s">
        <v>41</v>
      </c>
      <c r="L1985" s="3" t="s">
        <v>42</v>
      </c>
      <c r="M1985" s="3" t="s">
        <v>41</v>
      </c>
    </row>
    <row r="1986" spans="1:13" ht="126.6">
      <c r="A1986" s="22" t="s">
        <v>23</v>
      </c>
      <c r="B1986" s="3" t="s">
        <v>6244</v>
      </c>
      <c r="C1986" s="3" t="s">
        <v>6245</v>
      </c>
      <c r="D1986" s="3" t="s">
        <v>6223</v>
      </c>
      <c r="E1986" s="3" t="s">
        <v>46</v>
      </c>
      <c r="F1986" s="3" t="s">
        <v>6081</v>
      </c>
      <c r="G1986" s="3" t="s">
        <v>6081</v>
      </c>
      <c r="H1986" s="3" t="s">
        <v>6246</v>
      </c>
      <c r="I1986" s="3" t="str">
        <f>HYPERLINK("http://www.jccm.es/sede/tramite/JOQ","AUTORIZACION DE COMISIONES DE SERVICIO Y SUS PRORROGAS EL PERSONAL DE IISS DEL SECAM")</f>
        <v>AUTORIZACION DE COMISIONES DE SERVICIO Y SUS PRORROGAS EL PERSONAL DE IISS DEL SECAM</v>
      </c>
      <c r="J1986" s="3" t="s">
        <v>41</v>
      </c>
      <c r="K1986" s="3" t="s">
        <v>41</v>
      </c>
      <c r="L1986" s="3" t="s">
        <v>41</v>
      </c>
      <c r="M1986" s="3" t="s">
        <v>41</v>
      </c>
    </row>
    <row r="1987" spans="1:13" ht="138">
      <c r="A1987" s="22" t="s">
        <v>23</v>
      </c>
      <c r="B1987" s="3" t="s">
        <v>6247</v>
      </c>
      <c r="C1987" s="3" t="s">
        <v>6248</v>
      </c>
      <c r="D1987" s="3" t="s">
        <v>6249</v>
      </c>
      <c r="E1987" s="3" t="s">
        <v>46</v>
      </c>
      <c r="F1987" s="3" t="s">
        <v>6081</v>
      </c>
      <c r="G1987" s="3" t="s">
        <v>6081</v>
      </c>
      <c r="H1987" s="3" t="s">
        <v>6250</v>
      </c>
      <c r="I1987" s="3" t="str">
        <f>HYPERLINK("http://www.jccm.es/sede/tramite/KDO","SOLICITUD DE ADMISION A LA CONVOCATORIA DE PROVISION DE JEFATURAS DE CARACTER ASISTENCIAL DEL SERVICIO DE SALUD DE CASTILLA-LA MANCHA (SESCAM)")</f>
        <v>SOLICITUD DE ADMISION A LA CONVOCATORIA DE PROVISION DE JEFATURAS DE CARACTER ASISTENCIAL DEL SERVICIO DE SALUD DE CASTILLA-LA MANCHA (SESCAM)</v>
      </c>
      <c r="J1987" s="3" t="s">
        <v>41</v>
      </c>
      <c r="K1987" s="3" t="s">
        <v>41</v>
      </c>
      <c r="L1987" s="3" t="s">
        <v>42</v>
      </c>
      <c r="M1987" s="3" t="s">
        <v>41</v>
      </c>
    </row>
    <row r="1988" spans="1:13" ht="161.1">
      <c r="A1988" s="22" t="s">
        <v>23</v>
      </c>
      <c r="B1988" s="3" t="s">
        <v>6251</v>
      </c>
      <c r="C1988" s="3" t="s">
        <v>6252</v>
      </c>
      <c r="D1988" s="3" t="s">
        <v>51</v>
      </c>
      <c r="E1988" s="3" t="s">
        <v>46</v>
      </c>
      <c r="F1988" s="3" t="s">
        <v>6081</v>
      </c>
      <c r="G1988" s="3" t="s">
        <v>6179</v>
      </c>
      <c r="H1988" s="3" t="s">
        <v>6253</v>
      </c>
      <c r="I1988" s="3" t="str">
        <f>HYPERLINK("http://www.jccm.es/sede/tramite/KCZ","PROVISION, POR EL PROCEDIMIENTO DE LIBRE DESIGNACION, DE PUESTO DE TRABAJO VACANTE EN LA ADMINISTRACION DE LA JUNTA DE COMUNIDADES DE CASTILLA-LA MANCHA (LD. SESCAM F2/2022).")</f>
        <v>PROVISION, POR EL PROCEDIMIENTO DE LIBRE DESIGNACION, DE PUESTO DE TRABAJO VACANTE EN LA ADMINISTRACION DE LA JUNTA DE COMUNIDADES DE CASTILLA-LA MANCHA (LD. SESCAM F2/2022).</v>
      </c>
      <c r="J1988" s="3" t="s">
        <v>41</v>
      </c>
      <c r="K1988" s="3" t="s">
        <v>41</v>
      </c>
      <c r="L1988" s="3" t="s">
        <v>42</v>
      </c>
      <c r="M1988" s="3" t="s">
        <v>41</v>
      </c>
    </row>
    <row r="1989" spans="1:13" ht="172.5">
      <c r="A1989" s="22" t="s">
        <v>23</v>
      </c>
      <c r="B1989" s="3" t="s">
        <v>6254</v>
      </c>
      <c r="C1989" s="3" t="s">
        <v>6255</v>
      </c>
      <c r="D1989" s="3" t="s">
        <v>700</v>
      </c>
      <c r="E1989" s="3" t="s">
        <v>46</v>
      </c>
      <c r="F1989" s="3" t="s">
        <v>6081</v>
      </c>
      <c r="G1989" s="3" t="s">
        <v>6082</v>
      </c>
      <c r="H1989" s="3" t="s">
        <v>6256</v>
      </c>
      <c r="I1989" s="3" t="str">
        <f>HYPERLINK("http://www.jccm.es/sede/tramite/KEL","PROVISION DE  PUESTOS DE PERSONAL DIRECTIVO DE LAS INSTITUCIONES SANITARIAS DEL SERVICIO DE SALUD DE CASTILLA-LA MANCHA 3/2022.")</f>
        <v>PROVISION DE  PUESTOS DE PERSONAL DIRECTIVO DE LAS INSTITUCIONES SANITARIAS DEL SERVICIO DE SALUD DE CASTILLA-LA MANCHA 3/2022.</v>
      </c>
      <c r="J1989" s="3" t="s">
        <v>42</v>
      </c>
      <c r="K1989" s="3" t="s">
        <v>41</v>
      </c>
      <c r="L1989" s="3" t="s">
        <v>42</v>
      </c>
      <c r="M1989" s="3" t="s">
        <v>41</v>
      </c>
    </row>
    <row r="1990" spans="1:13" ht="114.95">
      <c r="A1990" s="22" t="s">
        <v>23</v>
      </c>
      <c r="B1990" s="3" t="s">
        <v>6257</v>
      </c>
      <c r="C1990" s="3" t="s">
        <v>6258</v>
      </c>
      <c r="D1990" s="3" t="s">
        <v>62</v>
      </c>
      <c r="E1990" s="3" t="s">
        <v>37</v>
      </c>
      <c r="F1990" s="3" t="s">
        <v>6081</v>
      </c>
      <c r="G1990" s="3" t="s">
        <v>6090</v>
      </c>
      <c r="H1990" s="3" t="s">
        <v>6259</v>
      </c>
      <c r="I1990" s="3" t="str">
        <f>HYPERLINK("http://www.jccm.es/sede/tramite/K6N","TELETRABAJO DEL PERSONAL DE CENTROS E INSTITUCIONES SANITARIAS DEL SESCAM.")</f>
        <v>TELETRABAJO DEL PERSONAL DE CENTROS E INSTITUCIONES SANITARIAS DEL SESCAM.</v>
      </c>
      <c r="J1990" s="3" t="s">
        <v>42</v>
      </c>
      <c r="K1990" s="3" t="s">
        <v>41</v>
      </c>
      <c r="L1990" s="3" t="s">
        <v>42</v>
      </c>
      <c r="M1990" s="3" t="s">
        <v>41</v>
      </c>
    </row>
    <row r="1991" spans="1:13" ht="241.5">
      <c r="A1991" s="22" t="s">
        <v>23</v>
      </c>
      <c r="B1991" s="3" t="s">
        <v>6260</v>
      </c>
      <c r="C1991" s="3" t="s">
        <v>6261</v>
      </c>
      <c r="D1991" s="3" t="s">
        <v>95</v>
      </c>
      <c r="E1991" s="3" t="s">
        <v>95</v>
      </c>
      <c r="F1991" s="3" t="s">
        <v>6081</v>
      </c>
      <c r="G1991" s="3" t="s">
        <v>6082</v>
      </c>
      <c r="H1991" s="3" t="s">
        <v>6262</v>
      </c>
      <c r="I1991" s="3" t="str">
        <f>HYPERLINK("http://www.jccm.es/sede/tramite/KNO","AUTORIZACION PARA SOLICITAR CERTIFICACION DEL REGISTRO CENTRAL DE DELINCUENTES SEXUALES")</f>
        <v>AUTORIZACION PARA SOLICITAR CERTIFICACION DEL REGISTRO CENTRAL DE DELINCUENTES SEXUALES</v>
      </c>
      <c r="J1991" s="3" t="s">
        <v>41</v>
      </c>
      <c r="K1991" s="3" t="s">
        <v>41</v>
      </c>
      <c r="L1991" s="3" t="s">
        <v>42</v>
      </c>
      <c r="M1991" s="3" t="s">
        <v>41</v>
      </c>
    </row>
    <row r="1992" spans="1:13" ht="183.95">
      <c r="A1992" s="22" t="s">
        <v>23</v>
      </c>
      <c r="B1992" s="3" t="s">
        <v>6263</v>
      </c>
      <c r="C1992" s="3" t="s">
        <v>6264</v>
      </c>
      <c r="D1992" s="3" t="s">
        <v>6265</v>
      </c>
      <c r="E1992" s="3" t="s">
        <v>46</v>
      </c>
      <c r="F1992" s="3" t="s">
        <v>6081</v>
      </c>
      <c r="G1992" s="3" t="s">
        <v>6090</v>
      </c>
      <c r="H1992" s="3" t="s">
        <v>6266</v>
      </c>
      <c r="I1992" s="3" t="str">
        <f>HYPERLINK("http://www.jccm.es/sede/tramite/IJD","CONCURSO PERMANENTE PARA LA PROVISION DE PUESTOS DE TRABAJO DE LA ESCALA SUPERIOR DE SANITARIOS LOCALES, ESPECIALIDAD MEDICINA, DE LA ADMINISTRACION DE LA JUNTA DE COMUNIDADES DE CLM.")</f>
        <v>CONCURSO PERMANENTE PARA LA PROVISION DE PUESTOS DE TRABAJO DE LA ESCALA SUPERIOR DE SANITARIOS LOCALES, ESPECIALIDAD MEDICINA, DE LA ADMINISTRACION DE LA JUNTA DE COMUNIDADES DE CLM.</v>
      </c>
      <c r="J1992" s="3" t="s">
        <v>41</v>
      </c>
      <c r="K1992" s="3" t="s">
        <v>41</v>
      </c>
      <c r="L1992" s="3" t="s">
        <v>42</v>
      </c>
      <c r="M1992" s="3" t="s">
        <v>41</v>
      </c>
    </row>
    <row r="1993" spans="1:13" ht="172.5">
      <c r="A1993" s="22" t="s">
        <v>23</v>
      </c>
      <c r="B1993" s="3" t="s">
        <v>6267</v>
      </c>
      <c r="C1993" s="3" t="s">
        <v>6268</v>
      </c>
      <c r="D1993" s="3" t="s">
        <v>232</v>
      </c>
      <c r="E1993" s="3" t="s">
        <v>46</v>
      </c>
      <c r="F1993" s="3" t="s">
        <v>6081</v>
      </c>
      <c r="G1993" s="3" t="s">
        <v>6081</v>
      </c>
      <c r="H1993" s="3" t="s">
        <v>6269</v>
      </c>
      <c r="I1993" s="3" t="str">
        <f>HYPERLINK("http://www.jccm.es/sede/tramite/LKL","SUBSANACION DEFECTOS PROVISION DE PUESTOS DE TRABAJO POR EL SISTEMA DE CONCURSO DE TRASLADOS PERSONAL ESTATUTARIO (FACULTATIVO)")</f>
        <v>SUBSANACION DEFECTOS PROVISION DE PUESTOS DE TRABAJO POR EL SISTEMA DE CONCURSO DE TRASLADOS PERSONAL ESTATUTARIO (FACULTATIVO)</v>
      </c>
      <c r="J1993" s="3" t="s">
        <v>41</v>
      </c>
      <c r="K1993" s="3" t="s">
        <v>41</v>
      </c>
      <c r="L1993" s="3" t="s">
        <v>42</v>
      </c>
      <c r="M1993" s="3" t="s">
        <v>41</v>
      </c>
    </row>
    <row r="1994" spans="1:13" ht="230.1">
      <c r="A1994" s="22" t="s">
        <v>23</v>
      </c>
      <c r="B1994" s="3" t="s">
        <v>6270</v>
      </c>
      <c r="C1994" s="3" t="s">
        <v>6271</v>
      </c>
      <c r="D1994" s="3" t="s">
        <v>327</v>
      </c>
      <c r="E1994" s="3" t="s">
        <v>46</v>
      </c>
      <c r="F1994" s="3" t="s">
        <v>6081</v>
      </c>
      <c r="G1994" s="3" t="s">
        <v>6081</v>
      </c>
      <c r="H1994" s="3" t="s">
        <v>6272</v>
      </c>
      <c r="I1994" s="3" t="str">
        <f>HYPERLINK("http://www.jccm.es/sede/tramite/LKM","SUBSANACION DEFECTOS PROVISION DE PUESTOS DE TRABAJO POR EL SISTEMA DE CONCURSO DE TRASLADOS PERSONAL ESTATUTARIO PERSONAL SANITARIO DE GRADO, DIPLOMADO Y TECNICO Y PERSONAL DE GESTION Y SERVICIOS")</f>
        <v>SUBSANACION DEFECTOS PROVISION DE PUESTOS DE TRABAJO POR EL SISTEMA DE CONCURSO DE TRASLADOS PERSONAL ESTATUTARIO PERSONAL SANITARIO DE GRADO, DIPLOMADO Y TECNICO Y PERSONAL DE GESTION Y SERVICIOS</v>
      </c>
      <c r="J1994" s="3" t="s">
        <v>41</v>
      </c>
      <c r="K1994" s="3" t="s">
        <v>41</v>
      </c>
      <c r="L1994" s="3" t="s">
        <v>42</v>
      </c>
      <c r="M1994" s="3" t="s">
        <v>41</v>
      </c>
    </row>
    <row r="1995" spans="1:13" ht="218.45">
      <c r="A1995" s="22" t="s">
        <v>23</v>
      </c>
      <c r="B1995" s="3" t="s">
        <v>6273</v>
      </c>
      <c r="C1995" s="3" t="s">
        <v>6274</v>
      </c>
      <c r="D1995" s="3" t="s">
        <v>95</v>
      </c>
      <c r="E1995" s="3" t="s">
        <v>95</v>
      </c>
      <c r="F1995" s="3" t="s">
        <v>6081</v>
      </c>
      <c r="G1995" s="3" t="s">
        <v>6090</v>
      </c>
      <c r="H1995" s="3" t="s">
        <v>6275</v>
      </c>
      <c r="I1995" s="3" t="str">
        <f>HYPERLINK("http://www.jccm.es/sede/tramite/LLH","CONCURSO PERMANENTE PARA LA PROVISION DE PUESTOS DE TRABAJO DE LA ESCALA TECNICA DE SANITARIOS LOCALES DE LA JUNTA DE COMUNIDADES DE CASTILLA- LA MANCHA.")</f>
        <v>CONCURSO PERMANENTE PARA LA PROVISION DE PUESTOS DE TRABAJO DE LA ESCALA TECNICA DE SANITARIOS LOCALES DE LA JUNTA DE COMUNIDADES DE CASTILLA- LA MANCHA.</v>
      </c>
      <c r="J1995" s="3" t="s">
        <v>41</v>
      </c>
      <c r="K1995" s="3" t="s">
        <v>41</v>
      </c>
      <c r="L1995" s="3" t="s">
        <v>42</v>
      </c>
      <c r="M1995" s="3" t="s">
        <v>41</v>
      </c>
    </row>
    <row r="1996" spans="1:13" ht="195.6">
      <c r="A1996" s="22" t="s">
        <v>23</v>
      </c>
      <c r="B1996" s="3" t="s">
        <v>6276</v>
      </c>
      <c r="C1996" s="3" t="s">
        <v>6277</v>
      </c>
      <c r="D1996" s="3" t="s">
        <v>45</v>
      </c>
      <c r="E1996" s="3" t="s">
        <v>46</v>
      </c>
      <c r="F1996" s="3" t="s">
        <v>6081</v>
      </c>
      <c r="G1996" s="3" t="s">
        <v>6081</v>
      </c>
      <c r="H1996" s="3" t="s">
        <v>6278</v>
      </c>
      <c r="I1996" s="3" t="str">
        <f>HYPERLINK("http://www.jccm.es/sede/tramite/LOT","RECLAMACION CONTRA ACUERDO DE LA COMISION DE VALORACION SOBRE RESULTADO PROVISIONAL DE LA CONVOCATORIA DE JEFATURA DE SERVICIO DE DERMATOLOGIA MEDICO-QUIRURGICA Y VENEREOLOGIA. GAI DE ALBACETE")</f>
        <v>RECLAMACION CONTRA ACUERDO DE LA COMISION DE VALORACION SOBRE RESULTADO PROVISIONAL DE LA CONVOCATORIA DE JEFATURA DE SERVICIO DE DERMATOLOGIA MEDICO-QUIRURGICA Y VENEREOLOGIA. GAI DE ALBACETE</v>
      </c>
      <c r="J1996" s="3" t="s">
        <v>42</v>
      </c>
      <c r="K1996" s="3" t="s">
        <v>41</v>
      </c>
      <c r="L1996" s="3" t="s">
        <v>42</v>
      </c>
      <c r="M1996" s="3" t="s">
        <v>41</v>
      </c>
    </row>
    <row r="1997" spans="1:13" ht="149.44999999999999">
      <c r="A1997" s="22" t="s">
        <v>23</v>
      </c>
      <c r="B1997" s="3" t="s">
        <v>6279</v>
      </c>
      <c r="C1997" s="3" t="s">
        <v>6280</v>
      </c>
      <c r="D1997" s="3" t="s">
        <v>95</v>
      </c>
      <c r="E1997" s="3" t="s">
        <v>46</v>
      </c>
      <c r="F1997" s="3" t="s">
        <v>6081</v>
      </c>
      <c r="G1997" s="3" t="s">
        <v>6090</v>
      </c>
      <c r="H1997" s="3" t="s">
        <v>6281</v>
      </c>
      <c r="I1997" s="3" t="str">
        <f>HYPERLINK("http://www.jccm.es/sede/tramite/LS4","MOVILIDAD INTERNA VOLUNTARIA EN EL AMBITO DE LA ATENCION PRIMARIA DEL SERVICIO DE SALUD DE CASTILLA-LA MANCHA (SESCAM)")</f>
        <v>MOVILIDAD INTERNA VOLUNTARIA EN EL AMBITO DE LA ATENCION PRIMARIA DEL SERVICIO DE SALUD DE CASTILLA-LA MANCHA (SESCAM)</v>
      </c>
      <c r="J1997" s="3" t="s">
        <v>41</v>
      </c>
      <c r="K1997" s="3" t="s">
        <v>41</v>
      </c>
      <c r="L1997" s="3" t="s">
        <v>42</v>
      </c>
      <c r="M1997" s="3" t="s">
        <v>41</v>
      </c>
    </row>
    <row r="1998" spans="1:13" ht="149.44999999999999">
      <c r="A1998" s="22" t="s">
        <v>23</v>
      </c>
      <c r="B1998" s="3" t="s">
        <v>6282</v>
      </c>
      <c r="C1998" s="3" t="s">
        <v>6283</v>
      </c>
      <c r="D1998" s="3" t="s">
        <v>95</v>
      </c>
      <c r="E1998" s="3" t="s">
        <v>46</v>
      </c>
      <c r="F1998" s="3" t="s">
        <v>6081</v>
      </c>
      <c r="G1998" s="3" t="s">
        <v>6090</v>
      </c>
      <c r="H1998" s="3" t="s">
        <v>6284</v>
      </c>
      <c r="I1998" s="3" t="str">
        <f>HYPERLINK("http://www.jccm.es/sede/tramite/LS5","MOVILIDAD INTERNA VOLUNTARIA EN EL AMBITO DE LA GERENCIA DE URGENCIAS, EMERGENCIAS Y TRANSPORTE SANITARIO (GUETS)")</f>
        <v>MOVILIDAD INTERNA VOLUNTARIA EN EL AMBITO DE LA GERENCIA DE URGENCIAS, EMERGENCIAS Y TRANSPORTE SANITARIO (GUETS)</v>
      </c>
      <c r="J1998" s="3" t="s">
        <v>41</v>
      </c>
      <c r="K1998" s="3" t="s">
        <v>41</v>
      </c>
      <c r="L1998" s="3" t="s">
        <v>42</v>
      </c>
      <c r="M1998" s="3" t="s">
        <v>41</v>
      </c>
    </row>
    <row r="1999" spans="1:13" ht="195.6">
      <c r="A1999" s="22" t="s">
        <v>23</v>
      </c>
      <c r="B1999" s="3" t="s">
        <v>6285</v>
      </c>
      <c r="C1999" s="3" t="s">
        <v>6286</v>
      </c>
      <c r="D1999" s="3" t="s">
        <v>45</v>
      </c>
      <c r="E1999" s="3" t="s">
        <v>46</v>
      </c>
      <c r="F1999" s="3" t="s">
        <v>6081</v>
      </c>
      <c r="G1999" s="3" t="s">
        <v>6287</v>
      </c>
      <c r="H1999" s="3" t="s">
        <v>6288</v>
      </c>
      <c r="I1999" s="3" t="str">
        <f>HYPERLINK("http://www.jccm.es/sede/tramite/LZ0","PROVISION DE LA JEFATURA DE SECCION DE NEUROLOGIA  EN LA GERENCIA DE ATENCION ESPECIALIZADA DEL HOSPITAL NACIONAL DE PARAPLEJICOS. SESCAM")</f>
        <v>PROVISION DE LA JEFATURA DE SECCION DE NEUROLOGIA  EN LA GERENCIA DE ATENCION ESPECIALIZADA DEL HOSPITAL NACIONAL DE PARAPLEJICOS. SESCAM</v>
      </c>
      <c r="J1999" s="3" t="s">
        <v>41</v>
      </c>
      <c r="K1999" s="3" t="s">
        <v>41</v>
      </c>
      <c r="L1999" s="3" t="s">
        <v>42</v>
      </c>
      <c r="M1999" s="3" t="s">
        <v>41</v>
      </c>
    </row>
    <row r="2000" spans="1:13" ht="114.95">
      <c r="A2000" s="22" t="s">
        <v>23</v>
      </c>
      <c r="B2000" s="3" t="s">
        <v>6289</v>
      </c>
      <c r="C2000" s="3" t="s">
        <v>6290</v>
      </c>
      <c r="D2000" s="3" t="s">
        <v>327</v>
      </c>
      <c r="E2000" s="3" t="s">
        <v>46</v>
      </c>
      <c r="F2000" s="3" t="s">
        <v>6081</v>
      </c>
      <c r="G2000" s="3" t="s">
        <v>6081</v>
      </c>
      <c r="H2000" s="3" t="s">
        <v>6291</v>
      </c>
      <c r="I2000" s="3" t="str">
        <f>HYPERLINK("http://www.jccm.es/sede/tramite/KA2","PROCESOS DE PROVISION DEL PERSONAL  DE II.SS DEL SESCAM. PERSONAL FACULTATIVO.")</f>
        <v>PROCESOS DE PROVISION DEL PERSONAL  DE II.SS DEL SESCAM. PERSONAL FACULTATIVO.</v>
      </c>
      <c r="J2000" s="3" t="s">
        <v>42</v>
      </c>
      <c r="K2000" s="3" t="s">
        <v>41</v>
      </c>
      <c r="L2000" s="3" t="s">
        <v>42</v>
      </c>
      <c r="M2000" s="3" t="s">
        <v>41</v>
      </c>
    </row>
    <row r="2001" spans="1:13" ht="207">
      <c r="A2001" s="22" t="s">
        <v>23</v>
      </c>
      <c r="B2001" s="3" t="s">
        <v>6292</v>
      </c>
      <c r="C2001" s="3" t="s">
        <v>6293</v>
      </c>
      <c r="D2001" s="3" t="s">
        <v>327</v>
      </c>
      <c r="E2001" s="3" t="s">
        <v>46</v>
      </c>
      <c r="F2001" s="3" t="s">
        <v>6081</v>
      </c>
      <c r="G2001" s="3" t="s">
        <v>6090</v>
      </c>
      <c r="H2001" s="3" t="s">
        <v>6294</v>
      </c>
      <c r="I2001" s="3" t="str">
        <f>HYPERLINK("http://www.jccm.es/sede/tramite/L0Z","SOLICITUD SUBSANACION DE LOS DEFECTOS MOTIVO DE EXCLUSION EN EL CONCURSO DE TRASLADOS PARA LA PROVISION DE PLAZAS DE PERSONAL ESTATUTARIO DEL SESCAM")</f>
        <v>SOLICITUD SUBSANACION DE LOS DEFECTOS MOTIVO DE EXCLUSION EN EL CONCURSO DE TRASLADOS PARA LA PROVISION DE PLAZAS DE PERSONAL ESTATUTARIO DEL SESCAM</v>
      </c>
      <c r="J2001" s="3" t="s">
        <v>41</v>
      </c>
      <c r="K2001" s="3" t="s">
        <v>41</v>
      </c>
      <c r="L2001" s="3" t="s">
        <v>42</v>
      </c>
      <c r="M2001" s="3" t="s">
        <v>41</v>
      </c>
    </row>
    <row r="2002" spans="1:13" ht="138">
      <c r="A2002" s="22" t="s">
        <v>23</v>
      </c>
      <c r="B2002" s="3" t="s">
        <v>6295</v>
      </c>
      <c r="C2002" s="3" t="s">
        <v>6296</v>
      </c>
      <c r="D2002" s="3" t="s">
        <v>327</v>
      </c>
      <c r="E2002" s="3" t="s">
        <v>46</v>
      </c>
      <c r="F2002" s="3" t="s">
        <v>6081</v>
      </c>
      <c r="G2002" s="3" t="s">
        <v>6081</v>
      </c>
      <c r="H2002" s="3" t="s">
        <v>6297</v>
      </c>
      <c r="I2002" s="3" t="str">
        <f>HYPERLINK("http://www.jccm.es/sede/tramite/KWS","PROCESO DE PROVISION PERSONAL ESTATUTARIO FACULTATIVO ESPECIALISTA DE AREA Y ATENCION PRIMARIA")</f>
        <v>PROCESO DE PROVISION PERSONAL ESTATUTARIO FACULTATIVO ESPECIALISTA DE AREA Y ATENCION PRIMARIA</v>
      </c>
      <c r="J2002" s="3" t="s">
        <v>41</v>
      </c>
      <c r="K2002" s="3" t="s">
        <v>41</v>
      </c>
      <c r="L2002" s="3" t="s">
        <v>42</v>
      </c>
      <c r="M2002" s="3" t="s">
        <v>41</v>
      </c>
    </row>
    <row r="2003" spans="1:13" ht="161.1">
      <c r="A2003" s="22" t="s">
        <v>23</v>
      </c>
      <c r="B2003" s="3" t="s">
        <v>6298</v>
      </c>
      <c r="C2003" s="3" t="s">
        <v>6299</v>
      </c>
      <c r="D2003" s="3" t="s">
        <v>327</v>
      </c>
      <c r="E2003" s="3" t="s">
        <v>46</v>
      </c>
      <c r="F2003" s="3" t="s">
        <v>6081</v>
      </c>
      <c r="G2003" s="3" t="s">
        <v>6081</v>
      </c>
      <c r="H2003" s="3" t="s">
        <v>6300</v>
      </c>
      <c r="I2003" s="3" t="str">
        <f>HYPERLINK("http://www.jccm.es/sede/tramite/KWT","PROCESO DE PROVISION DE PERSONAL ESTATUTARIO SANITARIO DE GRADO/DIPLOMADO Y SANITARIO TECNICO Y GESTION Y SERVICIOS.")</f>
        <v>PROCESO DE PROVISION DE PERSONAL ESTATUTARIO SANITARIO DE GRADO/DIPLOMADO Y SANITARIO TECNICO Y GESTION Y SERVICIOS.</v>
      </c>
      <c r="J2003" s="3" t="s">
        <v>41</v>
      </c>
      <c r="K2003" s="3" t="s">
        <v>41</v>
      </c>
      <c r="L2003" s="3" t="s">
        <v>42</v>
      </c>
      <c r="M2003" s="3" t="s">
        <v>41</v>
      </c>
    </row>
    <row r="2004" spans="1:13" ht="241.5">
      <c r="A2004" s="22" t="s">
        <v>23</v>
      </c>
      <c r="B2004" s="3" t="s">
        <v>6301</v>
      </c>
      <c r="C2004" s="3" t="s">
        <v>6302</v>
      </c>
      <c r="D2004" s="3" t="s">
        <v>327</v>
      </c>
      <c r="E2004" s="3" t="s">
        <v>46</v>
      </c>
      <c r="F2004" s="3" t="s">
        <v>6081</v>
      </c>
      <c r="G2004" s="3" t="s">
        <v>6090</v>
      </c>
      <c r="H2004" s="3" t="s">
        <v>6303</v>
      </c>
      <c r="I2004" s="3" t="str">
        <f>HYPERLINK("http://www.jccm.es/sede/tramite/L3K","RECLAMACION CONTRA ADJUDICACION PROVISIONAL DE DESTINOS DEL CONCURSO DE TRASLADOS PERSONAL ESTATUTARIO DEL SESCAM, FACULTATIVO ESPECIALISTA DE AREA Y ATENCION PRIMARIA.")</f>
        <v>RECLAMACION CONTRA ADJUDICACION PROVISIONAL DE DESTINOS DEL CONCURSO DE TRASLADOS PERSONAL ESTATUTARIO DEL SESCAM, FACULTATIVO ESPECIALISTA DE AREA Y ATENCION PRIMARIA.</v>
      </c>
      <c r="J2004" s="3" t="s">
        <v>41</v>
      </c>
      <c r="K2004" s="3" t="s">
        <v>41</v>
      </c>
      <c r="L2004" s="3" t="s">
        <v>42</v>
      </c>
      <c r="M2004" s="3" t="s">
        <v>41</v>
      </c>
    </row>
    <row r="2005" spans="1:13" ht="276">
      <c r="A2005" s="22" t="s">
        <v>23</v>
      </c>
      <c r="B2005" s="3" t="s">
        <v>6304</v>
      </c>
      <c r="C2005" s="3" t="s">
        <v>6305</v>
      </c>
      <c r="D2005" s="3" t="s">
        <v>327</v>
      </c>
      <c r="E2005" s="3" t="s">
        <v>46</v>
      </c>
      <c r="F2005" s="3" t="s">
        <v>6081</v>
      </c>
      <c r="G2005" s="3" t="s">
        <v>6090</v>
      </c>
      <c r="H2005" s="3" t="s">
        <v>6306</v>
      </c>
      <c r="I2005" s="3" t="str">
        <f>HYPERLINK("http://www.jccm.es/sede/tramite/L76","RECLAMACION ADJUDICACION PROVISIONAL DE DESTINOS DEL CONCURSO DE TRASLADOS PARA LA PROVISION DE PLAZAS DE PERSONAL ESTATUTARIO SANITARIO NO FACULTATIVO Y PERSONAL DE GESTION Y SERVICIOS.")</f>
        <v>RECLAMACION ADJUDICACION PROVISIONAL DE DESTINOS DEL CONCURSO DE TRASLADOS PARA LA PROVISION DE PLAZAS DE PERSONAL ESTATUTARIO SANITARIO NO FACULTATIVO Y PERSONAL DE GESTION Y SERVICIOS.</v>
      </c>
      <c r="J2005" s="3" t="s">
        <v>41</v>
      </c>
      <c r="K2005" s="3" t="s">
        <v>41</v>
      </c>
      <c r="L2005" s="3" t="s">
        <v>42</v>
      </c>
      <c r="M2005" s="3" t="s">
        <v>41</v>
      </c>
    </row>
    <row r="2006" spans="1:13" ht="103.5">
      <c r="A2006" s="22" t="s">
        <v>23</v>
      </c>
      <c r="B2006" s="3" t="s">
        <v>6307</v>
      </c>
      <c r="C2006" s="3" t="s">
        <v>6308</v>
      </c>
      <c r="D2006" s="3" t="s">
        <v>95</v>
      </c>
      <c r="E2006" s="3" t="s">
        <v>46</v>
      </c>
      <c r="F2006" s="3" t="s">
        <v>6081</v>
      </c>
      <c r="G2006" s="3" t="s">
        <v>6081</v>
      </c>
      <c r="H2006" s="3" t="s">
        <v>6309</v>
      </c>
      <c r="I2006" s="3" t="str">
        <f>HYPERLINK("http://www.jccm.es/sede/tramite/L16","LISTADOS PROVISIONALES DE ADMITIDOS Y EXCLUIDOS CONCURSO PERSONAL ESTATUTARIO")</f>
        <v>LISTADOS PROVISIONALES DE ADMITIDOS Y EXCLUIDOS CONCURSO PERSONAL ESTATUTARIO</v>
      </c>
      <c r="J2006" s="3" t="s">
        <v>41</v>
      </c>
      <c r="K2006" s="3" t="s">
        <v>41</v>
      </c>
      <c r="L2006" s="3" t="s">
        <v>42</v>
      </c>
      <c r="M2006" s="3" t="s">
        <v>41</v>
      </c>
    </row>
    <row r="2007" spans="1:13" ht="218.45">
      <c r="A2007" s="22" t="s">
        <v>23</v>
      </c>
      <c r="B2007" s="3" t="s">
        <v>6310</v>
      </c>
      <c r="C2007" s="3" t="s">
        <v>6311</v>
      </c>
      <c r="D2007" s="3" t="s">
        <v>95</v>
      </c>
      <c r="E2007" s="3" t="s">
        <v>46</v>
      </c>
      <c r="F2007" s="3" t="s">
        <v>6081</v>
      </c>
      <c r="G2007" s="3" t="s">
        <v>6090</v>
      </c>
      <c r="H2007" s="3" t="s">
        <v>6312</v>
      </c>
      <c r="I2007" s="3" t="str">
        <f>HYPERLINK("http://www.jccm.es/sede/tramite/L1S","SOLICITUD DE SUBSANACION DE DEFECTOS A LA PROVISION DE PUESTOS DE PERSONAL ESTATUTARIO SANITARIO, NO FACULTATIVO Y PERSONAL DE GESTION Y SERVICIOS DEL SESCAM")</f>
        <v>SOLICITUD DE SUBSANACION DE DEFECTOS A LA PROVISION DE PUESTOS DE PERSONAL ESTATUTARIO SANITARIO, NO FACULTATIVO Y PERSONAL DE GESTION Y SERVICIOS DEL SESCAM</v>
      </c>
      <c r="J2007" s="3" t="s">
        <v>41</v>
      </c>
      <c r="K2007" s="3" t="s">
        <v>41</v>
      </c>
      <c r="L2007" s="3" t="s">
        <v>42</v>
      </c>
      <c r="M2007" s="3" t="s">
        <v>41</v>
      </c>
    </row>
    <row r="2008" spans="1:13" ht="230.1">
      <c r="A2008" s="22" t="s">
        <v>23</v>
      </c>
      <c r="B2008" s="3" t="s">
        <v>6313</v>
      </c>
      <c r="C2008" s="3" t="s">
        <v>6314</v>
      </c>
      <c r="D2008" s="3" t="s">
        <v>95</v>
      </c>
      <c r="E2008" s="3" t="s">
        <v>46</v>
      </c>
      <c r="F2008" s="3" t="s">
        <v>6081</v>
      </c>
      <c r="G2008" s="3" t="s">
        <v>6081</v>
      </c>
      <c r="H2008" s="3" t="s">
        <v>6315</v>
      </c>
      <c r="I2008" s="3" t="str">
        <f>HYPERLINK("http://www.jccm.es/sede/tramite/L2S","SUBSANACION  DE EXCLUSION EN EL CONCURSO DE TRASLADOS PARA LA PROVISION DE PLAZAS DE PERSONAL ESTATUTARIO DEL SESCAM NO FACULTATIVO CATEGORIA GESTION Y SERVICIOS")</f>
        <v>SUBSANACION  DE EXCLUSION EN EL CONCURSO DE TRASLADOS PARA LA PROVISION DE PLAZAS DE PERSONAL ESTATUTARIO DEL SESCAM NO FACULTATIVO CATEGORIA GESTION Y SERVICIOS</v>
      </c>
      <c r="J2008" s="3" t="s">
        <v>41</v>
      </c>
      <c r="K2008" s="3" t="s">
        <v>41</v>
      </c>
      <c r="L2008" s="3" t="s">
        <v>42</v>
      </c>
      <c r="M2008" s="3" t="s">
        <v>41</v>
      </c>
    </row>
    <row r="2009" spans="1:13" ht="264.60000000000002">
      <c r="A2009" s="22" t="s">
        <v>23</v>
      </c>
      <c r="B2009" s="3" t="s">
        <v>6316</v>
      </c>
      <c r="C2009" s="3" t="s">
        <v>6317</v>
      </c>
      <c r="D2009" s="3" t="s">
        <v>70</v>
      </c>
      <c r="E2009" s="3" t="s">
        <v>46</v>
      </c>
      <c r="F2009" s="3" t="s">
        <v>6081</v>
      </c>
      <c r="G2009" s="3" t="s">
        <v>6318</v>
      </c>
      <c r="H2009" s="3" t="s">
        <v>6319</v>
      </c>
      <c r="I2009" s="3" t="str">
        <f>HYPERLINK("http://www.jccm.es/sede/tramite/LHI","RECLAMACION A LA RELACION PROVISIONAL DE ADMITIDOS Y EXCLUIDOS APROBADA POR COMISION DE VALORACION PARA LA PROVISION DE LA JEFATURA DE Sº DE ANESTESIOLOGIA Y REANIMACION EN LA GAI DE CIUDAD REAL.")</f>
        <v>RECLAMACION A LA RELACION PROVISIONAL DE ADMITIDOS Y EXCLUIDOS APROBADA POR COMISION DE VALORACION PARA LA PROVISION DE LA JEFATURA DE Sº DE ANESTESIOLOGIA Y REANIMACION EN LA GAI DE CIUDAD REAL.</v>
      </c>
      <c r="J2009" s="3" t="s">
        <v>41</v>
      </c>
      <c r="K2009" s="3" t="s">
        <v>41</v>
      </c>
      <c r="L2009" s="3" t="s">
        <v>42</v>
      </c>
      <c r="M2009" s="3" t="s">
        <v>41</v>
      </c>
    </row>
    <row r="2010" spans="1:13" ht="241.5">
      <c r="A2010" s="22" t="s">
        <v>23</v>
      </c>
      <c r="B2010" s="3" t="s">
        <v>6320</v>
      </c>
      <c r="C2010" s="3" t="s">
        <v>6321</v>
      </c>
      <c r="D2010" s="3" t="s">
        <v>70</v>
      </c>
      <c r="E2010" s="3" t="s">
        <v>46</v>
      </c>
      <c r="F2010" s="3" t="s">
        <v>6081</v>
      </c>
      <c r="G2010" s="3" t="s">
        <v>6318</v>
      </c>
      <c r="H2010" s="3" t="s">
        <v>6322</v>
      </c>
      <c r="I2010" s="3" t="str">
        <f>HYPERLINK("http://www.jccm.es/sede/tramite/LHJ","RECLAMACION CONTRA EL ACUERDO PROVISIONAL DE LA COMISION DE VALORACION SOBRE EL RESULTADO PROVISIONAL DE LA CONVOCATORIA DE JEFE DE SERVICIO DE ANESTESIOLOGIA Y REANIMACION. GAI  DE CIUDAD REAL")</f>
        <v>RECLAMACION CONTRA EL ACUERDO PROVISIONAL DE LA COMISION DE VALORACION SOBRE EL RESULTADO PROVISIONAL DE LA CONVOCATORIA DE JEFE DE SERVICIO DE ANESTESIOLOGIA Y REANIMACION. GAI  DE CIUDAD REAL</v>
      </c>
      <c r="J2010" s="3" t="s">
        <v>41</v>
      </c>
      <c r="K2010" s="3" t="s">
        <v>41</v>
      </c>
      <c r="L2010" s="3" t="s">
        <v>42</v>
      </c>
      <c r="M2010" s="3" t="s">
        <v>41</v>
      </c>
    </row>
    <row r="2011" spans="1:13" ht="207">
      <c r="A2011" s="22" t="s">
        <v>23</v>
      </c>
      <c r="B2011" s="3" t="s">
        <v>6323</v>
      </c>
      <c r="C2011" s="3" t="s">
        <v>6324</v>
      </c>
      <c r="D2011" s="3" t="s">
        <v>45</v>
      </c>
      <c r="E2011" s="3" t="s">
        <v>46</v>
      </c>
      <c r="F2011" s="3" t="s">
        <v>6081</v>
      </c>
      <c r="G2011" s="3" t="s">
        <v>6287</v>
      </c>
      <c r="H2011" s="3" t="s">
        <v>6325</v>
      </c>
      <c r="I2011" s="3" t="str">
        <f>HYPERLINK("http://www.jccm.es/sede/tramite/LL0","RECLAMACION RELACION PROVISIONAL PERSONAS ADMITIDAS Y EXCLUIDAS APROBADA POR COMISION DE VALORACION PARA LA PROVISION JEFATURA DE SERVICIO DE NEUMOLOGIA. GAE HNP.")</f>
        <v>RECLAMACION RELACION PROVISIONAL PERSONAS ADMITIDAS Y EXCLUIDAS APROBADA POR COMISION DE VALORACION PARA LA PROVISION JEFATURA DE SERVICIO DE NEUMOLOGIA. GAE HNP.</v>
      </c>
      <c r="J2011" s="3" t="s">
        <v>41</v>
      </c>
      <c r="K2011" s="3" t="s">
        <v>41</v>
      </c>
      <c r="L2011" s="3" t="s">
        <v>42</v>
      </c>
      <c r="M2011" s="3" t="s">
        <v>41</v>
      </c>
    </row>
    <row r="2012" spans="1:13" ht="195.6">
      <c r="A2012" s="22" t="s">
        <v>23</v>
      </c>
      <c r="B2012" s="3" t="s">
        <v>6326</v>
      </c>
      <c r="C2012" s="3" t="s">
        <v>6327</v>
      </c>
      <c r="D2012" s="3" t="s">
        <v>45</v>
      </c>
      <c r="E2012" s="3" t="s">
        <v>46</v>
      </c>
      <c r="F2012" s="3" t="s">
        <v>6081</v>
      </c>
      <c r="G2012" s="3" t="s">
        <v>6287</v>
      </c>
      <c r="H2012" s="3" t="s">
        <v>6328</v>
      </c>
      <c r="I2012" s="3" t="str">
        <f>HYPERLINK("http://www.jccm.es/sede/tramite/LL1","RECLAMACION CONTRA EL ACUERDO PROVISIONAL COMISION DE VALORACION SOBRE EL RESULTADO PROVISIONAL  CONVOCATORIA DE JEFATURA DE SERVICIO DE NEUMOLOGIA. GAE  HNP.")</f>
        <v>RECLAMACION CONTRA EL ACUERDO PROVISIONAL COMISION DE VALORACION SOBRE EL RESULTADO PROVISIONAL  CONVOCATORIA DE JEFATURA DE SERVICIO DE NEUMOLOGIA. GAE  HNP.</v>
      </c>
      <c r="J2012" s="3" t="s">
        <v>41</v>
      </c>
      <c r="K2012" s="3" t="s">
        <v>41</v>
      </c>
      <c r="L2012" s="3" t="s">
        <v>42</v>
      </c>
      <c r="M2012" s="3" t="s">
        <v>41</v>
      </c>
    </row>
    <row r="2013" spans="1:13" ht="172.5">
      <c r="A2013" s="22" t="s">
        <v>23</v>
      </c>
      <c r="B2013" s="3" t="s">
        <v>6329</v>
      </c>
      <c r="C2013" s="3" t="s">
        <v>6330</v>
      </c>
      <c r="D2013" s="3" t="s">
        <v>70</v>
      </c>
      <c r="E2013" s="3" t="s">
        <v>46</v>
      </c>
      <c r="F2013" s="3" t="s">
        <v>6081</v>
      </c>
      <c r="G2013" s="3" t="s">
        <v>6287</v>
      </c>
      <c r="H2013" s="3" t="s">
        <v>6331</v>
      </c>
      <c r="I2013" s="3" t="str">
        <f>HYPERLINK("http://www.jccm.es/sede/tramite/LM3","SEGUNDA CONVOCATORIA JEFATURA DE SECCION DE MEDICINA FISICA Y REHABILITACION . GERENCIA DE HOSPITAL NACIONAL DE PARAPLEJICOS.")</f>
        <v>SEGUNDA CONVOCATORIA JEFATURA DE SECCION DE MEDICINA FISICA Y REHABILITACION . GERENCIA DE HOSPITAL NACIONAL DE PARAPLEJICOS.</v>
      </c>
      <c r="J2013" s="3" t="s">
        <v>41</v>
      </c>
      <c r="K2013" s="3" t="s">
        <v>41</v>
      </c>
      <c r="L2013" s="3" t="s">
        <v>42</v>
      </c>
      <c r="M2013" s="3" t="s">
        <v>41</v>
      </c>
    </row>
    <row r="2014" spans="1:13" ht="230.1">
      <c r="A2014" s="22" t="s">
        <v>23</v>
      </c>
      <c r="B2014" s="3" t="s">
        <v>6332</v>
      </c>
      <c r="C2014" s="3" t="s">
        <v>6333</v>
      </c>
      <c r="D2014" s="3" t="s">
        <v>70</v>
      </c>
      <c r="E2014" s="3" t="s">
        <v>46</v>
      </c>
      <c r="F2014" s="3" t="s">
        <v>6081</v>
      </c>
      <c r="G2014" s="3" t="s">
        <v>6287</v>
      </c>
      <c r="H2014" s="3" t="s">
        <v>6334</v>
      </c>
      <c r="I2014" s="3" t="str">
        <f>HYPERLINK("http://www.jccm.es/sede/tramite/LM4","RECLAMACION A  RELACION PROVISIONAL  ADMITIDOS/AS Y EXCLUIDOS/AS APROBADA POR COMISION DE VALORACION PARA LA  2ª PROVISION DE JEFE/A DE SECCION DE MED. FISICA Y REHABILITACION. HNP")</f>
        <v>RECLAMACION A  RELACION PROVISIONAL  ADMITIDOS/AS Y EXCLUIDOS/AS APROBADA POR COMISION DE VALORACION PARA LA  2ª PROVISION DE JEFE/A DE SECCION DE MED. FISICA Y REHABILITACION. HNP</v>
      </c>
      <c r="J2014" s="3" t="s">
        <v>41</v>
      </c>
      <c r="K2014" s="3" t="s">
        <v>41</v>
      </c>
      <c r="L2014" s="3" t="s">
        <v>42</v>
      </c>
      <c r="M2014" s="3" t="s">
        <v>41</v>
      </c>
    </row>
    <row r="2015" spans="1:13" ht="241.5">
      <c r="A2015" s="22" t="s">
        <v>23</v>
      </c>
      <c r="B2015" s="3" t="s">
        <v>6335</v>
      </c>
      <c r="C2015" s="3" t="s">
        <v>6336</v>
      </c>
      <c r="D2015" s="3" t="s">
        <v>70</v>
      </c>
      <c r="E2015" s="3" t="s">
        <v>46</v>
      </c>
      <c r="F2015" s="3" t="s">
        <v>6081</v>
      </c>
      <c r="G2015" s="3" t="s">
        <v>6287</v>
      </c>
      <c r="H2015" s="3" t="s">
        <v>6337</v>
      </c>
      <c r="I2015" s="3" t="str">
        <f>HYPERLINK("http://www.jccm.es/sede/tramite/LM5","RECLAMACION CONTRA EL ACUERDO PROVISIONAL DE COMISION DE VALORACION SOBRE RESULTADO PROVISIONAL DE CONVOCATORIA DE JEFE/A DE SECCION DE MED FISICA Y REHABILITACION H.N. PARAPLEJICOS.")</f>
        <v>RECLAMACION CONTRA EL ACUERDO PROVISIONAL DE COMISION DE VALORACION SOBRE RESULTADO PROVISIONAL DE CONVOCATORIA DE JEFE/A DE SECCION DE MED FISICA Y REHABILITACION H.N. PARAPLEJICOS.</v>
      </c>
      <c r="J2015" s="3" t="s">
        <v>41</v>
      </c>
      <c r="K2015" s="3" t="s">
        <v>41</v>
      </c>
      <c r="L2015" s="3" t="s">
        <v>42</v>
      </c>
      <c r="M2015" s="3" t="s">
        <v>41</v>
      </c>
    </row>
    <row r="2016" spans="1:13" ht="264.60000000000002">
      <c r="A2016" s="22" t="s">
        <v>23</v>
      </c>
      <c r="B2016" s="3" t="s">
        <v>6338</v>
      </c>
      <c r="C2016" s="3" t="s">
        <v>6339</v>
      </c>
      <c r="D2016" s="3" t="s">
        <v>70</v>
      </c>
      <c r="E2016" s="3" t="s">
        <v>46</v>
      </c>
      <c r="F2016" s="3" t="s">
        <v>6081</v>
      </c>
      <c r="G2016" s="3" t="s">
        <v>6162</v>
      </c>
      <c r="H2016" s="3" t="s">
        <v>6340</v>
      </c>
      <c r="I2016" s="3" t="str">
        <f>HYPERLINK("http://www.jccm.es/sede/tramite/LMW","PROVISION DE JEFATURA DE CARACTER ASISTENCIAL DEL SERVICIO DE SALUD DE CASTILLA LA MANCHA. JEFATURA DE SECCION DE OBSTETRICIA Y GINECOLOGIA. GERENCIA A. INTEGRADA DE ALCAZAR DE SAN JUAN (SESCAM)")</f>
        <v>PROVISION DE JEFATURA DE CARACTER ASISTENCIAL DEL SERVICIO DE SALUD DE CASTILLA LA MANCHA. JEFATURA DE SECCION DE OBSTETRICIA Y GINECOLOGIA. GERENCIA A. INTEGRADA DE ALCAZAR DE SAN JUAN (SESCAM)</v>
      </c>
      <c r="J2016" s="3" t="s">
        <v>41</v>
      </c>
      <c r="K2016" s="3" t="s">
        <v>41</v>
      </c>
      <c r="L2016" s="3" t="s">
        <v>42</v>
      </c>
      <c r="M2016" s="3" t="s">
        <v>41</v>
      </c>
    </row>
    <row r="2017" spans="1:13" ht="241.5">
      <c r="A2017" s="22" t="s">
        <v>23</v>
      </c>
      <c r="B2017" s="3" t="s">
        <v>6341</v>
      </c>
      <c r="C2017" s="3" t="s">
        <v>6342</v>
      </c>
      <c r="D2017" s="3" t="s">
        <v>70</v>
      </c>
      <c r="E2017" s="3" t="s">
        <v>46</v>
      </c>
      <c r="F2017" s="3" t="s">
        <v>6081</v>
      </c>
      <c r="G2017" s="3" t="s">
        <v>6162</v>
      </c>
      <c r="H2017" s="3" t="s">
        <v>6343</v>
      </c>
      <c r="I2017" s="3" t="str">
        <f>HYPERLINK("http://www.jccm.es/sede/tramite/LMX","RECLAMACION A LA RELACION PROVISIONAL DE PERSONAS ADMITIDAS Y EXCLUIDAS APROBADA POR COMISION VALORACION JEFATURA DE SECCION DE OBSTETRICIA Y GINECOLOGIA.GAI ALCAZAR DE SAN JUAN")</f>
        <v>RECLAMACION A LA RELACION PROVISIONAL DE PERSONAS ADMITIDAS Y EXCLUIDAS APROBADA POR COMISION VALORACION JEFATURA DE SECCION DE OBSTETRICIA Y GINECOLOGIA.GAI ALCAZAR DE SAN JUAN</v>
      </c>
      <c r="J2017" s="3" t="s">
        <v>42</v>
      </c>
      <c r="K2017" s="3" t="s">
        <v>41</v>
      </c>
      <c r="L2017" s="3" t="s">
        <v>42</v>
      </c>
      <c r="M2017" s="3" t="s">
        <v>41</v>
      </c>
    </row>
    <row r="2018" spans="1:13" ht="207">
      <c r="A2018" s="22" t="s">
        <v>23</v>
      </c>
      <c r="B2018" s="3" t="s">
        <v>6344</v>
      </c>
      <c r="C2018" s="3" t="s">
        <v>6345</v>
      </c>
      <c r="D2018" s="3" t="s">
        <v>70</v>
      </c>
      <c r="E2018" s="3" t="s">
        <v>46</v>
      </c>
      <c r="F2018" s="3" t="s">
        <v>6081</v>
      </c>
      <c r="G2018" s="3" t="s">
        <v>6162</v>
      </c>
      <c r="H2018" s="3" t="s">
        <v>6346</v>
      </c>
      <c r="I2018" s="3" t="str">
        <f>HYPERLINK("http://www.jccm.es/sede/tramite/LMY","RECLAMACION CONTRA EL ACUERDO DE LA COMISION DE VALORACION SOBRE EL RESULTADO PROVISIONAL DE LA CONVOCATORIA DE JEFE DE SECCION DE OBST Y GINEC. GAI DE ALCAZAR SAN JUAN.")</f>
        <v>RECLAMACION CONTRA EL ACUERDO DE LA COMISION DE VALORACION SOBRE EL RESULTADO PROVISIONAL DE LA CONVOCATORIA DE JEFE DE SECCION DE OBST Y GINEC. GAI DE ALCAZAR SAN JUAN.</v>
      </c>
      <c r="J2018" s="3" t="s">
        <v>41</v>
      </c>
      <c r="K2018" s="3" t="s">
        <v>41</v>
      </c>
      <c r="L2018" s="3" t="s">
        <v>42</v>
      </c>
      <c r="M2018" s="3" t="s">
        <v>41</v>
      </c>
    </row>
    <row r="2019" spans="1:13" ht="252.95">
      <c r="A2019" s="22" t="s">
        <v>23</v>
      </c>
      <c r="B2019" s="3" t="s">
        <v>6347</v>
      </c>
      <c r="C2019" s="3" t="s">
        <v>6348</v>
      </c>
      <c r="D2019" s="3" t="s">
        <v>45</v>
      </c>
      <c r="E2019" s="3" t="s">
        <v>46</v>
      </c>
      <c r="F2019" s="3" t="s">
        <v>6081</v>
      </c>
      <c r="G2019" s="3" t="s">
        <v>6081</v>
      </c>
      <c r="H2019" s="3" t="s">
        <v>6349</v>
      </c>
      <c r="I2019" s="3" t="str">
        <f>HYPERLINK("http://www.jccm.es/sede/tramite/LOQ","RECLAMACION A LA RELACION PROVISIONAL DE PERSONAS ADMITIDAS Y EXCLUIDAS APROBADA POR COMISION VALORACION JEFATURA DE SERVICIO DE MEDICINA INTENSIVA. GERENCIA DE ATENCION INTEGRADA DE ALBACETE.")</f>
        <v>RECLAMACION A LA RELACION PROVISIONAL DE PERSONAS ADMITIDAS Y EXCLUIDAS APROBADA POR COMISION VALORACION JEFATURA DE SERVICIO DE MEDICINA INTENSIVA. GERENCIA DE ATENCION INTEGRADA DE ALBACETE.</v>
      </c>
      <c r="J2019" s="3" t="s">
        <v>42</v>
      </c>
      <c r="K2019" s="3" t="s">
        <v>41</v>
      </c>
      <c r="L2019" s="3" t="s">
        <v>42</v>
      </c>
      <c r="M2019" s="3" t="s">
        <v>41</v>
      </c>
    </row>
    <row r="2020" spans="1:13" ht="230.1">
      <c r="A2020" s="22" t="s">
        <v>23</v>
      </c>
      <c r="B2020" s="3" t="s">
        <v>6350</v>
      </c>
      <c r="C2020" s="3" t="s">
        <v>6351</v>
      </c>
      <c r="D2020" s="3" t="s">
        <v>45</v>
      </c>
      <c r="E2020" s="3" t="s">
        <v>46</v>
      </c>
      <c r="F2020" s="3" t="s">
        <v>6081</v>
      </c>
      <c r="G2020" s="3" t="s">
        <v>6081</v>
      </c>
      <c r="H2020" s="3" t="s">
        <v>6352</v>
      </c>
      <c r="I2020" s="3" t="str">
        <f>HYPERLINK("http://www.jccm.es/sede/tramite/LOR","RECLAMACION CONTRA EL ACUERDO DE LA COMISION DE VALORACION SOBRE EL RESULTADO PROVISIONAL DE LA CONVOCATORIA DE LA JEFATURA DE SERVICIO DE MEDICINA INTENSIVA DE LA GAI DE ALBACETE (SESCAM).")</f>
        <v>RECLAMACION CONTRA EL ACUERDO DE LA COMISION DE VALORACION SOBRE EL RESULTADO PROVISIONAL DE LA CONVOCATORIA DE LA JEFATURA DE SERVICIO DE MEDICINA INTENSIVA DE LA GAI DE ALBACETE (SESCAM).</v>
      </c>
      <c r="J2020" s="3" t="s">
        <v>41</v>
      </c>
      <c r="K2020" s="3" t="s">
        <v>41</v>
      </c>
      <c r="L2020" s="3" t="s">
        <v>42</v>
      </c>
      <c r="M2020" s="3" t="s">
        <v>41</v>
      </c>
    </row>
    <row r="2021" spans="1:13" ht="230.1">
      <c r="A2021" s="22" t="s">
        <v>23</v>
      </c>
      <c r="B2021" s="3" t="s">
        <v>6353</v>
      </c>
      <c r="C2021" s="3" t="s">
        <v>6354</v>
      </c>
      <c r="D2021" s="3" t="s">
        <v>45</v>
      </c>
      <c r="E2021" s="3" t="s">
        <v>46</v>
      </c>
      <c r="F2021" s="3" t="s">
        <v>6081</v>
      </c>
      <c r="G2021" s="3" t="s">
        <v>6166</v>
      </c>
      <c r="H2021" s="3" t="s">
        <v>6355</v>
      </c>
      <c r="I2021" s="3" t="str">
        <f>HYPERLINK("http://www.jccm.es/sede/tramite/LOW","RECLAMACION A LA RELACION PROVISIONAL DE PERSONAS ADMITIDAS Y EXCLUIDAS APROBADA POR LA COMISION VALORACION JEFATURA DE SERVICIO DE OBSTETRICIA Y GINECOLOGIA. GAI DE ALBACETE")</f>
        <v>RECLAMACION A LA RELACION PROVISIONAL DE PERSONAS ADMITIDAS Y EXCLUIDAS APROBADA POR LA COMISION VALORACION JEFATURA DE SERVICIO DE OBSTETRICIA Y GINECOLOGIA. GAI DE ALBACETE</v>
      </c>
      <c r="J2021" s="3" t="s">
        <v>41</v>
      </c>
      <c r="K2021" s="3" t="s">
        <v>41</v>
      </c>
      <c r="L2021" s="3" t="s">
        <v>42</v>
      </c>
      <c r="M2021" s="3" t="s">
        <v>41</v>
      </c>
    </row>
    <row r="2022" spans="1:13" ht="252.95">
      <c r="A2022" s="22" t="s">
        <v>23</v>
      </c>
      <c r="B2022" s="3" t="s">
        <v>6356</v>
      </c>
      <c r="C2022" s="3" t="s">
        <v>6357</v>
      </c>
      <c r="D2022" s="3" t="s">
        <v>45</v>
      </c>
      <c r="E2022" s="3" t="s">
        <v>46</v>
      </c>
      <c r="F2022" s="3" t="s">
        <v>6081</v>
      </c>
      <c r="G2022" s="3" t="s">
        <v>6166</v>
      </c>
      <c r="H2022" s="3" t="s">
        <v>6358</v>
      </c>
      <c r="I2022" s="3" t="str">
        <f>HYPERLINK("http://www.jccm.es/sede/tramite/LOX","RECLAMACION CONTRA EL ACUERDO DE LA COMISION DE VALORACION SOBRE EL RESULTADO PROVISIONAL DE LA CONVOCATORIA DE LA JEFATURA DE SERVICIO DE OBSTETRICIA Y GINECOLOGIA. GAI DE ALBACETE (SESCAM)")</f>
        <v>RECLAMACION CONTRA EL ACUERDO DE LA COMISION DE VALORACION SOBRE EL RESULTADO PROVISIONAL DE LA CONVOCATORIA DE LA JEFATURA DE SERVICIO DE OBSTETRICIA Y GINECOLOGIA. GAI DE ALBACETE (SESCAM)</v>
      </c>
      <c r="J2022" s="3" t="s">
        <v>41</v>
      </c>
      <c r="K2022" s="3" t="s">
        <v>41</v>
      </c>
      <c r="L2022" s="3" t="s">
        <v>42</v>
      </c>
      <c r="M2022" s="3" t="s">
        <v>41</v>
      </c>
    </row>
    <row r="2023" spans="1:13" ht="230.1">
      <c r="A2023" s="22" t="s">
        <v>23</v>
      </c>
      <c r="B2023" s="3" t="s">
        <v>6359</v>
      </c>
      <c r="C2023" s="3" t="s">
        <v>6360</v>
      </c>
      <c r="D2023" s="3" t="s">
        <v>6361</v>
      </c>
      <c r="E2023" s="3" t="s">
        <v>46</v>
      </c>
      <c r="F2023" s="3" t="s">
        <v>6081</v>
      </c>
      <c r="G2023" s="3" t="s">
        <v>6081</v>
      </c>
      <c r="H2023" s="3" t="s">
        <v>6362</v>
      </c>
      <c r="I2023" s="3" t="str">
        <f>HYPERLINK("http://www.jccm.es/sede/tramite/LTR","PROVISION DE JEFATURA DE CARACTER ASISTENCIAL DEL SERVICIO DE SALUD DE CASILLA-LA MANCHA. JEFATURA DE SERVICIO DE CARDIOLOGIA, GERENCIA ATENCION INTEGRADA DE CIUDAD REAL.")</f>
        <v>PROVISION DE JEFATURA DE CARACTER ASISTENCIAL DEL SERVICIO DE SALUD DE CASILLA-LA MANCHA. JEFATURA DE SERVICIO DE CARDIOLOGIA, GERENCIA ATENCION INTEGRADA DE CIUDAD REAL.</v>
      </c>
      <c r="J2023" s="3" t="s">
        <v>42</v>
      </c>
      <c r="K2023" s="3" t="s">
        <v>41</v>
      </c>
      <c r="L2023" s="3" t="s">
        <v>42</v>
      </c>
      <c r="M2023" s="3" t="s">
        <v>41</v>
      </c>
    </row>
    <row r="2024" spans="1:13" ht="252.95">
      <c r="A2024" s="22" t="s">
        <v>23</v>
      </c>
      <c r="B2024" s="3" t="s">
        <v>6363</v>
      </c>
      <c r="C2024" s="3" t="s">
        <v>6364</v>
      </c>
      <c r="D2024" s="3" t="s">
        <v>6361</v>
      </c>
      <c r="E2024" s="3" t="s">
        <v>46</v>
      </c>
      <c r="F2024" s="3" t="s">
        <v>6081</v>
      </c>
      <c r="G2024" s="3" t="s">
        <v>6081</v>
      </c>
      <c r="H2024" s="3" t="s">
        <v>6365</v>
      </c>
      <c r="I2024" s="3" t="str">
        <f>HYPERLINK("http://www.jccm.es/sede/tramite/LTS","RECLAMACION A LA RELACION PROVISIONAL DE ADMITIDOS Y EXCLUIDOS APROBADA POR COMISION DE VALORACION EN LA PROVISION DE LA JEFATURA DE SERVICIO DE CARDIOLOGIA GAI DE CIUDAD REAL.")</f>
        <v>RECLAMACION A LA RELACION PROVISIONAL DE ADMITIDOS Y EXCLUIDOS APROBADA POR COMISION DE VALORACION EN LA PROVISION DE LA JEFATURA DE SERVICIO DE CARDIOLOGIA GAI DE CIUDAD REAL.</v>
      </c>
      <c r="J2024" s="3" t="s">
        <v>42</v>
      </c>
      <c r="K2024" s="3" t="s">
        <v>41</v>
      </c>
      <c r="L2024" s="3" t="s">
        <v>42</v>
      </c>
      <c r="M2024" s="3" t="s">
        <v>41</v>
      </c>
    </row>
    <row r="2025" spans="1:13" ht="230.1">
      <c r="A2025" s="22" t="s">
        <v>23</v>
      </c>
      <c r="B2025" s="3" t="s">
        <v>6366</v>
      </c>
      <c r="C2025" s="3" t="s">
        <v>6367</v>
      </c>
      <c r="D2025" s="3" t="s">
        <v>6361</v>
      </c>
      <c r="E2025" s="3" t="s">
        <v>46</v>
      </c>
      <c r="F2025" s="3" t="s">
        <v>6081</v>
      </c>
      <c r="G2025" s="3" t="s">
        <v>6081</v>
      </c>
      <c r="H2025" s="3" t="s">
        <v>6368</v>
      </c>
      <c r="I2025" s="3" t="str">
        <f>HYPERLINK("http://www.jccm.es/sede/tramite/LTT","RECLAMACION CONTRA EL ACUERDO PROVISIONAL DE LA COMISION DE VALORACION SOBRE EL RESULTADO PROVISIONAL DE LA CONVOCATORIA DE JEFATURA DE SERVICIO CARDIOLOGIA  GAI DE CIUDAD REAL.")</f>
        <v>RECLAMACION CONTRA EL ACUERDO PROVISIONAL DE LA COMISION DE VALORACION SOBRE EL RESULTADO PROVISIONAL DE LA CONVOCATORIA DE JEFATURA DE SERVICIO CARDIOLOGIA  GAI DE CIUDAD REAL.</v>
      </c>
      <c r="J2025" s="3" t="s">
        <v>42</v>
      </c>
      <c r="K2025" s="3" t="s">
        <v>41</v>
      </c>
      <c r="L2025" s="3" t="s">
        <v>42</v>
      </c>
      <c r="M2025" s="3" t="s">
        <v>41</v>
      </c>
    </row>
    <row r="2026" spans="1:13" ht="287.45">
      <c r="A2026" s="22" t="s">
        <v>23</v>
      </c>
      <c r="B2026" s="3" t="s">
        <v>6369</v>
      </c>
      <c r="C2026" s="3" t="s">
        <v>6370</v>
      </c>
      <c r="D2026" s="3" t="s">
        <v>6371</v>
      </c>
      <c r="E2026" s="3" t="s">
        <v>46</v>
      </c>
      <c r="F2026" s="3" t="s">
        <v>6081</v>
      </c>
      <c r="G2026" s="3" t="s">
        <v>6081</v>
      </c>
      <c r="H2026" s="3" t="s">
        <v>6372</v>
      </c>
      <c r="I2026" s="3" t="str">
        <f>HYPERLINK("http://www.jccm.es/sede/tramite/LUS","RECLAMACION A LA RELACION PROVISIONAL DE ADMITIDOS Y EXCLUIDOS APROBADA POR COMISION DE VALORACION EN LA PROVISION DE LA JEF. SERV. MEDICINA INTENSIVA GERENCIA DE ATENCION ESPECIALIZADA TOLEDO.")</f>
        <v>RECLAMACION A LA RELACION PROVISIONAL DE ADMITIDOS Y EXCLUIDOS APROBADA POR COMISION DE VALORACION EN LA PROVISION DE LA JEF. SERV. MEDICINA INTENSIVA GERENCIA DE ATENCION ESPECIALIZADA TOLEDO.</v>
      </c>
      <c r="J2026" s="3" t="s">
        <v>42</v>
      </c>
      <c r="K2026" s="3" t="s">
        <v>41</v>
      </c>
      <c r="L2026" s="3" t="s">
        <v>42</v>
      </c>
      <c r="M2026" s="3" t="s">
        <v>41</v>
      </c>
    </row>
    <row r="2027" spans="1:13" ht="287.45">
      <c r="A2027" s="22" t="s">
        <v>23</v>
      </c>
      <c r="B2027" s="3" t="s">
        <v>6373</v>
      </c>
      <c r="C2027" s="3" t="s">
        <v>6374</v>
      </c>
      <c r="D2027" s="3" t="s">
        <v>6371</v>
      </c>
      <c r="E2027" s="3" t="s">
        <v>46</v>
      </c>
      <c r="F2027" s="3" t="s">
        <v>6081</v>
      </c>
      <c r="G2027" s="3" t="s">
        <v>6081</v>
      </c>
      <c r="H2027" s="3" t="s">
        <v>6375</v>
      </c>
      <c r="I2027" s="3" t="str">
        <f>HYPERLINK("http://www.jccm.es/sede/tramite/LUR","RECLAMACION CONTRA EL ACUERDO PROVISIONAL DE LA COMISION DE VALORACION SOBRE EL RESULTADO PROVISIONAL DE LA CONVOCATORIA DE JEF. DE SERV. MEDIC. INTENSIVA GERENCIA ATENCION ESPECIALIZADA TOLEDO.")</f>
        <v>RECLAMACION CONTRA EL ACUERDO PROVISIONAL DE LA COMISION DE VALORACION SOBRE EL RESULTADO PROVISIONAL DE LA CONVOCATORIA DE JEF. DE SERV. MEDIC. INTENSIVA GERENCIA ATENCION ESPECIALIZADA TOLEDO.</v>
      </c>
      <c r="J2027" s="3" t="s">
        <v>42</v>
      </c>
      <c r="K2027" s="3" t="s">
        <v>41</v>
      </c>
      <c r="L2027" s="3" t="s">
        <v>42</v>
      </c>
      <c r="M2027" s="3" t="s">
        <v>41</v>
      </c>
    </row>
    <row r="2028" spans="1:13" ht="287.45">
      <c r="A2028" s="22" t="s">
        <v>23</v>
      </c>
      <c r="B2028" s="3" t="s">
        <v>6376</v>
      </c>
      <c r="C2028" s="3" t="s">
        <v>6377</v>
      </c>
      <c r="D2028" s="3" t="s">
        <v>6378</v>
      </c>
      <c r="E2028" s="3" t="s">
        <v>46</v>
      </c>
      <c r="F2028" s="3" t="s">
        <v>6081</v>
      </c>
      <c r="G2028" s="3" t="s">
        <v>6081</v>
      </c>
      <c r="H2028" s="3" t="s">
        <v>6379</v>
      </c>
      <c r="I2028" s="3" t="str">
        <f>HYPERLINK("http://www.jccm.es/sede/tramite/LUT","PROVISION DE JEFATURA DE CARACTER ASISTENCIAL DEL SERVICIO DE SALUD DE CASILLA-LA MANCHA. JEFATURA DE SERVICIO DE ANESTESILOGIA Y REANIMACION. GERENCIA DE ATENCION INTEGRADA ALBACETE.")</f>
        <v>PROVISION DE JEFATURA DE CARACTER ASISTENCIAL DEL SERVICIO DE SALUD DE CASILLA-LA MANCHA. JEFATURA DE SERVICIO DE ANESTESILOGIA Y REANIMACION. GERENCIA DE ATENCION INTEGRADA ALBACETE.</v>
      </c>
      <c r="J2028" s="3" t="s">
        <v>41</v>
      </c>
      <c r="K2028" s="3" t="s">
        <v>41</v>
      </c>
      <c r="L2028" s="3" t="s">
        <v>42</v>
      </c>
      <c r="M2028" s="3" t="s">
        <v>41</v>
      </c>
    </row>
    <row r="2029" spans="1:13" ht="287.45">
      <c r="A2029" s="22" t="s">
        <v>23</v>
      </c>
      <c r="B2029" s="3" t="s">
        <v>6380</v>
      </c>
      <c r="C2029" s="3" t="s">
        <v>6381</v>
      </c>
      <c r="D2029" s="3" t="s">
        <v>6378</v>
      </c>
      <c r="E2029" s="3" t="s">
        <v>46</v>
      </c>
      <c r="F2029" s="3" t="s">
        <v>6081</v>
      </c>
      <c r="G2029" s="3" t="s">
        <v>6081</v>
      </c>
      <c r="H2029" s="3" t="s">
        <v>6382</v>
      </c>
      <c r="I2029" s="3" t="str">
        <f>HYPERLINK("http://www.jccm.es/sede/tramite/LUV","RECLAMACION CONTRA EL ACUERDO DE LA COMISION DE VALORACION SOBRE EL RESULTADO PROVISIONAL DE LA CONVOCATORIA DE JEFATURA DE SERVICIO DE ANESTESIOLOGIA Y REANIMA. GAI DE ALBACETE. SESCAM.")</f>
        <v>RECLAMACION CONTRA EL ACUERDO DE LA COMISION DE VALORACION SOBRE EL RESULTADO PROVISIONAL DE LA CONVOCATORIA DE JEFATURA DE SERVICIO DE ANESTESIOLOGIA Y REANIMA. GAI DE ALBACETE. SESCAM.</v>
      </c>
      <c r="J2029" s="3" t="s">
        <v>42</v>
      </c>
      <c r="K2029" s="3" t="s">
        <v>41</v>
      </c>
      <c r="L2029" s="3" t="s">
        <v>42</v>
      </c>
      <c r="M2029" s="3" t="s">
        <v>41</v>
      </c>
    </row>
    <row r="2030" spans="1:13" ht="287.45">
      <c r="A2030" s="22" t="s">
        <v>23</v>
      </c>
      <c r="B2030" s="3" t="s">
        <v>6383</v>
      </c>
      <c r="C2030" s="3" t="s">
        <v>6384</v>
      </c>
      <c r="D2030" s="3" t="s">
        <v>6378</v>
      </c>
      <c r="E2030" s="3" t="s">
        <v>46</v>
      </c>
      <c r="F2030" s="3" t="s">
        <v>6081</v>
      </c>
      <c r="G2030" s="3" t="s">
        <v>6081</v>
      </c>
      <c r="H2030" s="3" t="s">
        <v>6385</v>
      </c>
      <c r="I2030" s="3" t="str">
        <f>HYPERLINK("http://www.jccm.es/sede/tramite/LUU","RECLAMACION A LA RELACION PROVISIONAL DE PERSONAS ADMITIDAS Y EXCLUIDAS APROBADA POR COMISION VALORACION JEFATURA DE SERVICIO DE ANESTESIOLOGIA Y REANIMACION. GAI DE ALBACETE.")</f>
        <v>RECLAMACION A LA RELACION PROVISIONAL DE PERSONAS ADMITIDAS Y EXCLUIDAS APROBADA POR COMISION VALORACION JEFATURA DE SERVICIO DE ANESTESIOLOGIA Y REANIMACION. GAI DE ALBACETE.</v>
      </c>
      <c r="J2030" s="3" t="s">
        <v>41</v>
      </c>
      <c r="K2030" s="3" t="s">
        <v>41</v>
      </c>
      <c r="L2030" s="3" t="s">
        <v>42</v>
      </c>
      <c r="M2030" s="3" t="s">
        <v>41</v>
      </c>
    </row>
    <row r="2031" spans="1:13" ht="252.95">
      <c r="A2031" s="22" t="s">
        <v>23</v>
      </c>
      <c r="B2031" s="3" t="s">
        <v>6386</v>
      </c>
      <c r="C2031" s="3" t="s">
        <v>6387</v>
      </c>
      <c r="D2031" s="3" t="s">
        <v>45</v>
      </c>
      <c r="E2031" s="3" t="s">
        <v>46</v>
      </c>
      <c r="F2031" s="3" t="s">
        <v>6081</v>
      </c>
      <c r="G2031" s="3" t="s">
        <v>6166</v>
      </c>
      <c r="H2031" s="3" t="s">
        <v>6388</v>
      </c>
      <c r="I2031" s="3" t="str">
        <f>HYPERLINK("http://www.jccm.es/sede/tramite/LXR","PROVISION DE JEFATURA DE CARACTER ASISTENCIAL DEL SERVICIO DE SALUD DE CASILLA-LA MANCHA. JEFATURA DE SERVICIO DE PEDIATRIA Y SUS AREAS ESPECIFICAS. GERENCIA DE ATENCION INTEGRADA ALBACETE.")</f>
        <v>PROVISION DE JEFATURA DE CARACTER ASISTENCIAL DEL SERVICIO DE SALUD DE CASILLA-LA MANCHA. JEFATURA DE SERVICIO DE PEDIATRIA Y SUS AREAS ESPECIFICAS. GERENCIA DE ATENCION INTEGRADA ALBACETE.</v>
      </c>
      <c r="J2031" s="3" t="s">
        <v>41</v>
      </c>
      <c r="K2031" s="3" t="s">
        <v>41</v>
      </c>
      <c r="L2031" s="3" t="s">
        <v>42</v>
      </c>
      <c r="M2031" s="3" t="s">
        <v>41</v>
      </c>
    </row>
    <row r="2032" spans="1:13" ht="264.60000000000002">
      <c r="A2032" s="22" t="s">
        <v>23</v>
      </c>
      <c r="B2032" s="3" t="s">
        <v>6389</v>
      </c>
      <c r="C2032" s="3" t="s">
        <v>6390</v>
      </c>
      <c r="D2032" s="3" t="s">
        <v>45</v>
      </c>
      <c r="E2032" s="3" t="s">
        <v>46</v>
      </c>
      <c r="F2032" s="3" t="s">
        <v>6081</v>
      </c>
      <c r="G2032" s="3" t="s">
        <v>6166</v>
      </c>
      <c r="H2032" s="3" t="s">
        <v>6391</v>
      </c>
      <c r="I2032" s="3" t="str">
        <f>HYPERLINK("http://www.jccm.es/sede/tramite/LXZ","PROVISION DE JEFATURA DE CARACTER ASISTENCIAL DEL SERVICIO DE SALUD DE CASILLA-LA MANCHA. JEFATURA DE SECCION DE CIRUGIA GENERAL Y DEL APARATO DIGESTIVO. GERENCIA DE ATENCION INTEGRADA ALBACETE.")</f>
        <v>PROVISION DE JEFATURA DE CARACTER ASISTENCIAL DEL SERVICIO DE SALUD DE CASILLA-LA MANCHA. JEFATURA DE SECCION DE CIRUGIA GENERAL Y DEL APARATO DIGESTIVO. GERENCIA DE ATENCION INTEGRADA ALBACETE.</v>
      </c>
      <c r="J2032" s="3" t="s">
        <v>41</v>
      </c>
      <c r="K2032" s="3" t="s">
        <v>41</v>
      </c>
      <c r="L2032" s="3" t="s">
        <v>42</v>
      </c>
      <c r="M2032" s="3" t="s">
        <v>41</v>
      </c>
    </row>
    <row r="2033" spans="1:13" ht="241.5">
      <c r="A2033" s="22" t="s">
        <v>23</v>
      </c>
      <c r="B2033" s="3" t="s">
        <v>6392</v>
      </c>
      <c r="C2033" s="3" t="s">
        <v>6393</v>
      </c>
      <c r="D2033" s="3" t="s">
        <v>6394</v>
      </c>
      <c r="E2033" s="3" t="s">
        <v>46</v>
      </c>
      <c r="F2033" s="3" t="s">
        <v>6081</v>
      </c>
      <c r="G2033" s="3" t="s">
        <v>6395</v>
      </c>
      <c r="H2033" s="3" t="s">
        <v>6396</v>
      </c>
      <c r="I2033" s="3" t="str">
        <f>HYPERLINK("http://www.jccm.es/sede/tramite/LYB","PROVISION DE JEFATURA DE CARACTER ASISTENCIAL DEL SERVICIO DE SALUD DE CASTILLA LA MANCHA. JEFATURA DE SECCION DE MEDICINA INTERNA. GERENCIA ATENCION INTEGRADA DE TOMELLOSO (SESCAM)")</f>
        <v>PROVISION DE JEFATURA DE CARACTER ASISTENCIAL DEL SERVICIO DE SALUD DE CASTILLA LA MANCHA. JEFATURA DE SECCION DE MEDICINA INTERNA. GERENCIA ATENCION INTEGRADA DE TOMELLOSO (SESCAM)</v>
      </c>
      <c r="J2033" s="3" t="s">
        <v>41</v>
      </c>
      <c r="K2033" s="3" t="s">
        <v>41</v>
      </c>
      <c r="L2033" s="3" t="s">
        <v>42</v>
      </c>
      <c r="M2033" s="3" t="s">
        <v>41</v>
      </c>
    </row>
    <row r="2034" spans="1:13" ht="241.5">
      <c r="A2034" s="22" t="s">
        <v>23</v>
      </c>
      <c r="B2034" s="3" t="s">
        <v>6397</v>
      </c>
      <c r="C2034" s="3" t="s">
        <v>6398</v>
      </c>
      <c r="D2034" s="3" t="s">
        <v>45</v>
      </c>
      <c r="E2034" s="3" t="s">
        <v>46</v>
      </c>
      <c r="F2034" s="3" t="s">
        <v>6081</v>
      </c>
      <c r="G2034" s="3" t="s">
        <v>6395</v>
      </c>
      <c r="H2034" s="3" t="s">
        <v>6399</v>
      </c>
      <c r="I2034" s="3" t="str">
        <f>HYPERLINK("http://www.jccm.es/sede/tramite/LYE","PROVISION DE JEFATURA DE CARACTER ASISTENCIAL DEL SERVICIO DE SALUD DE CASTILLA LA MANCHA. JEFATURA DE SECCION DE APARATO DIGESTIVO. GERENCIA ATENCION INTEGRADA DE TOMELLOSO (SESCAM)")</f>
        <v>PROVISION DE JEFATURA DE CARACTER ASISTENCIAL DEL SERVICIO DE SALUD DE CASTILLA LA MANCHA. JEFATURA DE SECCION DE APARATO DIGESTIVO. GERENCIA ATENCION INTEGRADA DE TOMELLOSO (SESCAM)</v>
      </c>
      <c r="J2034" s="3" t="s">
        <v>41</v>
      </c>
      <c r="K2034" s="3" t="s">
        <v>41</v>
      </c>
      <c r="L2034" s="3" t="s">
        <v>42</v>
      </c>
      <c r="M2034" s="3" t="s">
        <v>41</v>
      </c>
    </row>
    <row r="2035" spans="1:13" ht="264.60000000000002">
      <c r="A2035" s="22" t="s">
        <v>23</v>
      </c>
      <c r="B2035" s="3" t="s">
        <v>6400</v>
      </c>
      <c r="C2035" s="3" t="s">
        <v>6401</v>
      </c>
      <c r="D2035" s="3" t="s">
        <v>45</v>
      </c>
      <c r="E2035" s="3" t="s">
        <v>46</v>
      </c>
      <c r="F2035" s="3" t="s">
        <v>6081</v>
      </c>
      <c r="G2035" s="3" t="s">
        <v>6395</v>
      </c>
      <c r="H2035" s="3" t="s">
        <v>6402</v>
      </c>
      <c r="I2035" s="3" t="str">
        <f>HYPERLINK("http://www.jccm.es/sede/tramite/LYJ","PROVISION DE JEFATURA DE CARACTER ASISTENCIAL DEL SERVICIO DE SALUD DE CASTILLA LA MANCHA. JEFATURA DE SECCION DE CIRUGIA ORTOPEDICA Y TRAUMATO. GERENCIA ATENCION INTEGRADA DE TOMELLOSO (SESCAM)")</f>
        <v>PROVISION DE JEFATURA DE CARACTER ASISTENCIAL DEL SERVICIO DE SALUD DE CASTILLA LA MANCHA. JEFATURA DE SECCION DE CIRUGIA ORTOPEDICA Y TRAUMATO. GERENCIA ATENCION INTEGRADA DE TOMELLOSO (SESCAM)</v>
      </c>
      <c r="J2035" s="3" t="s">
        <v>41</v>
      </c>
      <c r="K2035" s="3" t="s">
        <v>41</v>
      </c>
      <c r="L2035" s="3" t="s">
        <v>42</v>
      </c>
      <c r="M2035" s="3" t="s">
        <v>41</v>
      </c>
    </row>
    <row r="2036" spans="1:13" ht="241.5">
      <c r="A2036" s="22" t="s">
        <v>23</v>
      </c>
      <c r="B2036" s="3" t="s">
        <v>6403</v>
      </c>
      <c r="C2036" s="3" t="s">
        <v>6404</v>
      </c>
      <c r="D2036" s="3" t="s">
        <v>45</v>
      </c>
      <c r="E2036" s="3" t="s">
        <v>46</v>
      </c>
      <c r="F2036" s="3" t="s">
        <v>6081</v>
      </c>
      <c r="G2036" s="3" t="s">
        <v>6318</v>
      </c>
      <c r="H2036" s="3" t="s">
        <v>6405</v>
      </c>
      <c r="I2036" s="3" t="str">
        <f>HYPERLINK("http://www.jccm.es/sede/tramite/LYN","PROVISION DE DOS JEFATURAS DE CARACTER ASISTENCIAL DEL SERVICIO DE SALUD DE CASILLA-LA MANCHA. DOS JEFATURAS DE SECCION DE MEDICINA INTENSIVA, GERENCIA ATENCION INTEGRADA DE CIUDAD REAL.")</f>
        <v>PROVISION DE DOS JEFATURAS DE CARACTER ASISTENCIAL DEL SERVICIO DE SALUD DE CASILLA-LA MANCHA. DOS JEFATURAS DE SECCION DE MEDICINA INTENSIVA, GERENCIA ATENCION INTEGRADA DE CIUDAD REAL.</v>
      </c>
      <c r="J2036" s="3" t="s">
        <v>41</v>
      </c>
      <c r="K2036" s="3" t="s">
        <v>41</v>
      </c>
      <c r="L2036" s="3" t="s">
        <v>42</v>
      </c>
      <c r="M2036" s="3" t="s">
        <v>41</v>
      </c>
    </row>
    <row r="2037" spans="1:13" ht="252.95">
      <c r="A2037" s="22" t="s">
        <v>23</v>
      </c>
      <c r="B2037" s="3" t="s">
        <v>6406</v>
      </c>
      <c r="C2037" s="3" t="s">
        <v>6407</v>
      </c>
      <c r="D2037" s="3" t="s">
        <v>45</v>
      </c>
      <c r="E2037" s="3" t="s">
        <v>46</v>
      </c>
      <c r="F2037" s="3" t="s">
        <v>6081</v>
      </c>
      <c r="G2037" s="3" t="s">
        <v>6318</v>
      </c>
      <c r="H2037" s="3" t="s">
        <v>6408</v>
      </c>
      <c r="I2037" s="3" t="str">
        <f>HYPERLINK("http://www.jccm.es/sede/tramite/LYR","PROVISION DE DOS JEFATURAS DE CARACTER ASISTENCIAL DEL SERVICIO DE SALUD DE CASILLA-LA MANCHA. DOS JEFATURAS DE SECCION DE CIRUGIA GRAL. Y A. DIG., GERENCIA ATENCION INTEGRADA DE CIUDAD REAL.")</f>
        <v>PROVISION DE DOS JEFATURAS DE CARACTER ASISTENCIAL DEL SERVICIO DE SALUD DE CASILLA-LA MANCHA. DOS JEFATURAS DE SECCION DE CIRUGIA GRAL. Y A. DIG., GERENCIA ATENCION INTEGRADA DE CIUDAD REAL.</v>
      </c>
      <c r="J2037" s="3" t="s">
        <v>41</v>
      </c>
      <c r="K2037" s="3" t="s">
        <v>41</v>
      </c>
      <c r="L2037" s="3" t="s">
        <v>42</v>
      </c>
      <c r="M2037" s="3" t="s">
        <v>41</v>
      </c>
    </row>
    <row r="2038" spans="1:13" ht="252.95">
      <c r="A2038" s="22" t="s">
        <v>23</v>
      </c>
      <c r="B2038" s="3" t="s">
        <v>6409</v>
      </c>
      <c r="C2038" s="3" t="s">
        <v>6410</v>
      </c>
      <c r="D2038" s="3" t="s">
        <v>6411</v>
      </c>
      <c r="E2038" s="3" t="s">
        <v>6412</v>
      </c>
      <c r="F2038" s="3" t="s">
        <v>6081</v>
      </c>
      <c r="G2038" s="3" t="s">
        <v>6081</v>
      </c>
      <c r="H2038" s="3" t="s">
        <v>6413</v>
      </c>
      <c r="I2038" s="3" t="str">
        <f>HYPERLINK("http://www.jccm.es/sede/tramite/LOU","RECLAMACION A LA RELACION PROVISIONAL DE PERSONAS ADMITIDAS Y EXCLUIDAS APROBADA POR COMISION VALORACION JEFATURA DE SERVICIO DE DERMATOLOGIA MEDICO-QUIRURGICA Y VENEREOLOGIA. GAI DE ALBACETE.")</f>
        <v>RECLAMACION A LA RELACION PROVISIONAL DE PERSONAS ADMITIDAS Y EXCLUIDAS APROBADA POR COMISION VALORACION JEFATURA DE SERVICIO DE DERMATOLOGIA MEDICO-QUIRURGICA Y VENEREOLOGIA. GAI DE ALBACETE.</v>
      </c>
      <c r="J2038" s="3" t="s">
        <v>42</v>
      </c>
      <c r="K2038" s="3" t="s">
        <v>41</v>
      </c>
      <c r="L2038" s="3" t="s">
        <v>42</v>
      </c>
      <c r="M2038" s="3" t="s">
        <v>41</v>
      </c>
    </row>
    <row r="2039" spans="1:13" ht="92.1">
      <c r="A2039" s="22" t="s">
        <v>10</v>
      </c>
      <c r="B2039" s="3" t="s">
        <v>34</v>
      </c>
      <c r="C2039" s="3" t="s">
        <v>35</v>
      </c>
      <c r="D2039" s="3" t="s">
        <v>36</v>
      </c>
      <c r="E2039" s="3" t="s">
        <v>37</v>
      </c>
      <c r="F2039" s="3" t="s">
        <v>38</v>
      </c>
      <c r="G2039" s="3" t="s">
        <v>39</v>
      </c>
      <c r="H2039" s="3" t="s">
        <v>40</v>
      </c>
      <c r="I2039" s="3" t="str">
        <f>HYPERLINK("http://www.jccm.es/sede/tramite/IA5","AUTORIZACION ADMINISTRATIVA DE CENTROS SOCIALES")</f>
        <v>AUTORIZACION ADMINISTRATIVA DE CENTROS SOCIALES</v>
      </c>
      <c r="J2039" s="3" t="s">
        <v>41</v>
      </c>
      <c r="K2039" s="3" t="s">
        <v>41</v>
      </c>
      <c r="L2039" s="3" t="s">
        <v>42</v>
      </c>
      <c r="M2039" s="3" t="s">
        <v>42</v>
      </c>
    </row>
    <row r="2040" spans="1:13" ht="103.5">
      <c r="A2040" s="22" t="s">
        <v>10</v>
      </c>
      <c r="B2040" s="3" t="s">
        <v>43</v>
      </c>
      <c r="C2040" s="3" t="s">
        <v>44</v>
      </c>
      <c r="D2040" s="3" t="s">
        <v>45</v>
      </c>
      <c r="E2040" s="3" t="s">
        <v>46</v>
      </c>
      <c r="F2040" s="3" t="s">
        <v>38</v>
      </c>
      <c r="G2040" s="3" t="s">
        <v>47</v>
      </c>
      <c r="H2040" s="3" t="s">
        <v>48</v>
      </c>
      <c r="I2040" s="3" t="str">
        <f>HYPERLINK("http://www.jccm.es/sede/tramite/D22","TARJETA DE ESTACIONAMIENTO PARA PERSONAS CON DISCAPACIDAD CON MOVILIDAD REDUCIDA")</f>
        <v>TARJETA DE ESTACIONAMIENTO PARA PERSONAS CON DISCAPACIDAD CON MOVILIDAD REDUCIDA</v>
      </c>
      <c r="J2040" s="3" t="s">
        <v>42</v>
      </c>
      <c r="K2040" s="3" t="s">
        <v>41</v>
      </c>
      <c r="L2040" s="3" t="s">
        <v>42</v>
      </c>
      <c r="M2040" s="3" t="s">
        <v>41</v>
      </c>
    </row>
    <row r="2041" spans="1:13" ht="103.5">
      <c r="A2041" s="22" t="s">
        <v>10</v>
      </c>
      <c r="B2041" s="3" t="s">
        <v>49</v>
      </c>
      <c r="C2041" s="3" t="s">
        <v>50</v>
      </c>
      <c r="D2041" s="3" t="s">
        <v>51</v>
      </c>
      <c r="E2041" s="3" t="s">
        <v>37</v>
      </c>
      <c r="F2041" s="3" t="s">
        <v>38</v>
      </c>
      <c r="G2041" s="3" t="s">
        <v>47</v>
      </c>
      <c r="H2041" s="3" t="s">
        <v>52</v>
      </c>
      <c r="I2041" s="3" t="str">
        <f>HYPERLINK("http://www.jccm.es/sede/tramite/LLL","RECONOCIMIENTO OFICIAL DE LA ENTIDAD DE ADIESTRAMIENTO DE PERROS DE ASISTENCIA, BAJA O MODIFICACION DE DATOS EN EL REGISTRO DE UNIDADES DE VINCULACION.")</f>
        <v>RECONOCIMIENTO OFICIAL DE LA ENTIDAD DE ADIESTRAMIENTO DE PERROS DE ASISTENCIA, BAJA O MODIFICACION DE DATOS EN EL REGISTRO DE UNIDADES DE VINCULACION.</v>
      </c>
      <c r="J2041" s="3" t="s">
        <v>41</v>
      </c>
      <c r="K2041" s="3" t="s">
        <v>41</v>
      </c>
      <c r="L2041" s="3" t="s">
        <v>42</v>
      </c>
      <c r="M2041" s="3" t="s">
        <v>41</v>
      </c>
    </row>
    <row r="2042" spans="1:13" ht="126.6">
      <c r="A2042" s="22" t="s">
        <v>10</v>
      </c>
      <c r="B2042" s="3" t="s">
        <v>53</v>
      </c>
      <c r="C2042" s="3" t="s">
        <v>54</v>
      </c>
      <c r="D2042" s="3" t="s">
        <v>55</v>
      </c>
      <c r="E2042" s="3" t="s">
        <v>37</v>
      </c>
      <c r="F2042" s="3" t="s">
        <v>38</v>
      </c>
      <c r="G2042" s="3" t="s">
        <v>39</v>
      </c>
      <c r="H2042" s="3" t="s">
        <v>56</v>
      </c>
      <c r="I2042" s="3" t="str">
        <f>HYPERLINK("http://www.jccm.es/sede/tramite/LSS","COMUNICACION DE CAMBIO DE ENTIDAD TITULAR O GESTORA, CESE DE ACTIVIDAD DE UN SERVICIO SOCIAL")</f>
        <v>COMUNICACION DE CAMBIO DE ENTIDAD TITULAR O GESTORA, CESE DE ACTIVIDAD DE UN SERVICIO SOCIAL</v>
      </c>
      <c r="J2042" s="3" t="s">
        <v>41</v>
      </c>
      <c r="K2042" s="3" t="s">
        <v>41</v>
      </c>
      <c r="L2042" s="3" t="s">
        <v>42</v>
      </c>
      <c r="M2042" s="3" t="s">
        <v>41</v>
      </c>
    </row>
    <row r="2043" spans="1:13" ht="69">
      <c r="A2043" s="22" t="s">
        <v>10</v>
      </c>
      <c r="B2043" s="3" t="s">
        <v>57</v>
      </c>
      <c r="C2043" s="3" t="s">
        <v>58</v>
      </c>
      <c r="D2043" s="3" t="s">
        <v>36</v>
      </c>
      <c r="E2043" s="3" t="s">
        <v>37</v>
      </c>
      <c r="F2043" s="3" t="s">
        <v>38</v>
      </c>
      <c r="G2043" s="3" t="s">
        <v>38</v>
      </c>
      <c r="H2043" s="3" t="s">
        <v>59</v>
      </c>
      <c r="I2043" s="3" t="str">
        <f>HYPERLINK("http://www.jccm.es/sede/tramite/LZB","AUTORIZACION ADMINISTRATIVA DE SERVICIOS SOCIALES")</f>
        <v>AUTORIZACION ADMINISTRATIVA DE SERVICIOS SOCIALES</v>
      </c>
      <c r="J2043" s="3" t="s">
        <v>41</v>
      </c>
      <c r="K2043" s="3" t="s">
        <v>41</v>
      </c>
      <c r="L2043" s="3" t="s">
        <v>42</v>
      </c>
      <c r="M2043" s="3" t="s">
        <v>41</v>
      </c>
    </row>
    <row r="2044" spans="1:13" ht="103.5">
      <c r="A2044" s="22" t="s">
        <v>10</v>
      </c>
      <c r="B2044" s="3" t="s">
        <v>60</v>
      </c>
      <c r="C2044" s="3" t="s">
        <v>61</v>
      </c>
      <c r="D2044" s="3" t="s">
        <v>62</v>
      </c>
      <c r="E2044" s="3" t="s">
        <v>37</v>
      </c>
      <c r="F2044" s="3" t="s">
        <v>38</v>
      </c>
      <c r="G2044" s="3" t="s">
        <v>63</v>
      </c>
      <c r="H2044" s="3" t="s">
        <v>64</v>
      </c>
      <c r="I2044" s="3" t="str">
        <f>HYPERLINK("http://www.jccm.es/sede/tramite/C13","ACREDITACION E INSCRIPCION REGISTRAL DE ENTIDADES DE VOLUNTARIADO")</f>
        <v>ACREDITACION E INSCRIPCION REGISTRAL DE ENTIDADES DE VOLUNTARIADO</v>
      </c>
      <c r="J2044" s="3" t="s">
        <v>42</v>
      </c>
      <c r="K2044" s="3" t="s">
        <v>41</v>
      </c>
      <c r="L2044" s="3" t="s">
        <v>42</v>
      </c>
      <c r="M2044" s="3" t="s">
        <v>41</v>
      </c>
    </row>
    <row r="2045" spans="1:13" ht="92.1">
      <c r="A2045" s="22" t="s">
        <v>10</v>
      </c>
      <c r="B2045" s="3" t="s">
        <v>65</v>
      </c>
      <c r="C2045" s="3" t="s">
        <v>66</v>
      </c>
      <c r="D2045" s="3" t="s">
        <v>51</v>
      </c>
      <c r="E2045" s="3" t="s">
        <v>37</v>
      </c>
      <c r="F2045" s="3" t="s">
        <v>38</v>
      </c>
      <c r="G2045" s="3" t="s">
        <v>47</v>
      </c>
      <c r="H2045" s="3" t="s">
        <v>67</v>
      </c>
      <c r="I2045" s="3" t="str">
        <f>HYPERLINK("http://www.jccm.es/sede/tramite/LLJ","PROCEDIMIENTO DE RECONOCIMIENTO DE LA UNIDAD DE VINCULACION CON PERRO DE ASISTENCIA/ PERRO DE ASISTENCIA JUBILADO,SOLICITUD DE DUPLICADOS CARNETS Y DISTINTIVOS Y BAJA EN EL REGISTRO DE UNIDADES")</f>
        <v>PROCEDIMIENTO DE RECONOCIMIENTO DE LA UNIDAD DE VINCULACION CON PERRO DE ASISTENCIA/ PERRO DE ASISTENCIA JUBILADO,SOLICITUD DE DUPLICADOS CARNETS Y DISTINTIVOS Y BAJA EN EL REGISTRO DE UNIDADES</v>
      </c>
      <c r="J2045" s="3" t="s">
        <v>42</v>
      </c>
      <c r="K2045" s="3" t="s">
        <v>41</v>
      </c>
      <c r="L2045" s="3" t="s">
        <v>42</v>
      </c>
      <c r="M2045" s="3" t="s">
        <v>41</v>
      </c>
    </row>
    <row r="2046" spans="1:13" ht="92.1">
      <c r="A2046" s="22" t="s">
        <v>10</v>
      </c>
      <c r="B2046" s="3" t="s">
        <v>68</v>
      </c>
      <c r="C2046" s="3" t="s">
        <v>69</v>
      </c>
      <c r="D2046" s="3" t="s">
        <v>70</v>
      </c>
      <c r="E2046" s="3" t="s">
        <v>46</v>
      </c>
      <c r="F2046" s="3" t="s">
        <v>38</v>
      </c>
      <c r="G2046" s="3" t="s">
        <v>71</v>
      </c>
      <c r="H2046" s="3" t="s">
        <v>72</v>
      </c>
      <c r="I2046" s="3" t="str">
        <f>HYPERLINK("http://www.jccm.es/sede/tramite/IR9","AYUDAS ECONOMICAS DE APOYO POR ACOGIMIENTO FAMILIAR DE MENORES.")</f>
        <v>AYUDAS ECONOMICAS DE APOYO POR ACOGIMIENTO FAMILIAR DE MENORES.</v>
      </c>
      <c r="J2046" s="3" t="s">
        <v>42</v>
      </c>
      <c r="K2046" s="3" t="s">
        <v>41</v>
      </c>
      <c r="L2046" s="3" t="s">
        <v>42</v>
      </c>
      <c r="M2046" s="3" t="s">
        <v>41</v>
      </c>
    </row>
    <row r="2047" spans="1:13" ht="92.1">
      <c r="A2047" s="22" t="s">
        <v>10</v>
      </c>
      <c r="B2047" s="3" t="s">
        <v>73</v>
      </c>
      <c r="C2047" s="3" t="s">
        <v>74</v>
      </c>
      <c r="D2047" s="3" t="s">
        <v>45</v>
      </c>
      <c r="E2047" s="3" t="s">
        <v>46</v>
      </c>
      <c r="F2047" s="3" t="s">
        <v>38</v>
      </c>
      <c r="G2047" s="3" t="s">
        <v>71</v>
      </c>
      <c r="H2047" s="3" t="s">
        <v>75</v>
      </c>
      <c r="I2047" s="3" t="str">
        <f>HYPERLINK("http://www.jccm.es/sede/tramite/H80","AYUDAS DE AUTONOMIA PERSONAL")</f>
        <v>AYUDAS DE AUTONOMIA PERSONAL</v>
      </c>
      <c r="J2047" s="3" t="s">
        <v>42</v>
      </c>
      <c r="K2047" s="3" t="s">
        <v>41</v>
      </c>
      <c r="L2047" s="3" t="s">
        <v>42</v>
      </c>
      <c r="M2047" s="3" t="s">
        <v>41</v>
      </c>
    </row>
    <row r="2048" spans="1:13" ht="126.6">
      <c r="A2048" s="22" t="s">
        <v>10</v>
      </c>
      <c r="B2048" s="3" t="s">
        <v>76</v>
      </c>
      <c r="C2048" s="3" t="s">
        <v>77</v>
      </c>
      <c r="D2048" s="3" t="s">
        <v>62</v>
      </c>
      <c r="E2048" s="3" t="s">
        <v>46</v>
      </c>
      <c r="F2048" s="3" t="s">
        <v>38</v>
      </c>
      <c r="G2048" s="3" t="s">
        <v>78</v>
      </c>
      <c r="H2048" s="3" t="s">
        <v>79</v>
      </c>
      <c r="I2048" s="3" t="str">
        <f>HYPERLINK("http://www.jccm.es/sede/tramite/609","AYUDAS DE EMERGENCIA SOCIAL")</f>
        <v>AYUDAS DE EMERGENCIA SOCIAL</v>
      </c>
      <c r="J2048" s="3" t="s">
        <v>42</v>
      </c>
      <c r="K2048" s="3" t="s">
        <v>41</v>
      </c>
      <c r="L2048" s="3" t="s">
        <v>42</v>
      </c>
      <c r="M2048" s="3" t="s">
        <v>41</v>
      </c>
    </row>
    <row r="2049" spans="1:13" ht="126.6">
      <c r="A2049" s="22" t="s">
        <v>10</v>
      </c>
      <c r="B2049" s="3" t="s">
        <v>80</v>
      </c>
      <c r="C2049" s="3" t="s">
        <v>81</v>
      </c>
      <c r="D2049" s="3" t="s">
        <v>45</v>
      </c>
      <c r="E2049" s="3" t="s">
        <v>46</v>
      </c>
      <c r="F2049" s="3" t="s">
        <v>38</v>
      </c>
      <c r="G2049" s="3" t="s">
        <v>78</v>
      </c>
      <c r="H2049" s="3" t="s">
        <v>82</v>
      </c>
      <c r="I2049" s="3" t="str">
        <f>HYPERLINK("http://www.jccm.es/sede/tramite/IIJ","AYUDAS ECONOMICAS A FAMILIAS NUMEROSAS")</f>
        <v>AYUDAS ECONOMICAS A FAMILIAS NUMEROSAS</v>
      </c>
      <c r="J2049" s="3" t="s">
        <v>42</v>
      </c>
      <c r="K2049" s="3" t="s">
        <v>41</v>
      </c>
      <c r="L2049" s="3" t="s">
        <v>42</v>
      </c>
      <c r="M2049" s="3" t="s">
        <v>41</v>
      </c>
    </row>
    <row r="2050" spans="1:13" ht="126.6">
      <c r="A2050" s="22" t="s">
        <v>10</v>
      </c>
      <c r="B2050" s="3" t="s">
        <v>83</v>
      </c>
      <c r="C2050" s="3" t="s">
        <v>84</v>
      </c>
      <c r="D2050" s="3" t="s">
        <v>62</v>
      </c>
      <c r="E2050" s="3" t="s">
        <v>46</v>
      </c>
      <c r="F2050" s="3" t="s">
        <v>38</v>
      </c>
      <c r="G2050" s="3" t="s">
        <v>78</v>
      </c>
      <c r="H2050" s="3" t="s">
        <v>85</v>
      </c>
      <c r="I2050" s="3" t="str">
        <f>HYPERLINK("http://www.jccm.es/sede/tramite/513","INGRESO MINIMO DE SOLIDARIDAD")</f>
        <v>INGRESO MINIMO DE SOLIDARIDAD</v>
      </c>
      <c r="J2050" s="3" t="s">
        <v>42</v>
      </c>
      <c r="K2050" s="3" t="s">
        <v>41</v>
      </c>
      <c r="L2050" s="3" t="s">
        <v>42</v>
      </c>
      <c r="M2050" s="3" t="s">
        <v>41</v>
      </c>
    </row>
    <row r="2051" spans="1:13" ht="126.6">
      <c r="A2051" s="22" t="s">
        <v>10</v>
      </c>
      <c r="B2051" s="3" t="s">
        <v>86</v>
      </c>
      <c r="C2051" s="3" t="s">
        <v>87</v>
      </c>
      <c r="D2051" s="3" t="s">
        <v>45</v>
      </c>
      <c r="E2051" s="3" t="s">
        <v>46</v>
      </c>
      <c r="F2051" s="3" t="s">
        <v>38</v>
      </c>
      <c r="G2051" s="3" t="s">
        <v>78</v>
      </c>
      <c r="H2051" s="3" t="s">
        <v>88</v>
      </c>
      <c r="I2051" s="3" t="str">
        <f>HYPERLINK("http://www.jccm.es/sede/tramite/IYY","SOLICITUD DE AYUDA PARA EL MANTENIMIENTO DE LAS CONDICIONES BASICAS DE VIDA")</f>
        <v>SOLICITUD DE AYUDA PARA EL MANTENIMIENTO DE LAS CONDICIONES BASICAS DE VIDA</v>
      </c>
      <c r="J2051" s="3" t="s">
        <v>42</v>
      </c>
      <c r="K2051" s="3" t="s">
        <v>41</v>
      </c>
      <c r="L2051" s="3" t="s">
        <v>42</v>
      </c>
      <c r="M2051" s="3" t="s">
        <v>41</v>
      </c>
    </row>
    <row r="2052" spans="1:13" ht="230.1">
      <c r="A2052" s="22" t="s">
        <v>10</v>
      </c>
      <c r="B2052" s="3" t="s">
        <v>89</v>
      </c>
      <c r="C2052" s="3" t="s">
        <v>90</v>
      </c>
      <c r="D2052" s="3" t="s">
        <v>70</v>
      </c>
      <c r="E2052" s="3" t="s">
        <v>46</v>
      </c>
      <c r="F2052" s="3" t="s">
        <v>38</v>
      </c>
      <c r="G2052" s="3" t="s">
        <v>91</v>
      </c>
      <c r="H2052" s="3" t="s">
        <v>92</v>
      </c>
      <c r="I2052" s="3" t="str">
        <f>HYPERLINK("http://www.jccm.es/sede/tramite/IMZ","SOLICITUD DE SUBVENCIONES A EATIM, MUNICIPIOS, MANCOMUNIDADES Y AGRUPACIONES MUNICIPALES PARA EL DESARROLLO DE PROGRAMAS Y PROYECTOS DE ATENCION A PERSONAS MAYORES.")</f>
        <v>SOLICITUD DE SUBVENCIONES A EATIM, MUNICIPIOS, MANCOMUNIDADES Y AGRUPACIONES MUNICIPALES PARA EL DESARROLLO DE PROGRAMAS Y PROYECTOS DE ATENCION A PERSONAS MAYORES.</v>
      </c>
      <c r="J2052" s="3" t="s">
        <v>41</v>
      </c>
      <c r="K2052" s="3" t="s">
        <v>41</v>
      </c>
      <c r="L2052" s="3" t="s">
        <v>42</v>
      </c>
      <c r="M2052" s="3" t="s">
        <v>41</v>
      </c>
    </row>
    <row r="2053" spans="1:13" ht="218.45">
      <c r="A2053" s="22" t="s">
        <v>10</v>
      </c>
      <c r="B2053" s="3" t="s">
        <v>6414</v>
      </c>
      <c r="C2053" s="3" t="s">
        <v>6415</v>
      </c>
      <c r="D2053" s="3" t="s">
        <v>70</v>
      </c>
      <c r="E2053" s="3" t="s">
        <v>46</v>
      </c>
      <c r="F2053" s="3" t="s">
        <v>38</v>
      </c>
      <c r="G2053" s="3" t="s">
        <v>91</v>
      </c>
      <c r="H2053" s="3" t="s">
        <v>6416</v>
      </c>
      <c r="I2053" s="3" t="str">
        <f>HYPERLINK("http://www.jccm.es/sede/tramite/IXK","SUBVENCIONES A EATIM,  MUNICIPIOS,MANCOMUNIDADES Y AGRUPACIONES TERRITORIALES, PARA EL MANTENIMIENTO DE PLAZAS EN CENTROS DE ATENCION A PERSONAS MAYORES EN CASTILLA-LA MANCHA.")</f>
        <v>SUBVENCIONES A EATIM,  MUNICIPIOS,MANCOMUNIDADES Y AGRUPACIONES TERRITORIALES, PARA EL MANTENIMIENTO DE PLAZAS EN CENTROS DE ATENCION A PERSONAS MAYORES EN CASTILLA-LA MANCHA.</v>
      </c>
      <c r="J2053" s="3" t="s">
        <v>41</v>
      </c>
      <c r="K2053" s="3" t="s">
        <v>41</v>
      </c>
      <c r="L2053" s="3" t="s">
        <v>42</v>
      </c>
      <c r="M2053" s="3" t="s">
        <v>41</v>
      </c>
    </row>
    <row r="2054" spans="1:13" ht="138">
      <c r="A2054" s="22" t="s">
        <v>10</v>
      </c>
      <c r="B2054" s="3" t="s">
        <v>6417</v>
      </c>
      <c r="C2054" s="3" t="s">
        <v>6418</v>
      </c>
      <c r="D2054" s="3" t="s">
        <v>6419</v>
      </c>
      <c r="E2054" s="3" t="s">
        <v>46</v>
      </c>
      <c r="F2054" s="3" t="s">
        <v>38</v>
      </c>
      <c r="G2054" s="3" t="s">
        <v>78</v>
      </c>
      <c r="H2054" s="3" t="s">
        <v>6420</v>
      </c>
      <c r="I2054" s="3" t="str">
        <f>HYPERLINK("http://www.jccm.es/sede/tramite/IU2","SUBVENCIONES PARA LA REALIZACION DE PROYECTOS DE COOPERACION INTERNACIONAL PARA EL DESARROLLO")</f>
        <v>SUBVENCIONES PARA LA REALIZACION DE PROYECTOS DE COOPERACION INTERNACIONAL PARA EL DESARROLLO</v>
      </c>
      <c r="J2054" s="3" t="s">
        <v>41</v>
      </c>
      <c r="K2054" s="3" t="s">
        <v>41</v>
      </c>
      <c r="L2054" s="3" t="s">
        <v>42</v>
      </c>
      <c r="M2054" s="3" t="s">
        <v>41</v>
      </c>
    </row>
    <row r="2055" spans="1:13" ht="126.6">
      <c r="A2055" s="22" t="s">
        <v>10</v>
      </c>
      <c r="B2055" s="3" t="s">
        <v>6421</v>
      </c>
      <c r="C2055" s="3" t="s">
        <v>6422</v>
      </c>
      <c r="D2055" s="3" t="s">
        <v>70</v>
      </c>
      <c r="E2055" s="3" t="s">
        <v>46</v>
      </c>
      <c r="F2055" s="3" t="s">
        <v>38</v>
      </c>
      <c r="G2055" s="3" t="s">
        <v>78</v>
      </c>
      <c r="H2055" s="3" t="s">
        <v>6423</v>
      </c>
      <c r="I2055" s="3" t="str">
        <f>HYPERLINK("http://www.jccm.es/sede/tramite/IX1","SUBVENCIONES PARA LA REALIZACION DE PROYECTOS DE EDUCACION PARA EL DESARROLLO")</f>
        <v>SUBVENCIONES PARA LA REALIZACION DE PROYECTOS DE EDUCACION PARA EL DESARROLLO</v>
      </c>
      <c r="J2055" s="3" t="s">
        <v>41</v>
      </c>
      <c r="K2055" s="3" t="s">
        <v>41</v>
      </c>
      <c r="L2055" s="3" t="s">
        <v>42</v>
      </c>
      <c r="M2055" s="3" t="s">
        <v>41</v>
      </c>
    </row>
    <row r="2056" spans="1:13" ht="126.6">
      <c r="A2056" s="22" t="s">
        <v>10</v>
      </c>
      <c r="B2056" s="3" t="s">
        <v>6424</v>
      </c>
      <c r="C2056" s="3" t="s">
        <v>6425</v>
      </c>
      <c r="D2056" s="3" t="s">
        <v>6426</v>
      </c>
      <c r="E2056" s="3" t="s">
        <v>46</v>
      </c>
      <c r="F2056" s="3" t="s">
        <v>38</v>
      </c>
      <c r="G2056" s="3" t="s">
        <v>78</v>
      </c>
      <c r="H2056" s="3" t="s">
        <v>6427</v>
      </c>
      <c r="I2056" s="3" t="str">
        <f>HYPERLINK("http://www.jccm.es/sede/tramite/973","SUBVENCIONES PARA LA REALIZACION DE PROYECTOS DE ACCION HUMANITARIA Y DE EMERGENCIA")</f>
        <v>SUBVENCIONES PARA LA REALIZACION DE PROYECTOS DE ACCION HUMANITARIA Y DE EMERGENCIA</v>
      </c>
      <c r="J2056" s="3" t="s">
        <v>41</v>
      </c>
      <c r="K2056" s="3" t="s">
        <v>41</v>
      </c>
      <c r="L2056" s="3" t="s">
        <v>42</v>
      </c>
      <c r="M2056" s="3" t="s">
        <v>41</v>
      </c>
    </row>
    <row r="2057" spans="1:13" ht="92.1">
      <c r="A2057" s="22" t="s">
        <v>10</v>
      </c>
      <c r="B2057" s="3" t="s">
        <v>6428</v>
      </c>
      <c r="C2057" s="3" t="s">
        <v>6429</v>
      </c>
      <c r="D2057" s="3" t="s">
        <v>6430</v>
      </c>
      <c r="E2057" s="3" t="s">
        <v>46</v>
      </c>
      <c r="F2057" s="3" t="s">
        <v>38</v>
      </c>
      <c r="G2057" s="3" t="s">
        <v>63</v>
      </c>
      <c r="H2057" s="3" t="s">
        <v>6431</v>
      </c>
      <c r="I2057" s="3" t="str">
        <f>HYPERLINK("http://www.jccm.es/sede/tramite/JPA","RECONOCIMIENTO A LA INICIATIVA SOCIAL DE CASTILLA-LA MANCHA.")</f>
        <v>RECONOCIMIENTO A LA INICIATIVA SOCIAL DE CASTILLA-LA MANCHA.</v>
      </c>
      <c r="J2057" s="3" t="s">
        <v>41</v>
      </c>
      <c r="K2057" s="3" t="s">
        <v>41</v>
      </c>
      <c r="L2057" s="3" t="s">
        <v>42</v>
      </c>
      <c r="M2057" s="3" t="s">
        <v>41</v>
      </c>
    </row>
    <row r="2058" spans="1:13" ht="230.1">
      <c r="A2058" s="22" t="s">
        <v>10</v>
      </c>
      <c r="B2058" s="3" t="s">
        <v>6432</v>
      </c>
      <c r="C2058" s="3" t="s">
        <v>6433</v>
      </c>
      <c r="D2058" s="3" t="s">
        <v>51</v>
      </c>
      <c r="E2058" s="3" t="s">
        <v>46</v>
      </c>
      <c r="F2058" s="3" t="s">
        <v>38</v>
      </c>
      <c r="G2058" s="3" t="s">
        <v>47</v>
      </c>
      <c r="H2058" s="3" t="s">
        <v>6434</v>
      </c>
      <c r="I2058" s="3" t="str">
        <f>HYPERLINK("http://www.jccm.es/sede/tramite/KJG","SUBVENCIONES A ENTIDADES PRIVADAS PARA EL DESARROLLO DE PROGRAMAS DESTINADOS AL DESEMPEÑO DE LAS MEDIDAS JUDICIALES DE APOYO A PERSONAS CON DISCAPACIDAD PARA EL EJERCICIO DE SU CAPACIDAD JURIDICA")</f>
        <v>SUBVENCIONES A ENTIDADES PRIVADAS PARA EL DESARROLLO DE PROGRAMAS DESTINADOS AL DESEMPEÑO DE LAS MEDIDAS JUDICIALES DE APOYO A PERSONAS CON DISCAPACIDAD PARA EL EJERCICIO DE SU CAPACIDAD JURIDICA</v>
      </c>
      <c r="J2058" s="3" t="s">
        <v>41</v>
      </c>
      <c r="K2058" s="3" t="s">
        <v>41</v>
      </c>
      <c r="L2058" s="3" t="s">
        <v>42</v>
      </c>
      <c r="M2058" s="3" t="s">
        <v>41</v>
      </c>
    </row>
    <row r="2059" spans="1:13" ht="80.45">
      <c r="A2059" s="22" t="s">
        <v>10</v>
      </c>
      <c r="B2059" s="3" t="s">
        <v>6435</v>
      </c>
      <c r="C2059" s="3" t="s">
        <v>6436</v>
      </c>
      <c r="D2059" s="3" t="s">
        <v>45</v>
      </c>
      <c r="E2059" s="3" t="s">
        <v>46</v>
      </c>
      <c r="F2059" s="3" t="s">
        <v>38</v>
      </c>
      <c r="G2059" s="3" t="s">
        <v>91</v>
      </c>
      <c r="H2059" s="3" t="s">
        <v>6437</v>
      </c>
      <c r="I2059" s="3" t="str">
        <f>HYPERLINK("http://www.jccm.es/sede/tramite/H93","SOLICITUD DE PLAZA EN PROGRAMA DE TERMALISMO DE CASTILLA-LA MANCHA")</f>
        <v>SOLICITUD DE PLAZA EN PROGRAMA DE TERMALISMO DE CASTILLA-LA MANCHA</v>
      </c>
      <c r="J2059" s="3" t="s">
        <v>42</v>
      </c>
      <c r="K2059" s="3" t="s">
        <v>41</v>
      </c>
      <c r="L2059" s="3" t="s">
        <v>42</v>
      </c>
      <c r="M2059" s="3" t="s">
        <v>41</v>
      </c>
    </row>
    <row r="2060" spans="1:13" ht="287.45">
      <c r="A2060" s="22" t="s">
        <v>10</v>
      </c>
      <c r="B2060" s="3" t="s">
        <v>6438</v>
      </c>
      <c r="C2060" s="3" t="s">
        <v>6439</v>
      </c>
      <c r="D2060" s="3" t="s">
        <v>192</v>
      </c>
      <c r="E2060" s="3" t="s">
        <v>46</v>
      </c>
      <c r="F2060" s="3" t="s">
        <v>38</v>
      </c>
      <c r="G2060" s="3" t="s">
        <v>6440</v>
      </c>
      <c r="H2060" s="3" t="s">
        <v>6441</v>
      </c>
      <c r="I2060" s="3" t="str">
        <f>HYPERLINK("http://www.jccm.es/sede/tramite/KLV","SUBVENCIONES A ENTIDADES DE INICIATIVA SOCIAL PARA PROGRAMAS DEL SERVICIO DE PROMOCION DE  AUTONOMIA PERSONAL Y PROGRAMAS DE PREVENCION DE PERSONAS EN SITUACION DE DEPENDENCIA O EN RIESGO")</f>
        <v>SUBVENCIONES A ENTIDADES DE INICIATIVA SOCIAL PARA PROGRAMAS DEL SERVICIO DE PROMOCION DE  AUTONOMIA PERSONAL Y PROGRAMAS DE PREVENCION DE PERSONAS EN SITUACION DE DEPENDENCIA O EN RIESGO</v>
      </c>
      <c r="J2060" s="3" t="s">
        <v>41</v>
      </c>
      <c r="K2060" s="3" t="s">
        <v>41</v>
      </c>
      <c r="L2060" s="3" t="s">
        <v>42</v>
      </c>
      <c r="M2060" s="3" t="s">
        <v>41</v>
      </c>
    </row>
    <row r="2061" spans="1:13" ht="321.95">
      <c r="A2061" s="22" t="s">
        <v>10</v>
      </c>
      <c r="B2061" s="3" t="s">
        <v>6442</v>
      </c>
      <c r="C2061" s="3" t="s">
        <v>6443</v>
      </c>
      <c r="D2061" s="3" t="s">
        <v>6444</v>
      </c>
      <c r="E2061" s="3" t="s">
        <v>46</v>
      </c>
      <c r="F2061" s="3" t="s">
        <v>38</v>
      </c>
      <c r="G2061" s="3" t="s">
        <v>78</v>
      </c>
      <c r="H2061" s="3" t="s">
        <v>6445</v>
      </c>
      <c r="I2061" s="3" t="str">
        <f>HYPERLINK("http://www.jccm.es/sede/tramite/KTS","SUBVENCIONES PARA LA REALIZACION DE PROYECTOS DE INTERES GENERAL CON CARGO A LA ASIGNACION TRIBUTARIA DEL IMPUESTO SOBRE LA RENTA DE LAS PERSONAS FISICAS, EN EL AMBITO DE CASTILLA-LA MANCHA.")</f>
        <v>SUBVENCIONES PARA LA REALIZACION DE PROYECTOS DE INTERES GENERAL CON CARGO A LA ASIGNACION TRIBUTARIA DEL IMPUESTO SOBRE LA RENTA DE LAS PERSONAS FISICAS, EN EL AMBITO DE CASTILLA-LA MANCHA.</v>
      </c>
      <c r="J2061" s="3" t="s">
        <v>41</v>
      </c>
      <c r="K2061" s="3" t="s">
        <v>41</v>
      </c>
      <c r="L2061" s="3" t="s">
        <v>42</v>
      </c>
      <c r="M2061" s="3" t="s">
        <v>41</v>
      </c>
    </row>
    <row r="2062" spans="1:13" ht="276">
      <c r="A2062" s="22" t="s">
        <v>10</v>
      </c>
      <c r="B2062" s="3" t="s">
        <v>6446</v>
      </c>
      <c r="C2062" s="3" t="s">
        <v>6447</v>
      </c>
      <c r="D2062" s="3" t="s">
        <v>192</v>
      </c>
      <c r="E2062" s="3" t="s">
        <v>46</v>
      </c>
      <c r="F2062" s="3" t="s">
        <v>38</v>
      </c>
      <c r="G2062" s="3" t="s">
        <v>6440</v>
      </c>
      <c r="H2062" s="3" t="s">
        <v>6448</v>
      </c>
      <c r="I2062" s="3" t="str">
        <f>HYPERLINK("http://www.jccm.es/sede/tramite/KU2","SUBVENCIONES A ENTIDADES LOCALES PARA PROGRAMAS DESTINADOS AL SERVICIO DE PROMOCION DE LA AUTONOMIA PERSONAL DE PERSONAS EN SITUACION DE DEPENDENCIA EN CASTILLA-LA MANCHA.")</f>
        <v>SUBVENCIONES A ENTIDADES LOCALES PARA PROGRAMAS DESTINADOS AL SERVICIO DE PROMOCION DE LA AUTONOMIA PERSONAL DE PERSONAS EN SITUACION DE DEPENDENCIA EN CASTILLA-LA MANCHA.</v>
      </c>
      <c r="J2062" s="3" t="s">
        <v>41</v>
      </c>
      <c r="K2062" s="3" t="s">
        <v>41</v>
      </c>
      <c r="L2062" s="3" t="s">
        <v>42</v>
      </c>
      <c r="M2062" s="3" t="s">
        <v>41</v>
      </c>
    </row>
    <row r="2063" spans="1:13" ht="80.45">
      <c r="A2063" s="22" t="s">
        <v>10</v>
      </c>
      <c r="B2063" s="3" t="s">
        <v>6449</v>
      </c>
      <c r="C2063" s="3" t="s">
        <v>6450</v>
      </c>
      <c r="D2063" s="3" t="s">
        <v>327</v>
      </c>
      <c r="E2063" s="3" t="s">
        <v>37</v>
      </c>
      <c r="F2063" s="3" t="s">
        <v>38</v>
      </c>
      <c r="G2063" s="3" t="s">
        <v>91</v>
      </c>
      <c r="H2063" s="3" t="s">
        <v>6451</v>
      </c>
      <c r="I2063" s="3" t="str">
        <f>HYPERLINK("http://www.jccm.es/sede/tramite/L3F","TARJETA DORADA DE TRANSPORTE PARA MAYORES DE 65 AÑOS")</f>
        <v>TARJETA DORADA DE TRANSPORTE PARA MAYORES DE 65 AÑOS</v>
      </c>
      <c r="J2063" s="3" t="s">
        <v>42</v>
      </c>
      <c r="K2063" s="3" t="s">
        <v>41</v>
      </c>
      <c r="L2063" s="3" t="s">
        <v>42</v>
      </c>
      <c r="M2063" s="3" t="s">
        <v>41</v>
      </c>
    </row>
    <row r="2064" spans="1:13" ht="126.6">
      <c r="A2064" s="22" t="s">
        <v>10</v>
      </c>
      <c r="B2064" s="3" t="s">
        <v>6452</v>
      </c>
      <c r="C2064" s="3" t="s">
        <v>6453</v>
      </c>
      <c r="D2064" s="3" t="s">
        <v>374</v>
      </c>
      <c r="E2064" s="3" t="s">
        <v>46</v>
      </c>
      <c r="F2064" s="3" t="s">
        <v>38</v>
      </c>
      <c r="G2064" s="3" t="s">
        <v>78</v>
      </c>
      <c r="H2064" s="3" t="s">
        <v>6454</v>
      </c>
      <c r="I2064" s="3" t="str">
        <f>HYPERLINK("http://www.jccm.es/sede/tramite/LDH","SOLICITUD DE AYUDA EMERGENCIA EXCEPCIONAL COVID19 PARA PERSONAS CON CERTIFICADO DIGITAL Y PRESOLICITUD DE AYUDA DE EMERGENCIA EXCEPCIONAL PARA PERSONAS SIN CERTIFICADO DIGITAL")</f>
        <v>SOLICITUD DE AYUDA EMERGENCIA EXCEPCIONAL COVID19 PARA PERSONAS CON CERTIFICADO DIGITAL Y PRESOLICITUD DE AYUDA DE EMERGENCIA EXCEPCIONAL PARA PERSONAS SIN CERTIFICADO DIGITAL</v>
      </c>
      <c r="J2064" s="3" t="s">
        <v>42</v>
      </c>
      <c r="K2064" s="3" t="s">
        <v>41</v>
      </c>
      <c r="L2064" s="3" t="s">
        <v>42</v>
      </c>
      <c r="M2064" s="3" t="s">
        <v>41</v>
      </c>
    </row>
    <row r="2065" spans="1:13" ht="264.60000000000002">
      <c r="A2065" s="22" t="s">
        <v>10</v>
      </c>
      <c r="B2065" s="3" t="s">
        <v>6455</v>
      </c>
      <c r="C2065" s="3" t="s">
        <v>6456</v>
      </c>
      <c r="D2065" s="3" t="s">
        <v>95</v>
      </c>
      <c r="E2065" s="3" t="s">
        <v>95</v>
      </c>
      <c r="F2065" s="3" t="s">
        <v>38</v>
      </c>
      <c r="G2065" s="3" t="s">
        <v>78</v>
      </c>
      <c r="H2065" s="3" t="s">
        <v>6457</v>
      </c>
      <c r="I2065" s="3" t="str">
        <f>HYPERLINK("http://www.jccm.es/sede/tramite/LQ3","DECRETO 118/2021, DE 30 DE NOVIEMBRE POR EL QUE SE REGULA LA CONCESION DIRECTA DE UNA SUBVENCION A UNICEF COMITE ESPAÑOL, PARA LA DISTRIBUCION SEGURA Y EQUITATIVA DE LAS VACUNAS CONTRA LA COVID-19.")</f>
        <v>DECRETO 118/2021, DE 30 DE NOVIEMBRE POR EL QUE SE REGULA LA CONCESION DIRECTA DE UNA SUBVENCION A UNICEF COMITE ESPAÑOL, PARA LA DISTRIBUCION SEGURA Y EQUITATIVA DE LAS VACUNAS CONTRA LA COVID-19.</v>
      </c>
      <c r="J2065" s="3" t="s">
        <v>41</v>
      </c>
      <c r="K2065" s="3" t="s">
        <v>41</v>
      </c>
      <c r="L2065" s="3" t="s">
        <v>42</v>
      </c>
      <c r="M2065" s="3" t="s">
        <v>41</v>
      </c>
    </row>
    <row r="2066" spans="1:13" ht="207">
      <c r="A2066" s="22" t="s">
        <v>10</v>
      </c>
      <c r="B2066" s="3" t="s">
        <v>6458</v>
      </c>
      <c r="C2066" s="3" t="s">
        <v>6459</v>
      </c>
      <c r="D2066" s="3" t="s">
        <v>95</v>
      </c>
      <c r="E2066" s="3" t="s">
        <v>95</v>
      </c>
      <c r="F2066" s="3" t="s">
        <v>38</v>
      </c>
      <c r="G2066" s="3" t="s">
        <v>63</v>
      </c>
      <c r="H2066" s="3" t="s">
        <v>6460</v>
      </c>
      <c r="I2066" s="3" t="str">
        <f>HYPERLINK("http://www.jccm.es/sede/tramite/LR9","CONCESION DIRECTA DE SUBVENCIONES A LAS DIPUTACIONES PROVINCIALES  PARA LA GARANTIA DE CUIDADOS DE LAS PERSONAS EN SU ENTORNO.")</f>
        <v>CONCESION DIRECTA DE SUBVENCIONES A LAS DIPUTACIONES PROVINCIALES  PARA LA GARANTIA DE CUIDADOS DE LAS PERSONAS EN SU ENTORNO.</v>
      </c>
      <c r="J2066" s="3" t="s">
        <v>41</v>
      </c>
      <c r="K2066" s="3" t="s">
        <v>41</v>
      </c>
      <c r="L2066" s="3" t="s">
        <v>42</v>
      </c>
      <c r="M2066" s="3" t="s">
        <v>41</v>
      </c>
    </row>
    <row r="2067" spans="1:13" ht="345">
      <c r="A2067" s="22" t="s">
        <v>10</v>
      </c>
      <c r="B2067" s="3" t="s">
        <v>6461</v>
      </c>
      <c r="C2067" s="3" t="s">
        <v>6462</v>
      </c>
      <c r="D2067" s="3" t="s">
        <v>6463</v>
      </c>
      <c r="E2067" s="3" t="s">
        <v>46</v>
      </c>
      <c r="F2067" s="3" t="s">
        <v>38</v>
      </c>
      <c r="G2067" s="3" t="s">
        <v>71</v>
      </c>
      <c r="H2067" s="3" t="s">
        <v>6464</v>
      </c>
      <c r="I2067" s="3" t="str">
        <f>HYPERLINK("http://www.jccm.es/sede/tramite/LRA","SUBVENCIONES PARA LA REALIZACION DE PROYECTOS DESTINADOS A LA MEJORA DE LOS MODELOS DE ATENCION RESIDENCIAL Y ACOGIMIENTO FAMILIAR Y A PROYECTOS DE INNOVACION EN SERVICIOS SOCIALES")</f>
        <v>SUBVENCIONES PARA LA REALIZACION DE PROYECTOS DESTINADOS A LA MEJORA DE LOS MODELOS DE ATENCION RESIDENCIAL Y ACOGIMIENTO FAMILIAR Y A PROYECTOS DE INNOVACION EN SERVICIOS SOCIALES</v>
      </c>
      <c r="J2067" s="3" t="s">
        <v>41</v>
      </c>
      <c r="K2067" s="3" t="s">
        <v>41</v>
      </c>
      <c r="L2067" s="3" t="s">
        <v>42</v>
      </c>
      <c r="M2067" s="3" t="s">
        <v>41</v>
      </c>
    </row>
    <row r="2068" spans="1:13" ht="310.5">
      <c r="A2068" s="22" t="s">
        <v>10</v>
      </c>
      <c r="B2068" s="3" t="s">
        <v>6465</v>
      </c>
      <c r="C2068" s="3" t="s">
        <v>6466</v>
      </c>
      <c r="D2068" s="3" t="s">
        <v>95</v>
      </c>
      <c r="E2068" s="3" t="s">
        <v>95</v>
      </c>
      <c r="F2068" s="3" t="s">
        <v>38</v>
      </c>
      <c r="G2068" s="3" t="s">
        <v>63</v>
      </c>
      <c r="H2068" s="3" t="s">
        <v>6467</v>
      </c>
      <c r="I2068" s="3" t="str">
        <f>HYPERLINK("http://www.jccm.es/sede/tramite/LSU","DECRETO 34/22 DE 3 DE MAYO, DE CONCESION DIRECTA DE SUBVENCION A LA ENTIDAD EAPN-CLM, PARA EL DESARROLLO Y MEJORA DE LAS CAPACIDADES DIGITALES DE LA POBLACION MAS VULNERABLE DE LA REGION,")</f>
        <v>DECRETO 34/22 DE 3 DE MAYO, DE CONCESION DIRECTA DE SUBVENCION A LA ENTIDAD EAPN-CLM, PARA EL DESARROLLO Y MEJORA DE LAS CAPACIDADES DIGITALES DE LA POBLACION MAS VULNERABLE DE LA REGION,</v>
      </c>
      <c r="J2068" s="3" t="s">
        <v>41</v>
      </c>
      <c r="K2068" s="3" t="s">
        <v>41</v>
      </c>
      <c r="L2068" s="3" t="s">
        <v>42</v>
      </c>
      <c r="M2068" s="3" t="s">
        <v>41</v>
      </c>
    </row>
    <row r="2069" spans="1:13" ht="402.6">
      <c r="A2069" s="22" t="s">
        <v>10</v>
      </c>
      <c r="B2069" s="3" t="s">
        <v>6468</v>
      </c>
      <c r="C2069" s="3" t="s">
        <v>6469</v>
      </c>
      <c r="D2069" s="3" t="s">
        <v>6470</v>
      </c>
      <c r="E2069" s="3" t="s">
        <v>46</v>
      </c>
      <c r="F2069" s="3" t="s">
        <v>38</v>
      </c>
      <c r="G2069" s="3" t="s">
        <v>91</v>
      </c>
      <c r="H2069" s="3" t="s">
        <v>6471</v>
      </c>
      <c r="I2069" s="3" t="str">
        <f>HYPERLINK("http://www.jccm.es/sede/tramite/LTK","SOLICITUD DE SUBVENCION PARA FINANCIACION DE PROYECTOS DE INVERSION EN VIVIENDAS Y CENTROS DE MAYORES DE TITULARIDAD MUNICIPAL.")</f>
        <v>SOLICITUD DE SUBVENCION PARA FINANCIACION DE PROYECTOS DE INVERSION EN VIVIENDAS Y CENTROS DE MAYORES DE TITULARIDAD MUNICIPAL.</v>
      </c>
      <c r="J2069" s="3" t="s">
        <v>41</v>
      </c>
      <c r="K2069" s="3" t="s">
        <v>41</v>
      </c>
      <c r="L2069" s="3" t="s">
        <v>42</v>
      </c>
      <c r="M2069" s="3" t="s">
        <v>41</v>
      </c>
    </row>
    <row r="2070" spans="1:13" ht="264.60000000000002">
      <c r="A2070" s="22" t="s">
        <v>10</v>
      </c>
      <c r="B2070" s="3" t="s">
        <v>6472</v>
      </c>
      <c r="C2070" s="3" t="s">
        <v>6473</v>
      </c>
      <c r="D2070" s="3" t="s">
        <v>6474</v>
      </c>
      <c r="E2070" s="3" t="s">
        <v>46</v>
      </c>
      <c r="F2070" s="3" t="s">
        <v>38</v>
      </c>
      <c r="G2070" s="3" t="s">
        <v>91</v>
      </c>
      <c r="H2070" s="3" t="s">
        <v>6475</v>
      </c>
      <c r="I2070" s="3" t="str">
        <f>HYPERLINK("http://www.jccm.es/sede/tramite/LTL","SOLICITUD DE SUBVENCION PARA LA FINANCIACION DE PROYECTOS DE CONSTRUCCION DE RESIDENCIAS DESTINADAS A PERSONAS MAYORES, CON CARGO AL PLAN DE RECUPERACION, TRANSFORMACION Y RESILIENCIA.")</f>
        <v>SOLICITUD DE SUBVENCION PARA LA FINANCIACION DE PROYECTOS DE CONSTRUCCION DE RESIDENCIAS DESTINADAS A PERSONAS MAYORES, CON CARGO AL PLAN DE RECUPERACION, TRANSFORMACION Y RESILIENCIA.</v>
      </c>
      <c r="J2070" s="3" t="s">
        <v>41</v>
      </c>
      <c r="K2070" s="3" t="s">
        <v>41</v>
      </c>
      <c r="L2070" s="3" t="s">
        <v>42</v>
      </c>
      <c r="M2070" s="3" t="s">
        <v>41</v>
      </c>
    </row>
    <row r="2071" spans="1:13" ht="230.1">
      <c r="A2071" s="22" t="s">
        <v>10</v>
      </c>
      <c r="B2071" s="3" t="s">
        <v>6476</v>
      </c>
      <c r="C2071" s="3" t="s">
        <v>6477</v>
      </c>
      <c r="D2071" s="3" t="s">
        <v>95</v>
      </c>
      <c r="E2071" s="3" t="s">
        <v>95</v>
      </c>
      <c r="F2071" s="3" t="s">
        <v>38</v>
      </c>
      <c r="G2071" s="3" t="s">
        <v>71</v>
      </c>
      <c r="H2071" s="3" t="s">
        <v>6478</v>
      </c>
      <c r="I2071" s="3" t="str">
        <f>HYPERLINK("http://www.jccm.es/sede/tramite/LU7","CONCESION DIRECTA DE SUBVENCIONES A DIVERSAS ENTIDADES DE INICIATIVA SOCIAL PARA LA INFORMACION, FORMACION Y VALORACION DE IDONEIDAD DE FAMILIAS PARA ACOGIMIENTO FAMILIAR.")</f>
        <v>CONCESION DIRECTA DE SUBVENCIONES A DIVERSAS ENTIDADES DE INICIATIVA SOCIAL PARA LA INFORMACION, FORMACION Y VALORACION DE IDONEIDAD DE FAMILIAS PARA ACOGIMIENTO FAMILIAR.</v>
      </c>
      <c r="J2071" s="3" t="s">
        <v>41</v>
      </c>
      <c r="K2071" s="3" t="s">
        <v>41</v>
      </c>
      <c r="L2071" s="3" t="s">
        <v>42</v>
      </c>
      <c r="M2071" s="3" t="s">
        <v>41</v>
      </c>
    </row>
    <row r="2072" spans="1:13" ht="264.60000000000002">
      <c r="A2072" s="22" t="s">
        <v>10</v>
      </c>
      <c r="B2072" s="3" t="s">
        <v>6479</v>
      </c>
      <c r="C2072" s="3" t="s">
        <v>6480</v>
      </c>
      <c r="D2072" s="3" t="s">
        <v>45</v>
      </c>
      <c r="E2072" s="3" t="s">
        <v>46</v>
      </c>
      <c r="F2072" s="3" t="s">
        <v>38</v>
      </c>
      <c r="G2072" s="3" t="s">
        <v>39</v>
      </c>
      <c r="H2072" s="3" t="s">
        <v>6481</v>
      </c>
      <c r="I2072" s="3" t="str">
        <f>HYPERLINK("http://www.jccm.es/sede/tramite/LVL","SUBVENCIONES A PERSONAS MAYORES CON DISCAPACIDAD O EN SITUACION DE DEPENDENCIA QUE VIVEN EN ZONAS DE RIESGO O DE EXTREMA/INTENSA DESPOBLACION PARA MEJORA DE LA ACCESIBILIDAD DE SUS VIVIENDAS.")</f>
        <v>SUBVENCIONES A PERSONAS MAYORES CON DISCAPACIDAD O EN SITUACION DE DEPENDENCIA QUE VIVEN EN ZONAS DE RIESGO O DE EXTREMA/INTENSA DESPOBLACION PARA MEJORA DE LA ACCESIBILIDAD DE SUS VIVIENDAS.</v>
      </c>
      <c r="J2072" s="3" t="s">
        <v>42</v>
      </c>
      <c r="K2072" s="3" t="s">
        <v>41</v>
      </c>
      <c r="L2072" s="3" t="s">
        <v>42</v>
      </c>
      <c r="M2072" s="3" t="s">
        <v>41</v>
      </c>
    </row>
    <row r="2073" spans="1:13" ht="195.6">
      <c r="A2073" s="22" t="s">
        <v>10</v>
      </c>
      <c r="B2073" s="3" t="s">
        <v>6482</v>
      </c>
      <c r="C2073" s="3" t="s">
        <v>6483</v>
      </c>
      <c r="D2073" s="3" t="s">
        <v>95</v>
      </c>
      <c r="E2073" s="3" t="s">
        <v>95</v>
      </c>
      <c r="F2073" s="3" t="s">
        <v>38</v>
      </c>
      <c r="G2073" s="3" t="s">
        <v>71</v>
      </c>
      <c r="H2073" s="3" t="s">
        <v>6484</v>
      </c>
      <c r="I2073" s="3" t="str">
        <f>HYPERLINK("http://www.jccm.es/sede/tramite/LVR","CONCESION DIRECTA DE UNA SUBVENCION A LA POI-CLM, DENTRO DEL MECANISMO DE RECUPERACION, TRANSFORMACION Y RESILIENCIA, NEXT GENERATION EU.")</f>
        <v>CONCESION DIRECTA DE UNA SUBVENCION A LA POI-CLM, DENTRO DEL MECANISMO DE RECUPERACION, TRANSFORMACION Y RESILIENCIA, NEXT GENERATION EU.</v>
      </c>
      <c r="J2073" s="3" t="s">
        <v>41</v>
      </c>
      <c r="K2073" s="3" t="s">
        <v>41</v>
      </c>
      <c r="L2073" s="3" t="s">
        <v>42</v>
      </c>
      <c r="M2073" s="3" t="s">
        <v>41</v>
      </c>
    </row>
    <row r="2074" spans="1:13" ht="195.6">
      <c r="A2074" s="22" t="s">
        <v>10</v>
      </c>
      <c r="B2074" s="3" t="s">
        <v>6485</v>
      </c>
      <c r="C2074" s="3" t="s">
        <v>6486</v>
      </c>
      <c r="D2074" s="3" t="s">
        <v>45</v>
      </c>
      <c r="E2074" s="3" t="s">
        <v>46</v>
      </c>
      <c r="F2074" s="3" t="s">
        <v>38</v>
      </c>
      <c r="G2074" s="3" t="s">
        <v>71</v>
      </c>
      <c r="H2074" s="3" t="s">
        <v>6487</v>
      </c>
      <c r="I2074" s="3" t="str">
        <f>HYPERLINK("http://www.jccm.es/sede/tramite/I9C","SOLICITUD DE SUBVENCIONES PARA EL DESARROLLO DE PROGRAMAS DE ACTIVIDADES DESTINADAS A MENORES AFECTADOS POR MEDIDAS DE PROTECCION O JUDICIALES.")</f>
        <v>SOLICITUD DE SUBVENCIONES PARA EL DESARROLLO DE PROGRAMAS DE ACTIVIDADES DESTINADAS A MENORES AFECTADOS POR MEDIDAS DE PROTECCION O JUDICIALES.</v>
      </c>
      <c r="J2074" s="3" t="s">
        <v>41</v>
      </c>
      <c r="K2074" s="3" t="s">
        <v>41</v>
      </c>
      <c r="L2074" s="3" t="s">
        <v>42</v>
      </c>
      <c r="M2074" s="3" t="s">
        <v>41</v>
      </c>
    </row>
    <row r="2075" spans="1:13" ht="195.6">
      <c r="A2075" s="22" t="s">
        <v>10</v>
      </c>
      <c r="B2075" s="3" t="s">
        <v>6488</v>
      </c>
      <c r="C2075" s="3" t="s">
        <v>6489</v>
      </c>
      <c r="D2075" s="3" t="s">
        <v>45</v>
      </c>
      <c r="E2075" s="3" t="s">
        <v>46</v>
      </c>
      <c r="F2075" s="3" t="s">
        <v>38</v>
      </c>
      <c r="G2075" s="3" t="s">
        <v>71</v>
      </c>
      <c r="H2075" s="3" t="s">
        <v>6490</v>
      </c>
      <c r="I2075" s="3" t="str">
        <f>HYPERLINK("http://www.jccm.es/sede/tramite/KQE","JUSTIFICACION SUBVENCIONES PARA EL DESARROLLO DE PROGRAMAS DE ACTIVIDADES DESTINADAS A MENORES AFECTADOS POR MEDIDAS DE PROTECCION O JUDICIALES.")</f>
        <v>JUSTIFICACION SUBVENCIONES PARA EL DESARROLLO DE PROGRAMAS DE ACTIVIDADES DESTINADAS A MENORES AFECTADOS POR MEDIDAS DE PROTECCION O JUDICIALES.</v>
      </c>
      <c r="J2075" s="3" t="s">
        <v>41</v>
      </c>
      <c r="K2075" s="3" t="s">
        <v>41</v>
      </c>
      <c r="L2075" s="3" t="s">
        <v>42</v>
      </c>
      <c r="M2075" s="3" t="s">
        <v>41</v>
      </c>
    </row>
    <row r="2076" spans="1:13" ht="172.5">
      <c r="A2076" s="22" t="s">
        <v>10</v>
      </c>
      <c r="B2076" s="3" t="s">
        <v>6491</v>
      </c>
      <c r="C2076" s="3" t="s">
        <v>6492</v>
      </c>
      <c r="D2076" s="3" t="s">
        <v>45</v>
      </c>
      <c r="E2076" s="3" t="s">
        <v>46</v>
      </c>
      <c r="F2076" s="3" t="s">
        <v>38</v>
      </c>
      <c r="G2076" s="3" t="s">
        <v>91</v>
      </c>
      <c r="H2076" s="3" t="s">
        <v>6493</v>
      </c>
      <c r="I2076" s="3" t="str">
        <f>HYPERLINK("http://www.jccm.es/sede/tramite/KQP","JUSTIFICACION DE SUBVENCION A ENTIDADES PRIVADAS DE INICIATIVA SOCIAL PARA EL DESARROLLO DE PROGRAMAS DE ATENCION A PERSONAS MAYORES.")</f>
        <v>JUSTIFICACION DE SUBVENCION A ENTIDADES PRIVADAS DE INICIATIVA SOCIAL PARA EL DESARROLLO DE PROGRAMAS DE ATENCION A PERSONAS MAYORES.</v>
      </c>
      <c r="J2076" s="3" t="s">
        <v>41</v>
      </c>
      <c r="K2076" s="3" t="s">
        <v>41</v>
      </c>
      <c r="L2076" s="3" t="s">
        <v>42</v>
      </c>
      <c r="M2076" s="3" t="s">
        <v>41</v>
      </c>
    </row>
    <row r="2077" spans="1:13" ht="172.5">
      <c r="A2077" s="22" t="s">
        <v>10</v>
      </c>
      <c r="B2077" s="3" t="s">
        <v>6494</v>
      </c>
      <c r="C2077" s="3" t="s">
        <v>6495</v>
      </c>
      <c r="D2077" s="3" t="s">
        <v>45</v>
      </c>
      <c r="E2077" s="3" t="s">
        <v>46</v>
      </c>
      <c r="F2077" s="3" t="s">
        <v>38</v>
      </c>
      <c r="G2077" s="3" t="s">
        <v>91</v>
      </c>
      <c r="H2077" s="3" t="s">
        <v>6496</v>
      </c>
      <c r="I2077" s="3" t="str">
        <f>HYPERLINK("http://www.jccm.es/sede/tramite/IUF","SOLICITUD DE SUBVENCION A ENTIDADES PRIVADAS DE INICIATIVA SOCIAL PARA EL DESARROLLO DE PROGRAMAS DE ATENCION A PERSONAS MAYORES")</f>
        <v>SOLICITUD DE SUBVENCION A ENTIDADES PRIVADAS DE INICIATIVA SOCIAL PARA EL DESARROLLO DE PROGRAMAS DE ATENCION A PERSONAS MAYORES</v>
      </c>
      <c r="J2077" s="3" t="s">
        <v>41</v>
      </c>
      <c r="K2077" s="3" t="s">
        <v>41</v>
      </c>
      <c r="L2077" s="3" t="s">
        <v>42</v>
      </c>
      <c r="M2077" s="3" t="s">
        <v>41</v>
      </c>
    </row>
    <row r="2078" spans="1:13" ht="241.5">
      <c r="A2078" s="22" t="s">
        <v>10</v>
      </c>
      <c r="B2078" s="3" t="s">
        <v>6497</v>
      </c>
      <c r="C2078" s="3" t="s">
        <v>6498</v>
      </c>
      <c r="D2078" s="3" t="s">
        <v>45</v>
      </c>
      <c r="E2078" s="3" t="s">
        <v>46</v>
      </c>
      <c r="F2078" s="3" t="s">
        <v>38</v>
      </c>
      <c r="G2078" s="3" t="s">
        <v>47</v>
      </c>
      <c r="H2078" s="3" t="s">
        <v>6499</v>
      </c>
      <c r="I2078" s="3" t="str">
        <f>HYPERLINK("http://www.jccm.es/sede/tramite/KS3","JUSTIFICACION DE SUBVENCION A ENTIDADES PRIVADAS, DE INICIATIVA SOCIAL, PARA MANTENIMIENTO DE CENTROS, SERVICIOS Y DESARROLLO DE PROGRAMAS PARA LA ATENCION A PERSONAS CON DISCAPACIDAD.")</f>
        <v>JUSTIFICACION DE SUBVENCION A ENTIDADES PRIVADAS, DE INICIATIVA SOCIAL, PARA MANTENIMIENTO DE CENTROS, SERVICIOS Y DESARROLLO DE PROGRAMAS PARA LA ATENCION A PERSONAS CON DISCAPACIDAD.</v>
      </c>
      <c r="J2078" s="3" t="s">
        <v>41</v>
      </c>
      <c r="K2078" s="3" t="s">
        <v>41</v>
      </c>
      <c r="L2078" s="3" t="s">
        <v>42</v>
      </c>
      <c r="M2078" s="3" t="s">
        <v>41</v>
      </c>
    </row>
    <row r="2079" spans="1:13" ht="218.45">
      <c r="A2079" s="22" t="s">
        <v>10</v>
      </c>
      <c r="B2079" s="3" t="s">
        <v>6500</v>
      </c>
      <c r="C2079" s="3" t="s">
        <v>6501</v>
      </c>
      <c r="D2079" s="3" t="s">
        <v>45</v>
      </c>
      <c r="E2079" s="3" t="s">
        <v>46</v>
      </c>
      <c r="F2079" s="3" t="s">
        <v>38</v>
      </c>
      <c r="G2079" s="3" t="s">
        <v>47</v>
      </c>
      <c r="H2079" s="3" t="s">
        <v>6502</v>
      </c>
      <c r="I2079" s="3" t="str">
        <f>HYPERLINK("http://www.jccm.es/sede/tramite/H58","SUBVENCION A ENTIDADES PRIVADAS, DE INICIATIVA SOCIAL, PARA MANTENIMIENTO DE CENTROS, SERVICIOS Y DESARROLLO DE PROGRAMAS PARA LA ATENCION A PERSONAS CON DISCAPACIDAD.")</f>
        <v>SUBVENCION A ENTIDADES PRIVADAS, DE INICIATIVA SOCIAL, PARA MANTENIMIENTO DE CENTROS, SERVICIOS Y DESARROLLO DE PROGRAMAS PARA LA ATENCION A PERSONAS CON DISCAPACIDAD.</v>
      </c>
      <c r="J2079" s="3" t="s">
        <v>41</v>
      </c>
      <c r="K2079" s="3" t="s">
        <v>41</v>
      </c>
      <c r="L2079" s="3" t="s">
        <v>42</v>
      </c>
      <c r="M2079" s="3" t="s">
        <v>41</v>
      </c>
    </row>
    <row r="2080" spans="1:13" ht="172.5">
      <c r="A2080" s="22" t="s">
        <v>10</v>
      </c>
      <c r="B2080" s="3" t="s">
        <v>6503</v>
      </c>
      <c r="C2080" s="3" t="s">
        <v>6504</v>
      </c>
      <c r="D2080" s="3" t="s">
        <v>70</v>
      </c>
      <c r="E2080" s="3" t="s">
        <v>46</v>
      </c>
      <c r="F2080" s="3" t="s">
        <v>38</v>
      </c>
      <c r="G2080" s="3" t="s">
        <v>71</v>
      </c>
      <c r="H2080" s="3" t="s">
        <v>6505</v>
      </c>
      <c r="I2080" s="3" t="str">
        <f>HYPERLINK("http://www.jccm.es/sede/tramite/B55","SOLICITUD DE SUBVENCIONES PARA EL MANTENIMIENTO DE CENTROS DESTINADOS A MENORES AFECTADOS POR MEDIDAS DE PROTECCION O JUDICIALES.")</f>
        <v>SOLICITUD DE SUBVENCIONES PARA EL MANTENIMIENTO DE CENTROS DESTINADOS A MENORES AFECTADOS POR MEDIDAS DE PROTECCION O JUDICIALES.</v>
      </c>
      <c r="J2080" s="3" t="s">
        <v>41</v>
      </c>
      <c r="K2080" s="3" t="s">
        <v>41</v>
      </c>
      <c r="L2080" s="3" t="s">
        <v>42</v>
      </c>
      <c r="M2080" s="3" t="s">
        <v>41</v>
      </c>
    </row>
    <row r="2081" spans="1:13" ht="172.5">
      <c r="A2081" s="22" t="s">
        <v>10</v>
      </c>
      <c r="B2081" s="3" t="s">
        <v>6506</v>
      </c>
      <c r="C2081" s="3" t="s">
        <v>6507</v>
      </c>
      <c r="D2081" s="3" t="s">
        <v>70</v>
      </c>
      <c r="E2081" s="3" t="s">
        <v>46</v>
      </c>
      <c r="F2081" s="3" t="s">
        <v>38</v>
      </c>
      <c r="G2081" s="3" t="s">
        <v>71</v>
      </c>
      <c r="H2081" s="3" t="s">
        <v>6508</v>
      </c>
      <c r="I2081" s="3" t="str">
        <f>HYPERLINK("http://www.jccm.es/sede/tramite/KP2","JUSTIFICACION DE SUBVENCIONES PARA EL MANTENIMIENTO DE CENTROS DESTINADOS A MENORES AFECTADOS POR MEDIDAS DE PROTECCION O JUDICIALES.")</f>
        <v>JUSTIFICACION DE SUBVENCIONES PARA EL MANTENIMIENTO DE CENTROS DESTINADOS A MENORES AFECTADOS POR MEDIDAS DE PROTECCION O JUDICIALES.</v>
      </c>
      <c r="J2081" s="3" t="s">
        <v>41</v>
      </c>
      <c r="K2081" s="3" t="s">
        <v>41</v>
      </c>
      <c r="L2081" s="3" t="s">
        <v>42</v>
      </c>
      <c r="M2081" s="3" t="s">
        <v>41</v>
      </c>
    </row>
    <row r="2082" spans="1:13" ht="138">
      <c r="A2082" s="22" t="s">
        <v>10</v>
      </c>
      <c r="B2082" s="3" t="s">
        <v>6509</v>
      </c>
      <c r="C2082" s="3" t="s">
        <v>6510</v>
      </c>
      <c r="D2082" s="3" t="s">
        <v>45</v>
      </c>
      <c r="E2082" s="3" t="s">
        <v>46</v>
      </c>
      <c r="F2082" s="3" t="s">
        <v>38</v>
      </c>
      <c r="G2082" s="3" t="s">
        <v>63</v>
      </c>
      <c r="H2082" s="3" t="s">
        <v>6511</v>
      </c>
      <c r="I2082" s="3" t="str">
        <f>HYPERLINK("http://www.jccm.es/sede/tramite/IR1","SUBVENCION PARA LA FINANCIACION DE PROYECTOS DE INCLUSION SOCIAL DEL SISTEMA PUBLICO DE SERVICIOS SOCIALES.")</f>
        <v>SUBVENCION PARA LA FINANCIACION DE PROYECTOS DE INCLUSION SOCIAL DEL SISTEMA PUBLICO DE SERVICIOS SOCIALES.</v>
      </c>
      <c r="J2082" s="3" t="s">
        <v>41</v>
      </c>
      <c r="K2082" s="3" t="s">
        <v>41</v>
      </c>
      <c r="L2082" s="3" t="s">
        <v>42</v>
      </c>
      <c r="M2082" s="3" t="s">
        <v>41</v>
      </c>
    </row>
    <row r="2083" spans="1:13" ht="161.1">
      <c r="A2083" s="22" t="s">
        <v>10</v>
      </c>
      <c r="B2083" s="3" t="s">
        <v>6512</v>
      </c>
      <c r="C2083" s="3" t="s">
        <v>6513</v>
      </c>
      <c r="D2083" s="3" t="s">
        <v>45</v>
      </c>
      <c r="E2083" s="3" t="s">
        <v>46</v>
      </c>
      <c r="F2083" s="3" t="s">
        <v>38</v>
      </c>
      <c r="G2083" s="3" t="s">
        <v>63</v>
      </c>
      <c r="H2083" s="3" t="s">
        <v>6514</v>
      </c>
      <c r="I2083" s="3" t="str">
        <f>HYPERLINK("http://www.jccm.es/sede/tramite/KU4","JUSTIFICACION DE SUBVENCION PARA LA FINANCIACION DE PROYECTOS DE INCLUSION SOCIAL DEL SISTEMA PUBLICO DE SERVICIOS SOCIALES")</f>
        <v>JUSTIFICACION DE SUBVENCION PARA LA FINANCIACION DE PROYECTOS DE INCLUSION SOCIAL DEL SISTEMA PUBLICO DE SERVICIOS SOCIALES</v>
      </c>
      <c r="J2083" s="3" t="s">
        <v>41</v>
      </c>
      <c r="K2083" s="3" t="s">
        <v>41</v>
      </c>
      <c r="L2083" s="3" t="s">
        <v>42</v>
      </c>
      <c r="M2083" s="3" t="s">
        <v>41</v>
      </c>
    </row>
    <row r="2084" spans="1:13" ht="333.6">
      <c r="A2084" s="22" t="s">
        <v>10</v>
      </c>
      <c r="B2084" s="3" t="s">
        <v>6515</v>
      </c>
      <c r="C2084" s="3" t="s">
        <v>6516</v>
      </c>
      <c r="D2084" s="3" t="s">
        <v>6517</v>
      </c>
      <c r="E2084" s="3" t="s">
        <v>46</v>
      </c>
      <c r="F2084" s="3" t="s">
        <v>38</v>
      </c>
      <c r="G2084" s="3" t="s">
        <v>47</v>
      </c>
      <c r="H2084" s="3" t="s">
        <v>6518</v>
      </c>
      <c r="I2084" s="3" t="str">
        <f>HYPERLINK("http://www.jccm.es/sede/tramite/J2X","SUBVENCIONES A ENTIDADES LOCALES EN EL AMBITO DE LA ATENCION A LAS PERSONAS CON DISCAPACIDAD INTELECTUAL EN CASTILLA-LA MANCHA.")</f>
        <v>SUBVENCIONES A ENTIDADES LOCALES EN EL AMBITO DE LA ATENCION A LAS PERSONAS CON DISCAPACIDAD INTELECTUAL EN CASTILLA-LA MANCHA.</v>
      </c>
      <c r="J2084" s="3" t="s">
        <v>41</v>
      </c>
      <c r="K2084" s="3" t="s">
        <v>41</v>
      </c>
      <c r="L2084" s="3" t="s">
        <v>42</v>
      </c>
      <c r="M2084" s="3" t="s">
        <v>41</v>
      </c>
    </row>
    <row r="2085" spans="1:13" ht="207">
      <c r="A2085" s="22" t="s">
        <v>10</v>
      </c>
      <c r="B2085" s="3" t="s">
        <v>6519</v>
      </c>
      <c r="C2085" s="3" t="s">
        <v>6520</v>
      </c>
      <c r="D2085" s="3" t="s">
        <v>70</v>
      </c>
      <c r="E2085" s="3" t="s">
        <v>46</v>
      </c>
      <c r="F2085" s="3" t="s">
        <v>38</v>
      </c>
      <c r="G2085" s="3" t="s">
        <v>47</v>
      </c>
      <c r="H2085" s="3" t="s">
        <v>6521</v>
      </c>
      <c r="I2085" s="3" t="str">
        <f>HYPERLINK("http://www.jccm.es/sede/tramite/KTF","JUSTIFICACION DE LAS SUBVENCIONES A ENTIDADES LOCALES EN EL AMBITO DE LA ATENCION A LAS PERSONAS CON DISCAPACIDAD INTELECTUAL EN CASTILLA-LA MANCHA.")</f>
        <v>JUSTIFICACION DE LAS SUBVENCIONES A ENTIDADES LOCALES EN EL AMBITO DE LA ATENCION A LAS PERSONAS CON DISCAPACIDAD INTELECTUAL EN CASTILLA-LA MANCHA.</v>
      </c>
      <c r="J2085" s="3" t="s">
        <v>41</v>
      </c>
      <c r="K2085" s="3" t="s">
        <v>41</v>
      </c>
      <c r="L2085" s="3" t="s">
        <v>42</v>
      </c>
      <c r="M2085" s="3" t="s">
        <v>41</v>
      </c>
    </row>
    <row r="2086" spans="1:13" ht="149.44999999999999">
      <c r="A2086" s="22" t="s">
        <v>10</v>
      </c>
      <c r="B2086" s="3" t="s">
        <v>6522</v>
      </c>
      <c r="C2086" s="3" t="s">
        <v>6523</v>
      </c>
      <c r="D2086" s="3" t="s">
        <v>45</v>
      </c>
      <c r="E2086" s="3" t="s">
        <v>46</v>
      </c>
      <c r="F2086" s="3" t="s">
        <v>38</v>
      </c>
      <c r="G2086" s="3" t="s">
        <v>71</v>
      </c>
      <c r="H2086" s="3" t="s">
        <v>6524</v>
      </c>
      <c r="I2086" s="3" t="str">
        <f>HYPERLINK("http://www.jccm.es/sede/tramite/JLO","SOLICITUD SUBVENCIONES A ENTIDADES PARA EL MANTENIMIENTO DE SERVICIOS Y PROGRAMAS DE ATENCION A INFANCIA Y FAMILIA.")</f>
        <v>SOLICITUD SUBVENCIONES A ENTIDADES PARA EL MANTENIMIENTO DE SERVICIOS Y PROGRAMAS DE ATENCION A INFANCIA Y FAMILIA.</v>
      </c>
      <c r="J2086" s="3" t="s">
        <v>41</v>
      </c>
      <c r="K2086" s="3" t="s">
        <v>41</v>
      </c>
      <c r="L2086" s="3" t="s">
        <v>42</v>
      </c>
      <c r="M2086" s="3" t="s">
        <v>41</v>
      </c>
    </row>
    <row r="2087" spans="1:13" ht="172.5">
      <c r="A2087" s="22" t="s">
        <v>10</v>
      </c>
      <c r="B2087" s="3" t="s">
        <v>6525</v>
      </c>
      <c r="C2087" s="3" t="s">
        <v>6526</v>
      </c>
      <c r="D2087" s="3" t="s">
        <v>45</v>
      </c>
      <c r="E2087" s="3" t="s">
        <v>46</v>
      </c>
      <c r="F2087" s="3" t="s">
        <v>38</v>
      </c>
      <c r="G2087" s="3" t="s">
        <v>71</v>
      </c>
      <c r="H2087" s="3" t="s">
        <v>6527</v>
      </c>
      <c r="I2087" s="3" t="str">
        <f>HYPERLINK("http://www.jccm.es/sede/tramite/KPH","JUSTIFICACION SUBVENCIONES PARA EL DESARROLLO DE SERVICIOS Y PROGRAMAS DE PREVENCION Y ATENCION A LA INFANCIA Y A LAS FAMILIAS.")</f>
        <v>JUSTIFICACION SUBVENCIONES PARA EL DESARROLLO DE SERVICIOS Y PROGRAMAS DE PREVENCION Y ATENCION A LA INFANCIA Y A LAS FAMILIAS.</v>
      </c>
      <c r="J2087" s="3" t="s">
        <v>41</v>
      </c>
      <c r="K2087" s="3" t="s">
        <v>41</v>
      </c>
      <c r="L2087" s="3" t="s">
        <v>42</v>
      </c>
      <c r="M2087" s="3" t="s">
        <v>41</v>
      </c>
    </row>
    <row r="2088" spans="1:13" ht="195.6">
      <c r="A2088" s="22" t="s">
        <v>10</v>
      </c>
      <c r="B2088" s="3" t="s">
        <v>6528</v>
      </c>
      <c r="C2088" s="3" t="s">
        <v>6529</v>
      </c>
      <c r="D2088" s="3" t="s">
        <v>45</v>
      </c>
      <c r="E2088" s="3" t="s">
        <v>46</v>
      </c>
      <c r="F2088" s="3" t="s">
        <v>38</v>
      </c>
      <c r="G2088" s="3" t="s">
        <v>91</v>
      </c>
      <c r="H2088" s="3" t="s">
        <v>6530</v>
      </c>
      <c r="I2088" s="3" t="str">
        <f>HYPERLINK("http://www.jccm.es/sede/tramite/L4Y","JUSTIFICACION DE LAS RUTAS CONCEDIDAS EN EL MARCO DEL PROGRAMA MAYORES ACTIVOS. RUTAS CULTURALES Y DE OCIO PARA PERSONAS MAYORES DE CASTILLA-LA MANCHA.")</f>
        <v>JUSTIFICACION DE LAS RUTAS CONCEDIDAS EN EL MARCO DEL PROGRAMA MAYORES ACTIVOS. RUTAS CULTURALES Y DE OCIO PARA PERSONAS MAYORES DE CASTILLA-LA MANCHA.</v>
      </c>
      <c r="J2088" s="3" t="s">
        <v>41</v>
      </c>
      <c r="K2088" s="3" t="s">
        <v>41</v>
      </c>
      <c r="L2088" s="3" t="s">
        <v>42</v>
      </c>
      <c r="M2088" s="3" t="s">
        <v>41</v>
      </c>
    </row>
    <row r="2089" spans="1:13" ht="126.6">
      <c r="A2089" s="22" t="s">
        <v>10</v>
      </c>
      <c r="B2089" s="3" t="s">
        <v>6531</v>
      </c>
      <c r="C2089" s="3" t="s">
        <v>6532</v>
      </c>
      <c r="D2089" s="3" t="s">
        <v>45</v>
      </c>
      <c r="E2089" s="3" t="s">
        <v>46</v>
      </c>
      <c r="F2089" s="3" t="s">
        <v>38</v>
      </c>
      <c r="G2089" s="3" t="s">
        <v>91</v>
      </c>
      <c r="H2089" s="3" t="s">
        <v>6533</v>
      </c>
      <c r="I2089" s="3" t="str">
        <f>HYPERLINK("http://www.jccm.es/sede/tramite/L3G","PROGRAMA MAYORES ACTIVOS. RUTAS CULTURALES Y DE OCIO PARA PERSONAS MAYORES DE CASTILLA-LA MANCHA")</f>
        <v>PROGRAMA MAYORES ACTIVOS. RUTAS CULTURALES Y DE OCIO PARA PERSONAS MAYORES DE CASTILLA-LA MANCHA</v>
      </c>
      <c r="J2089" s="3" t="s">
        <v>41</v>
      </c>
      <c r="K2089" s="3" t="s">
        <v>41</v>
      </c>
      <c r="L2089" s="3" t="s">
        <v>42</v>
      </c>
      <c r="M2089" s="3" t="s">
        <v>41</v>
      </c>
    </row>
    <row r="2090" spans="1:13" ht="252.95">
      <c r="A2090" s="22" t="s">
        <v>10</v>
      </c>
      <c r="B2090" s="3" t="s">
        <v>6534</v>
      </c>
      <c r="C2090" s="3" t="s">
        <v>6535</v>
      </c>
      <c r="D2090" s="3" t="s">
        <v>6536</v>
      </c>
      <c r="E2090" s="3" t="s">
        <v>46</v>
      </c>
      <c r="F2090" s="3" t="s">
        <v>38</v>
      </c>
      <c r="G2090" s="3" t="s">
        <v>91</v>
      </c>
      <c r="H2090" s="3" t="s">
        <v>6537</v>
      </c>
      <c r="I2090" s="3" t="str">
        <f>HYPERLINK("http://www.jccm.es/sede/tramite/LFG","JUSTIFICACION DE LA SUBVENCION A CENTROS RESIDENCIALES, COMO CONSECUENCIA DE LA COVID-19, PARA LA ATENCION Y CUIDADO DE LAS PERSONAS MAYORES.")</f>
        <v>JUSTIFICACION DE LA SUBVENCION A CENTROS RESIDENCIALES, COMO CONSECUENCIA DE LA COVID-19, PARA LA ATENCION Y CUIDADO DE LAS PERSONAS MAYORES.</v>
      </c>
      <c r="J2090" s="3" t="s">
        <v>41</v>
      </c>
      <c r="K2090" s="3" t="s">
        <v>41</v>
      </c>
      <c r="L2090" s="3" t="s">
        <v>42</v>
      </c>
      <c r="M2090" s="3" t="s">
        <v>41</v>
      </c>
    </row>
    <row r="2091" spans="1:13" ht="252.95">
      <c r="A2091" s="22" t="s">
        <v>10</v>
      </c>
      <c r="B2091" s="3" t="s">
        <v>6538</v>
      </c>
      <c r="C2091" s="3" t="s">
        <v>6539</v>
      </c>
      <c r="D2091" s="3" t="s">
        <v>6536</v>
      </c>
      <c r="E2091" s="3" t="s">
        <v>46</v>
      </c>
      <c r="F2091" s="3" t="s">
        <v>38</v>
      </c>
      <c r="G2091" s="3" t="s">
        <v>91</v>
      </c>
      <c r="H2091" s="3" t="s">
        <v>6540</v>
      </c>
      <c r="I2091" s="3" t="str">
        <f>HYPERLINK("http://www.jccm.es/sede/tramite/LFF","SOLICITUD DE SUBVENCION A CENTROS RESIDENCIALES, COMO CONSECUENCIA DE LA COVID-19, PARA LA ATENCION Y CUIDADO DE LAS PERSONAS MAYORES.")</f>
        <v>SOLICITUD DE SUBVENCION A CENTROS RESIDENCIALES, COMO CONSECUENCIA DE LA COVID-19, PARA LA ATENCION Y CUIDADO DE LAS PERSONAS MAYORES.</v>
      </c>
      <c r="J2091" s="3" t="s">
        <v>41</v>
      </c>
      <c r="K2091" s="3" t="s">
        <v>41</v>
      </c>
      <c r="L2091" s="3" t="s">
        <v>42</v>
      </c>
      <c r="M2091" s="3" t="s">
        <v>41</v>
      </c>
    </row>
    <row r="2092" spans="1:13" ht="114.95">
      <c r="A2092" s="22" t="s">
        <v>10</v>
      </c>
      <c r="B2092" s="3" t="s">
        <v>6541</v>
      </c>
      <c r="C2092" s="3" t="s">
        <v>6542</v>
      </c>
      <c r="D2092" s="3" t="s">
        <v>45</v>
      </c>
      <c r="E2092" s="3" t="s">
        <v>46</v>
      </c>
      <c r="F2092" s="3" t="s">
        <v>38</v>
      </c>
      <c r="G2092" s="3" t="s">
        <v>91</v>
      </c>
      <c r="H2092" s="3" t="s">
        <v>6543</v>
      </c>
      <c r="I2092" s="3" t="str">
        <f>HYPERLINK("http://www.jccm.es/sede/tramite/LJN","SOLICITUD DE SUBVENCION LINEA 1. CENTROS Y SERVICIOS DE ATENCION A PERSONAS MAYORES.")</f>
        <v>SOLICITUD DE SUBVENCION LINEA 1. CENTROS Y SERVICIOS DE ATENCION A PERSONAS MAYORES.</v>
      </c>
      <c r="J2092" s="3" t="s">
        <v>41</v>
      </c>
      <c r="K2092" s="3" t="s">
        <v>41</v>
      </c>
      <c r="L2092" s="3" t="s">
        <v>42</v>
      </c>
      <c r="M2092" s="3" t="s">
        <v>41</v>
      </c>
    </row>
    <row r="2093" spans="1:13" ht="138">
      <c r="A2093" s="22" t="s">
        <v>10</v>
      </c>
      <c r="B2093" s="3" t="s">
        <v>6544</v>
      </c>
      <c r="C2093" s="3" t="s">
        <v>6545</v>
      </c>
      <c r="D2093" s="3" t="s">
        <v>45</v>
      </c>
      <c r="E2093" s="3" t="s">
        <v>46</v>
      </c>
      <c r="F2093" s="3" t="s">
        <v>38</v>
      </c>
      <c r="G2093" s="3" t="s">
        <v>47</v>
      </c>
      <c r="H2093" s="3" t="s">
        <v>6546</v>
      </c>
      <c r="I2093" s="3" t="str">
        <f>HYPERLINK("http://www.jccm.es/sede/tramite/LJP","SOLICITUD DE SUBVENCION LINEA 2. CENTROS Y SERVICIOS DE ATENCION A PERSONAS CON DISCAPACIDAD")</f>
        <v>SOLICITUD DE SUBVENCION LINEA 2. CENTROS Y SERVICIOS DE ATENCION A PERSONAS CON DISCAPACIDAD</v>
      </c>
      <c r="J2093" s="3" t="s">
        <v>41</v>
      </c>
      <c r="K2093" s="3" t="s">
        <v>41</v>
      </c>
      <c r="L2093" s="3" t="s">
        <v>42</v>
      </c>
      <c r="M2093" s="3" t="s">
        <v>41</v>
      </c>
    </row>
    <row r="2094" spans="1:13" ht="114.95">
      <c r="A2094" s="22" t="s">
        <v>10</v>
      </c>
      <c r="B2094" s="3" t="s">
        <v>6547</v>
      </c>
      <c r="C2094" s="3" t="s">
        <v>6548</v>
      </c>
      <c r="D2094" s="3" t="s">
        <v>45</v>
      </c>
      <c r="E2094" s="3" t="s">
        <v>46</v>
      </c>
      <c r="F2094" s="3" t="s">
        <v>38</v>
      </c>
      <c r="G2094" s="3" t="s">
        <v>63</v>
      </c>
      <c r="H2094" s="3" t="s">
        <v>6549</v>
      </c>
      <c r="I2094" s="3" t="str">
        <f>HYPERLINK("http://www.jccm.es/sede/tramite/LJR","SOLICITUD DE SUBVENCION LINEA 3. CENTROS Y SERVICIOS DE ATENCION A PERSONAS SIN HOGAR")</f>
        <v>SOLICITUD DE SUBVENCION LINEA 3. CENTROS Y SERVICIOS DE ATENCION A PERSONAS SIN HOGAR</v>
      </c>
      <c r="J2094" s="3" t="s">
        <v>41</v>
      </c>
      <c r="K2094" s="3" t="s">
        <v>41</v>
      </c>
      <c r="L2094" s="3" t="s">
        <v>42</v>
      </c>
      <c r="M2094" s="3" t="s">
        <v>41</v>
      </c>
    </row>
    <row r="2095" spans="1:13" ht="207">
      <c r="A2095" s="22" t="s">
        <v>10</v>
      </c>
      <c r="B2095" s="3" t="s">
        <v>6550</v>
      </c>
      <c r="C2095" s="3" t="s">
        <v>6551</v>
      </c>
      <c r="D2095" s="3" t="s">
        <v>45</v>
      </c>
      <c r="E2095" s="3" t="s">
        <v>46</v>
      </c>
      <c r="F2095" s="3" t="s">
        <v>38</v>
      </c>
      <c r="G2095" s="3" t="s">
        <v>6440</v>
      </c>
      <c r="H2095" s="3" t="s">
        <v>6552</v>
      </c>
      <c r="I2095" s="3" t="str">
        <f>HYPERLINK("http://www.jccm.es/sede/tramite/LJT","SOLICITUD DE SUBVENCION LINEA 4. SERVICIOS DE PROMOCION DE LA AUTONOMIA PERSONAL (SEPAP MERJORAT) Y SERVICIOS DE PREVENCION DE LA DEPENDENCIA")</f>
        <v>SOLICITUD DE SUBVENCION LINEA 4. SERVICIOS DE PROMOCION DE LA AUTONOMIA PERSONAL (SEPAP MERJORAT) Y SERVICIOS DE PREVENCION DE LA DEPENDENCIA</v>
      </c>
      <c r="J2095" s="3" t="s">
        <v>41</v>
      </c>
      <c r="K2095" s="3" t="s">
        <v>41</v>
      </c>
      <c r="L2095" s="3" t="s">
        <v>42</v>
      </c>
      <c r="M2095" s="3" t="s">
        <v>41</v>
      </c>
    </row>
    <row r="2096" spans="1:13" ht="195.6">
      <c r="A2096" s="22" t="s">
        <v>10</v>
      </c>
      <c r="B2096" s="3" t="s">
        <v>6553</v>
      </c>
      <c r="C2096" s="3" t="s">
        <v>6554</v>
      </c>
      <c r="D2096" s="3" t="s">
        <v>45</v>
      </c>
      <c r="E2096" s="3" t="s">
        <v>46</v>
      </c>
      <c r="F2096" s="3" t="s">
        <v>38</v>
      </c>
      <c r="G2096" s="3" t="s">
        <v>71</v>
      </c>
      <c r="H2096" s="3" t="s">
        <v>6555</v>
      </c>
      <c r="I2096" s="3" t="str">
        <f>HYPERLINK("http://www.jccm.es/sede/tramite/LJV","SOLICITUD DE SUBVENCION LINEA 5. CENTROS Y HOGARES DE ATENCION RESIDENCIAL DE NIÑOS, NIÑAS Y ADOLESCENTES TUTELADOS, SERVICIOS DE APOYO A MENORES.")</f>
        <v>SOLICITUD DE SUBVENCION LINEA 5. CENTROS Y HOGARES DE ATENCION RESIDENCIAL DE NIÑOS, NIÑAS Y ADOLESCENTES TUTELADOS, SERVICIOS DE APOYO A MENORES.</v>
      </c>
      <c r="J2096" s="3" t="s">
        <v>41</v>
      </c>
      <c r="K2096" s="3" t="s">
        <v>41</v>
      </c>
      <c r="L2096" s="3" t="s">
        <v>42</v>
      </c>
      <c r="M2096" s="3" t="s">
        <v>41</v>
      </c>
    </row>
    <row r="2097" spans="1:13" ht="126.6">
      <c r="A2097" s="22" t="s">
        <v>10</v>
      </c>
      <c r="B2097" s="3" t="s">
        <v>6556</v>
      </c>
      <c r="C2097" s="3" t="s">
        <v>6557</v>
      </c>
      <c r="D2097" s="3" t="s">
        <v>45</v>
      </c>
      <c r="E2097" s="3" t="s">
        <v>46</v>
      </c>
      <c r="F2097" s="3" t="s">
        <v>38</v>
      </c>
      <c r="G2097" s="3" t="s">
        <v>78</v>
      </c>
      <c r="H2097" s="3" t="s">
        <v>6558</v>
      </c>
      <c r="I2097" s="3" t="str">
        <f>HYPERLINK("http://www.jccm.es/sede/tramite/LJX","SOLICITUD DE SUBVENCION LINEA 6. ENTIDADES DEL TERCER SECTOR DE ACCION SOCIAL")</f>
        <v>SOLICITUD DE SUBVENCION LINEA 6. ENTIDADES DEL TERCER SECTOR DE ACCION SOCIAL</v>
      </c>
      <c r="J2097" s="3" t="s">
        <v>41</v>
      </c>
      <c r="K2097" s="3" t="s">
        <v>41</v>
      </c>
      <c r="L2097" s="3" t="s">
        <v>42</v>
      </c>
      <c r="M2097" s="3" t="s">
        <v>41</v>
      </c>
    </row>
    <row r="2098" spans="1:13" ht="252.95">
      <c r="A2098" s="22" t="s">
        <v>10</v>
      </c>
      <c r="B2098" s="3" t="s">
        <v>6559</v>
      </c>
      <c r="C2098" s="3" t="s">
        <v>6560</v>
      </c>
      <c r="D2098" s="3" t="s">
        <v>45</v>
      </c>
      <c r="E2098" s="3" t="s">
        <v>46</v>
      </c>
      <c r="F2098" s="3" t="s">
        <v>38</v>
      </c>
      <c r="G2098" s="3" t="s">
        <v>39</v>
      </c>
      <c r="H2098" s="3" t="s">
        <v>6561</v>
      </c>
      <c r="I2098" s="3" t="str">
        <f>HYPERLINK("http://www.jccm.es/sede/tramite/LOL","MODELO DE CUENTA JUSTIFICATIVA SIMPLIFICADA DE SUBVENCIONES DESTINADAS A LA MEJORA DE LA ACCESIBILIDAD DE INFRAESTRUCTURAS Y EQUIPAMIENTOS EELL  CON POBLACION INFERIOR O IGUAL A 1000 HABITANTES")</f>
        <v>MODELO DE CUENTA JUSTIFICATIVA SIMPLIFICADA DE SUBVENCIONES DESTINADAS A LA MEJORA DE LA ACCESIBILIDAD DE INFRAESTRUCTURAS Y EQUIPAMIENTOS EELL  CON POBLACION INFERIOR O IGUAL A 1000 HABITANTES</v>
      </c>
      <c r="J2098" s="3" t="s">
        <v>41</v>
      </c>
      <c r="K2098" s="3" t="s">
        <v>41</v>
      </c>
      <c r="L2098" s="3" t="s">
        <v>42</v>
      </c>
      <c r="M2098" s="3" t="s">
        <v>41</v>
      </c>
    </row>
    <row r="2099" spans="1:13" ht="230.1">
      <c r="A2099" s="22" t="s">
        <v>10</v>
      </c>
      <c r="B2099" s="3" t="s">
        <v>6562</v>
      </c>
      <c r="C2099" s="3" t="s">
        <v>6563</v>
      </c>
      <c r="D2099" s="3" t="s">
        <v>45</v>
      </c>
      <c r="E2099" s="3" t="s">
        <v>46</v>
      </c>
      <c r="F2099" s="3" t="s">
        <v>38</v>
      </c>
      <c r="G2099" s="3" t="s">
        <v>39</v>
      </c>
      <c r="H2099" s="3" t="s">
        <v>6564</v>
      </c>
      <c r="I2099" s="3" t="str">
        <f>HYPERLINK("http://www.jccm.es/sede/tramite/LOK","SUBVENCIONES A ENTIDADES LOCALES DE CASTILLA-LA MANCHA CON POBLACION INFERIOR O IGUAL A MIL HABITANTES PARA MEJORA DE LA ACCESIBILIDAD DE SUS INFRAESTRUCTURAS Y EQUIPAMIENTOS.")</f>
        <v>SUBVENCIONES A ENTIDADES LOCALES DE CASTILLA-LA MANCHA CON POBLACION INFERIOR O IGUAL A MIL HABITANTES PARA MEJORA DE LA ACCESIBILIDAD DE SUS INFRAESTRUCTURAS Y EQUIPAMIENTOS.</v>
      </c>
      <c r="J2099" s="3" t="s">
        <v>41</v>
      </c>
      <c r="K2099" s="3" t="s">
        <v>41</v>
      </c>
      <c r="L2099" s="3" t="s">
        <v>42</v>
      </c>
      <c r="M2099" s="3" t="s">
        <v>41</v>
      </c>
    </row>
    <row r="2100" spans="1:13" ht="161.1">
      <c r="A2100" s="22" t="s">
        <v>10</v>
      </c>
      <c r="B2100" s="3" t="s">
        <v>6565</v>
      </c>
      <c r="C2100" s="3" t="s">
        <v>6566</v>
      </c>
      <c r="D2100" s="3" t="s">
        <v>70</v>
      </c>
      <c r="E2100" s="3" t="s">
        <v>46</v>
      </c>
      <c r="F2100" s="3" t="s">
        <v>38</v>
      </c>
      <c r="G2100" s="3" t="s">
        <v>47</v>
      </c>
      <c r="H2100" s="3" t="s">
        <v>6567</v>
      </c>
      <c r="I2100" s="3" t="str">
        <f>HYPERLINK("http://www.jccm.es/sede/tramite/LP5","SOLICITUD DE SUBVENCION LINEA 2. CENTROS DE TITULARIDAD MUNICIPAL DE ATENCION A PERSONAS CON DISCAPACIDAD")</f>
        <v>SOLICITUD DE SUBVENCION LINEA 2. CENTROS DE TITULARIDAD MUNICIPAL DE ATENCION A PERSONAS CON DISCAPACIDAD</v>
      </c>
      <c r="J2100" s="3" t="s">
        <v>41</v>
      </c>
      <c r="K2100" s="3" t="s">
        <v>41</v>
      </c>
      <c r="L2100" s="3" t="s">
        <v>42</v>
      </c>
      <c r="M2100" s="3" t="s">
        <v>41</v>
      </c>
    </row>
    <row r="2101" spans="1:13" ht="138">
      <c r="A2101" s="22" t="s">
        <v>10</v>
      </c>
      <c r="B2101" s="3" t="s">
        <v>6568</v>
      </c>
      <c r="C2101" s="3" t="s">
        <v>6569</v>
      </c>
      <c r="D2101" s="3" t="s">
        <v>70</v>
      </c>
      <c r="E2101" s="3" t="s">
        <v>46</v>
      </c>
      <c r="F2101" s="3" t="s">
        <v>38</v>
      </c>
      <c r="G2101" s="3" t="s">
        <v>91</v>
      </c>
      <c r="H2101" s="3" t="s">
        <v>6570</v>
      </c>
      <c r="I2101" s="3" t="str">
        <f>HYPERLINK("http://www.jccm.es/sede/tramite/LP4","SOLICITUD DE SUBVENCION LINEA 1. CENTROS DE TITULARIDAD MUNICIPAL DE ATENCION A PERSONAS MAYORES.")</f>
        <v>SOLICITUD DE SUBVENCION LINEA 1. CENTROS DE TITULARIDAD MUNICIPAL DE ATENCION A PERSONAS MAYORES.</v>
      </c>
      <c r="J2101" s="3" t="s">
        <v>41</v>
      </c>
      <c r="K2101" s="3" t="s">
        <v>41</v>
      </c>
      <c r="L2101" s="3" t="s">
        <v>42</v>
      </c>
      <c r="M2101" s="3" t="s">
        <v>41</v>
      </c>
    </row>
    <row r="2102" spans="1:13" ht="126.6">
      <c r="A2102" s="22" t="s">
        <v>10</v>
      </c>
      <c r="B2102" s="3" t="s">
        <v>6571</v>
      </c>
      <c r="C2102" s="3" t="s">
        <v>6572</v>
      </c>
      <c r="D2102" s="3" t="s">
        <v>45</v>
      </c>
      <c r="E2102" s="3" t="s">
        <v>46</v>
      </c>
      <c r="F2102" s="3" t="s">
        <v>38</v>
      </c>
      <c r="G2102" s="3" t="s">
        <v>39</v>
      </c>
      <c r="H2102" s="3" t="s">
        <v>6573</v>
      </c>
      <c r="I2102" s="3" t="str">
        <f>HYPERLINK("http://www.jccm.es/sede/tramite/824","ACREDITACION DE ESTABLECIMIENTOS, INSTALACIONES Y VEHICULOS DE TRANSPORTE PUBLICO ACCESIBLES")</f>
        <v>ACREDITACION DE ESTABLECIMIENTOS, INSTALACIONES Y VEHICULOS DE TRANSPORTE PUBLICO ACCESIBLES</v>
      </c>
      <c r="J2102" s="3" t="s">
        <v>42</v>
      </c>
      <c r="K2102" s="3" t="s">
        <v>41</v>
      </c>
      <c r="L2102" s="3" t="s">
        <v>42</v>
      </c>
      <c r="M2102" s="3" t="s">
        <v>41</v>
      </c>
    </row>
    <row r="2103" spans="1:13" ht="92.1">
      <c r="A2103" s="22" t="s">
        <v>10</v>
      </c>
      <c r="B2103" s="3" t="s">
        <v>6574</v>
      </c>
      <c r="C2103" s="3" t="s">
        <v>6575</v>
      </c>
      <c r="D2103" s="3" t="s">
        <v>45</v>
      </c>
      <c r="E2103" s="3" t="s">
        <v>46</v>
      </c>
      <c r="F2103" s="3" t="s">
        <v>38</v>
      </c>
      <c r="G2103" s="3" t="s">
        <v>39</v>
      </c>
      <c r="H2103" s="3" t="s">
        <v>6576</v>
      </c>
      <c r="I2103" s="3" t="str">
        <f>HYPERLINK("http://www.jccm.es/sede/tramite/B00","ACREDITACION DE LA CALIDAD DE LOS SERVICIOS")</f>
        <v>ACREDITACION DE LA CALIDAD DE LOS SERVICIOS</v>
      </c>
      <c r="J2103" s="3" t="s">
        <v>41</v>
      </c>
      <c r="K2103" s="3" t="s">
        <v>41</v>
      </c>
      <c r="L2103" s="3" t="s">
        <v>42</v>
      </c>
      <c r="M2103" s="3" t="s">
        <v>41</v>
      </c>
    </row>
    <row r="2104" spans="1:13" ht="92.1">
      <c r="A2104" s="22" t="s">
        <v>10</v>
      </c>
      <c r="B2104" s="3" t="s">
        <v>6577</v>
      </c>
      <c r="C2104" s="3" t="s">
        <v>6578</v>
      </c>
      <c r="D2104" s="3" t="s">
        <v>327</v>
      </c>
      <c r="E2104" s="3" t="s">
        <v>46</v>
      </c>
      <c r="F2104" s="3" t="s">
        <v>38</v>
      </c>
      <c r="G2104" s="3" t="s">
        <v>47</v>
      </c>
      <c r="H2104" s="3" t="s">
        <v>6579</v>
      </c>
      <c r="I2104" s="3" t="str">
        <f>HYPERLINK("http://www.jccm.es/sede/tramite/B19","RECONOCIMIENTO DEL GRADO DE DISCAPACIDAD")</f>
        <v>RECONOCIMIENTO DEL GRADO DE DISCAPACIDAD</v>
      </c>
      <c r="J2104" s="3" t="s">
        <v>42</v>
      </c>
      <c r="K2104" s="3" t="s">
        <v>41</v>
      </c>
      <c r="L2104" s="3" t="s">
        <v>42</v>
      </c>
      <c r="M2104" s="3" t="s">
        <v>41</v>
      </c>
    </row>
    <row r="2105" spans="1:13" ht="126.6">
      <c r="A2105" s="22" t="s">
        <v>10</v>
      </c>
      <c r="B2105" s="3" t="s">
        <v>6580</v>
      </c>
      <c r="C2105" s="3" t="s">
        <v>6581</v>
      </c>
      <c r="D2105" s="3" t="s">
        <v>62</v>
      </c>
      <c r="E2105" s="3" t="s">
        <v>46</v>
      </c>
      <c r="F2105" s="3" t="s">
        <v>38</v>
      </c>
      <c r="G2105" s="3" t="s">
        <v>78</v>
      </c>
      <c r="H2105" s="3" t="s">
        <v>6582</v>
      </c>
      <c r="I2105" s="3" t="str">
        <f>HYPERLINK("http://www.jccm.es/sede/tramite/A11","TITULO DE FAMILIA NUMEROSA")</f>
        <v>TITULO DE FAMILIA NUMEROSA</v>
      </c>
      <c r="J2105" s="3" t="s">
        <v>42</v>
      </c>
      <c r="K2105" s="3" t="s">
        <v>41</v>
      </c>
      <c r="L2105" s="3" t="s">
        <v>42</v>
      </c>
      <c r="M2105" s="3" t="s">
        <v>41</v>
      </c>
    </row>
    <row r="2106" spans="1:13" ht="92.1">
      <c r="A2106" s="22" t="s">
        <v>10</v>
      </c>
      <c r="B2106" s="3" t="s">
        <v>6583</v>
      </c>
      <c r="C2106" s="3" t="s">
        <v>6584</v>
      </c>
      <c r="D2106" s="3" t="s">
        <v>700</v>
      </c>
      <c r="E2106" s="3" t="s">
        <v>46</v>
      </c>
      <c r="F2106" s="3" t="s">
        <v>38</v>
      </c>
      <c r="G2106" s="3" t="s">
        <v>47</v>
      </c>
      <c r="H2106" s="3" t="s">
        <v>6585</v>
      </c>
      <c r="I2106" s="3" t="str">
        <f>HYPERLINK("http://www.jccm.es/sede/tramite/JJ2","TARJETA ACREDITATIVA DE GRADO DE DISCAPACIDAD")</f>
        <v>TARJETA ACREDITATIVA DE GRADO DE DISCAPACIDAD</v>
      </c>
      <c r="J2106" s="3" t="s">
        <v>42</v>
      </c>
      <c r="K2106" s="3" t="s">
        <v>41</v>
      </c>
      <c r="L2106" s="3" t="s">
        <v>42</v>
      </c>
      <c r="M2106" s="3" t="s">
        <v>41</v>
      </c>
    </row>
    <row r="2107" spans="1:13" ht="114.95">
      <c r="A2107" s="22" t="s">
        <v>10</v>
      </c>
      <c r="B2107" s="3" t="s">
        <v>6586</v>
      </c>
      <c r="C2107" s="3" t="s">
        <v>6587</v>
      </c>
      <c r="D2107" s="3" t="s">
        <v>327</v>
      </c>
      <c r="E2107" s="3" t="s">
        <v>37</v>
      </c>
      <c r="F2107" s="3" t="s">
        <v>38</v>
      </c>
      <c r="G2107" s="3" t="s">
        <v>39</v>
      </c>
      <c r="H2107" s="3" t="s">
        <v>6588</v>
      </c>
      <c r="I2107" s="3" t="str">
        <f>HYPERLINK("http://www.jccm.es/sede/tramite/K1J","ACREDITACION DE LOS SERVICIOS DE ATENCION DOMICILIARIA: AYUDA A DOMICILIO Y TELEASISTENCIA.")</f>
        <v>ACREDITACION DE LOS SERVICIOS DE ATENCION DOMICILIARIA: AYUDA A DOMICILIO Y TELEASISTENCIA.</v>
      </c>
      <c r="J2107" s="3" t="s">
        <v>42</v>
      </c>
      <c r="K2107" s="3" t="s">
        <v>41</v>
      </c>
      <c r="L2107" s="3" t="s">
        <v>42</v>
      </c>
      <c r="M2107" s="3" t="s">
        <v>41</v>
      </c>
    </row>
    <row r="2108" spans="1:13" ht="252.95">
      <c r="A2108" s="22" t="s">
        <v>10</v>
      </c>
      <c r="B2108" s="3" t="s">
        <v>6589</v>
      </c>
      <c r="C2108" s="3" t="s">
        <v>6590</v>
      </c>
      <c r="D2108" s="3" t="s">
        <v>327</v>
      </c>
      <c r="E2108" s="3" t="s">
        <v>46</v>
      </c>
      <c r="F2108" s="3" t="s">
        <v>38</v>
      </c>
      <c r="G2108" s="3" t="s">
        <v>6440</v>
      </c>
      <c r="H2108" s="3" t="s">
        <v>6591</v>
      </c>
      <c r="I2108" s="3" t="str">
        <f>HYPERLINK("http://www.jccm.es/sede/tramite/KJM","HABILITACION DE PROFESIONALES DE CENTROS Y SERVICIOS DEL SISTEMA DE AUTONOMIA Y ATENCION A LA DEPENDENCIA.")</f>
        <v>HABILITACION DE PROFESIONALES DE CENTROS Y SERVICIOS DEL SISTEMA DE AUTONOMIA Y ATENCION A LA DEPENDENCIA.</v>
      </c>
      <c r="J2108" s="3" t="s">
        <v>42</v>
      </c>
      <c r="K2108" s="3" t="s">
        <v>41</v>
      </c>
      <c r="L2108" s="3" t="s">
        <v>42</v>
      </c>
      <c r="M2108" s="3" t="s">
        <v>41</v>
      </c>
    </row>
    <row r="2109" spans="1:13" ht="230.1">
      <c r="A2109" s="22" t="s">
        <v>10</v>
      </c>
      <c r="B2109" s="3" t="s">
        <v>6592</v>
      </c>
      <c r="C2109" s="3" t="s">
        <v>6593</v>
      </c>
      <c r="D2109" s="3" t="s">
        <v>6594</v>
      </c>
      <c r="E2109" s="3" t="s">
        <v>95</v>
      </c>
      <c r="F2109" s="3" t="s">
        <v>38</v>
      </c>
      <c r="G2109" s="3" t="s">
        <v>39</v>
      </c>
      <c r="H2109" s="3" t="s">
        <v>6595</v>
      </c>
      <c r="I2109" s="3" t="str">
        <f>HYPERLINK("http://www.jccm.es/sede/tramite/L55","INFORME SECTORIAL DE CUMPLIMIENTO DE LA NORMATIVA DE ACCESIBILIDAD POR LOS PLANES DE ORDENACION MUNICIPAL.")</f>
        <v>INFORME SECTORIAL DE CUMPLIMIENTO DE LA NORMATIVA DE ACCESIBILIDAD POR LOS PLANES DE ORDENACION MUNICIPAL.</v>
      </c>
      <c r="J2109" s="3" t="s">
        <v>41</v>
      </c>
      <c r="K2109" s="3" t="s">
        <v>41</v>
      </c>
      <c r="L2109" s="3" t="s">
        <v>42</v>
      </c>
      <c r="M2109" s="3" t="s">
        <v>41</v>
      </c>
    </row>
    <row r="2110" spans="1:13" ht="103.5">
      <c r="A2110" s="22" t="s">
        <v>10</v>
      </c>
      <c r="B2110" s="3" t="s">
        <v>6596</v>
      </c>
      <c r="C2110" s="3" t="s">
        <v>6597</v>
      </c>
      <c r="D2110" s="3" t="s">
        <v>45</v>
      </c>
      <c r="E2110" s="3" t="s">
        <v>46</v>
      </c>
      <c r="F2110" s="3" t="s">
        <v>38</v>
      </c>
      <c r="G2110" s="3" t="s">
        <v>39</v>
      </c>
      <c r="H2110" s="3" t="s">
        <v>6598</v>
      </c>
      <c r="I2110" s="3" t="str">
        <f>HYPERLINK("http://www.jccm.es/sede/tramite/LSR","INFORME PREVIO SOBRE ADECUACION DEL PROYECTO A LA NORMATIVA ESPECIFICA DEL SERVICIO PUBLICO A PRESTAR")</f>
        <v>INFORME PREVIO SOBRE ADECUACION DEL PROYECTO A LA NORMATIVA ESPECIFICA DEL SERVICIO PUBLICO A PRESTAR</v>
      </c>
      <c r="J2110" s="3" t="s">
        <v>41</v>
      </c>
      <c r="K2110" s="3" t="s">
        <v>41</v>
      </c>
      <c r="L2110" s="3" t="s">
        <v>42</v>
      </c>
      <c r="M2110" s="3" t="s">
        <v>41</v>
      </c>
    </row>
    <row r="2111" spans="1:13" ht="183.95">
      <c r="A2111" s="22" t="s">
        <v>10</v>
      </c>
      <c r="B2111" s="3" t="s">
        <v>6599</v>
      </c>
      <c r="C2111" s="3" t="s">
        <v>6600</v>
      </c>
      <c r="D2111" s="3" t="s">
        <v>3100</v>
      </c>
      <c r="E2111" s="3" t="s">
        <v>46</v>
      </c>
      <c r="F2111" s="3" t="s">
        <v>38</v>
      </c>
      <c r="G2111" s="3" t="s">
        <v>91</v>
      </c>
      <c r="H2111" s="3" t="s">
        <v>6601</v>
      </c>
      <c r="I2111" s="3" t="str">
        <f>HYPERLINK("http://www.jccm.es/sede/tramite/LUX","CONVOCATORIA DE CONCIERTO SOCIAL PARA EL SERVICIO DE PLAZAS RESIDENCIALES EN LA JUNTA DE COMUNIDADES DE CASTILLA-LA MANCHA VINCULADAS A LA CONSTRUCCION DE RESIDENCIAS PARA PERSONAS MAYORES.")</f>
        <v>CONVOCATORIA DE CONCIERTO SOCIAL PARA EL SERVICIO DE PLAZAS RESIDENCIALES EN LA JUNTA DE COMUNIDADES DE CASTILLA-LA MANCHA VINCULADAS A LA CONSTRUCCION DE RESIDENCIAS PARA PERSONAS MAYORES.</v>
      </c>
      <c r="J2111" s="3" t="s">
        <v>41</v>
      </c>
      <c r="K2111" s="3" t="s">
        <v>41</v>
      </c>
      <c r="L2111" s="3" t="s">
        <v>42</v>
      </c>
      <c r="M2111" s="3" t="s">
        <v>41</v>
      </c>
    </row>
    <row r="2112" spans="1:13" ht="103.5">
      <c r="A2112" s="22" t="s">
        <v>10</v>
      </c>
      <c r="B2112" s="3" t="s">
        <v>6602</v>
      </c>
      <c r="C2112" s="3" t="s">
        <v>6603</v>
      </c>
      <c r="D2112" s="3" t="s">
        <v>327</v>
      </c>
      <c r="E2112" s="3" t="s">
        <v>46</v>
      </c>
      <c r="F2112" s="3" t="s">
        <v>38</v>
      </c>
      <c r="G2112" s="3" t="s">
        <v>91</v>
      </c>
      <c r="H2112" s="3" t="s">
        <v>6604</v>
      </c>
      <c r="I2112" s="3" t="str">
        <f>HYPERLINK("http://www.jccm.es/sede/tramite/031","ADMISION EN CENTROS RESIDENCIALES DE MAYORES DE LA RED PUBLICA DE CASTILLA LA MANCHA")</f>
        <v>ADMISION EN CENTROS RESIDENCIALES DE MAYORES DE LA RED PUBLICA DE CASTILLA LA MANCHA</v>
      </c>
      <c r="J2112" s="3" t="s">
        <v>42</v>
      </c>
      <c r="K2112" s="3" t="s">
        <v>41</v>
      </c>
      <c r="L2112" s="3" t="s">
        <v>42</v>
      </c>
      <c r="M2112" s="3" t="s">
        <v>41</v>
      </c>
    </row>
    <row r="2113" spans="1:13" ht="80.45">
      <c r="A2113" s="22" t="s">
        <v>10</v>
      </c>
      <c r="B2113" s="3" t="s">
        <v>6605</v>
      </c>
      <c r="C2113" s="3" t="s">
        <v>6606</v>
      </c>
      <c r="D2113" s="3" t="s">
        <v>45</v>
      </c>
      <c r="E2113" s="3" t="s">
        <v>46</v>
      </c>
      <c r="F2113" s="3" t="s">
        <v>38</v>
      </c>
      <c r="G2113" s="3" t="s">
        <v>91</v>
      </c>
      <c r="H2113" s="3" t="s">
        <v>6607</v>
      </c>
      <c r="I2113" s="3" t="str">
        <f>HYPERLINK("http://www.jccm.es/sede/tramite/I32","TRAMITACION DE ESTANCIAS TEMPORALES EN RESIDENCIAS DE MAYORES")</f>
        <v>TRAMITACION DE ESTANCIAS TEMPORALES EN RESIDENCIAS DE MAYORES</v>
      </c>
      <c r="J2113" s="3" t="s">
        <v>42</v>
      </c>
      <c r="K2113" s="3" t="s">
        <v>41</v>
      </c>
      <c r="L2113" s="3" t="s">
        <v>42</v>
      </c>
      <c r="M2113" s="3" t="s">
        <v>41</v>
      </c>
    </row>
    <row r="2114" spans="1:13" ht="126.6">
      <c r="A2114" s="22" t="s">
        <v>10</v>
      </c>
      <c r="B2114" s="3" t="s">
        <v>6608</v>
      </c>
      <c r="C2114" s="3" t="s">
        <v>6609</v>
      </c>
      <c r="D2114" s="3" t="s">
        <v>327</v>
      </c>
      <c r="E2114" s="3" t="s">
        <v>46</v>
      </c>
      <c r="F2114" s="3" t="s">
        <v>38</v>
      </c>
      <c r="G2114" s="3" t="s">
        <v>91</v>
      </c>
      <c r="H2114" s="3" t="s">
        <v>6610</v>
      </c>
      <c r="I2114" s="3" t="str">
        <f>HYPERLINK("http://www.jccm.es/sede/tramite/A16","TRASLADOS VOLUNTARIOS EN CENTROS RESIDENCIALES DE MAYORES DE LA RED PUBLICA DE CASTILLA-LA MANCHA")</f>
        <v>TRASLADOS VOLUNTARIOS EN CENTROS RESIDENCIALES DE MAYORES DE LA RED PUBLICA DE CASTILLA-LA MANCHA</v>
      </c>
      <c r="J2114" s="3" t="s">
        <v>42</v>
      </c>
      <c r="K2114" s="3" t="s">
        <v>41</v>
      </c>
      <c r="L2114" s="3" t="s">
        <v>42</v>
      </c>
      <c r="M2114" s="3" t="s">
        <v>41</v>
      </c>
    </row>
    <row r="2115" spans="1:13" ht="126.6">
      <c r="A2115" s="22" t="s">
        <v>10</v>
      </c>
      <c r="B2115" s="3" t="s">
        <v>6611</v>
      </c>
      <c r="C2115" s="3" t="s">
        <v>6612</v>
      </c>
      <c r="D2115" s="3" t="s">
        <v>327</v>
      </c>
      <c r="E2115" s="3" t="s">
        <v>46</v>
      </c>
      <c r="F2115" s="3" t="s">
        <v>38</v>
      </c>
      <c r="G2115" s="3" t="s">
        <v>47</v>
      </c>
      <c r="H2115" s="3" t="s">
        <v>6613</v>
      </c>
      <c r="I2115" s="3" t="str">
        <f>HYPERLINK("http://www.jccm.es/sede/tramite/H76","INGRESO EN CENTROS DE ATENCION PARA PERSONAS CON DISCAPACIDAD INTELECTUAL")</f>
        <v>INGRESO EN CENTROS DE ATENCION PARA PERSONAS CON DISCAPACIDAD INTELECTUAL</v>
      </c>
      <c r="J2115" s="3" t="s">
        <v>42</v>
      </c>
      <c r="K2115" s="3" t="s">
        <v>41</v>
      </c>
      <c r="L2115" s="3" t="s">
        <v>42</v>
      </c>
      <c r="M2115" s="3" t="s">
        <v>41</v>
      </c>
    </row>
    <row r="2116" spans="1:13" ht="114.95">
      <c r="A2116" s="22" t="s">
        <v>10</v>
      </c>
      <c r="B2116" s="3" t="s">
        <v>6614</v>
      </c>
      <c r="C2116" s="3" t="s">
        <v>6615</v>
      </c>
      <c r="D2116" s="3" t="s">
        <v>45</v>
      </c>
      <c r="E2116" s="3" t="s">
        <v>46</v>
      </c>
      <c r="F2116" s="3" t="s">
        <v>38</v>
      </c>
      <c r="G2116" s="3" t="s">
        <v>47</v>
      </c>
      <c r="H2116" s="3" t="s">
        <v>6616</v>
      </c>
      <c r="I2116" s="3" t="str">
        <f>HYPERLINK("http://www.jccm.es/sede/tramite/IL4","TRASLADOS DE CENTROS DE ATENCION DE PERSONAS CON DISCAPACIDAD INTELECTUAL")</f>
        <v>TRASLADOS DE CENTROS DE ATENCION DE PERSONAS CON DISCAPACIDAD INTELECTUAL</v>
      </c>
      <c r="J2116" s="3" t="s">
        <v>42</v>
      </c>
      <c r="K2116" s="3" t="s">
        <v>41</v>
      </c>
      <c r="L2116" s="3" t="s">
        <v>42</v>
      </c>
      <c r="M2116" s="3" t="s">
        <v>41</v>
      </c>
    </row>
    <row r="2117" spans="1:13" ht="92.1">
      <c r="A2117" s="22" t="s">
        <v>10</v>
      </c>
      <c r="B2117" s="3" t="s">
        <v>6617</v>
      </c>
      <c r="C2117" s="3" t="s">
        <v>6618</v>
      </c>
      <c r="D2117" s="3" t="s">
        <v>327</v>
      </c>
      <c r="E2117" s="3" t="s">
        <v>46</v>
      </c>
      <c r="F2117" s="3" t="s">
        <v>38</v>
      </c>
      <c r="G2117" s="3" t="s">
        <v>47</v>
      </c>
      <c r="H2117" s="3" t="s">
        <v>6619</v>
      </c>
      <c r="I2117" s="3" t="str">
        <f>HYPERLINK("http://www.jccm.es/sede/tramite/ISG","INGRESO EN CENTROS DE ATENCION A PERSONAS CON DISCAPACIDAD FISICA")</f>
        <v>INGRESO EN CENTROS DE ATENCION A PERSONAS CON DISCAPACIDAD FISICA</v>
      </c>
      <c r="J2117" s="3" t="s">
        <v>42</v>
      </c>
      <c r="K2117" s="3" t="s">
        <v>41</v>
      </c>
      <c r="L2117" s="3" t="s">
        <v>42</v>
      </c>
      <c r="M2117" s="3" t="s">
        <v>41</v>
      </c>
    </row>
    <row r="2118" spans="1:13" ht="92.1">
      <c r="A2118" s="22" t="s">
        <v>10</v>
      </c>
      <c r="B2118" s="3" t="s">
        <v>6620</v>
      </c>
      <c r="C2118" s="3" t="s">
        <v>6621</v>
      </c>
      <c r="D2118" s="3" t="s">
        <v>327</v>
      </c>
      <c r="E2118" s="3" t="s">
        <v>46</v>
      </c>
      <c r="F2118" s="3" t="s">
        <v>38</v>
      </c>
      <c r="G2118" s="3" t="s">
        <v>47</v>
      </c>
      <c r="H2118" s="3" t="s">
        <v>6622</v>
      </c>
      <c r="I2118" s="3" t="str">
        <f>HYPERLINK("http://www.jccm.es/sede/tramite/ISJ","PERMUTA EN CENTROS DE ATENCION A PERSONAS CON DISCAPACIDAD FISICA")</f>
        <v>PERMUTA EN CENTROS DE ATENCION A PERSONAS CON DISCAPACIDAD FISICA</v>
      </c>
      <c r="J2118" s="3" t="s">
        <v>42</v>
      </c>
      <c r="K2118" s="3" t="s">
        <v>41</v>
      </c>
      <c r="L2118" s="3" t="s">
        <v>42</v>
      </c>
      <c r="M2118" s="3" t="s">
        <v>41</v>
      </c>
    </row>
    <row r="2119" spans="1:13" ht="103.5">
      <c r="A2119" s="22" t="s">
        <v>10</v>
      </c>
      <c r="B2119" s="3" t="s">
        <v>6623</v>
      </c>
      <c r="C2119" s="3" t="s">
        <v>6624</v>
      </c>
      <c r="D2119" s="3" t="s">
        <v>62</v>
      </c>
      <c r="E2119" s="3" t="s">
        <v>46</v>
      </c>
      <c r="F2119" s="3" t="s">
        <v>38</v>
      </c>
      <c r="G2119" s="3" t="s">
        <v>47</v>
      </c>
      <c r="H2119" s="3" t="s">
        <v>6625</v>
      </c>
      <c r="I2119" s="3" t="str">
        <f>HYPERLINK("http://www.jccm.es/sede/tramite/ISI","ALOJAMIENTOS TEMPORALES EN CENTROS DE ATENCION A PERSONAS CON DISCAPACIDAD FISICA")</f>
        <v>ALOJAMIENTOS TEMPORALES EN CENTROS DE ATENCION A PERSONAS CON DISCAPACIDAD FISICA</v>
      </c>
      <c r="J2119" s="3" t="s">
        <v>42</v>
      </c>
      <c r="K2119" s="3" t="s">
        <v>41</v>
      </c>
      <c r="L2119" s="3" t="s">
        <v>42</v>
      </c>
      <c r="M2119" s="3" t="s">
        <v>41</v>
      </c>
    </row>
    <row r="2120" spans="1:13" ht="138">
      <c r="A2120" s="22" t="s">
        <v>10</v>
      </c>
      <c r="B2120" s="3" t="s">
        <v>6626</v>
      </c>
      <c r="C2120" s="3" t="s">
        <v>6627</v>
      </c>
      <c r="D2120" s="3" t="s">
        <v>45</v>
      </c>
      <c r="E2120" s="3" t="s">
        <v>46</v>
      </c>
      <c r="F2120" s="3" t="s">
        <v>38</v>
      </c>
      <c r="G2120" s="3" t="s">
        <v>78</v>
      </c>
      <c r="H2120" s="3" t="s">
        <v>6628</v>
      </c>
      <c r="I2120" s="3" t="str">
        <f>HYPERLINK("http://www.jccm.es/sede/tramite/664","PENSIONES NO CONTRIBUTIVAS DE LA SEGURIDAD SOCIAL POR INVALIDEZ Y A MAYORES DE 65 AÑOS")</f>
        <v>PENSIONES NO CONTRIBUTIVAS DE LA SEGURIDAD SOCIAL POR INVALIDEZ Y A MAYORES DE 65 AÑOS</v>
      </c>
      <c r="J2120" s="3" t="s">
        <v>42</v>
      </c>
      <c r="K2120" s="3" t="s">
        <v>41</v>
      </c>
      <c r="L2120" s="3" t="s">
        <v>42</v>
      </c>
      <c r="M2120" s="3" t="s">
        <v>41</v>
      </c>
    </row>
    <row r="2121" spans="1:13" ht="126.6">
      <c r="A2121" s="22" t="s">
        <v>10</v>
      </c>
      <c r="B2121" s="3" t="s">
        <v>6629</v>
      </c>
      <c r="C2121" s="3" t="s">
        <v>6630</v>
      </c>
      <c r="D2121" s="3" t="s">
        <v>327</v>
      </c>
      <c r="E2121" s="3" t="s">
        <v>46</v>
      </c>
      <c r="F2121" s="3" t="s">
        <v>38</v>
      </c>
      <c r="G2121" s="3" t="s">
        <v>78</v>
      </c>
      <c r="H2121" s="3" t="s">
        <v>6631</v>
      </c>
      <c r="I2121" s="3" t="str">
        <f>HYPERLINK("http://www.jccm.es/sede/tramite/H79","PRESTACIONES SOCIALES Y ECONOMICAS PARA PERSONAS CON DISCAPACIDAD DERIVADAS DE LA LEY DE INTEGRACION SOCIAL DE MINUSVALIDOS (LISMI)")</f>
        <v>PRESTACIONES SOCIALES Y ECONOMICAS PARA PERSONAS CON DISCAPACIDAD DERIVADAS DE LA LEY DE INTEGRACION SOCIAL DE MINUSVALIDOS (LISMI)</v>
      </c>
      <c r="J2121" s="3" t="s">
        <v>42</v>
      </c>
      <c r="K2121" s="3" t="s">
        <v>41</v>
      </c>
      <c r="L2121" s="3" t="s">
        <v>42</v>
      </c>
      <c r="M2121" s="3" t="s">
        <v>41</v>
      </c>
    </row>
    <row r="2122" spans="1:13" ht="138">
      <c r="A2122" s="22" t="s">
        <v>10</v>
      </c>
      <c r="B2122" s="3" t="s">
        <v>6632</v>
      </c>
      <c r="C2122" s="3" t="s">
        <v>6633</v>
      </c>
      <c r="D2122" s="3" t="s">
        <v>327</v>
      </c>
      <c r="E2122" s="3" t="s">
        <v>46</v>
      </c>
      <c r="F2122" s="3" t="s">
        <v>38</v>
      </c>
      <c r="G2122" s="3" t="s">
        <v>91</v>
      </c>
      <c r="H2122" s="3" t="s">
        <v>6634</v>
      </c>
      <c r="I2122" s="3" t="str">
        <f>HYPERLINK("http://www.jccm.es/sede/tramite/I33","ADMISION EN SERVICIOS DE ESTANCIAS DIURNAS EN CENTROS DE MAYORES DE LA RED PUBLICA DE CASTILLA-LA MANCHA")</f>
        <v>ADMISION EN SERVICIOS DE ESTANCIAS DIURNAS EN CENTROS DE MAYORES DE LA RED PUBLICA DE CASTILLA-LA MANCHA</v>
      </c>
      <c r="J2122" s="3" t="s">
        <v>42</v>
      </c>
      <c r="K2122" s="3" t="s">
        <v>41</v>
      </c>
      <c r="L2122" s="3" t="s">
        <v>42</v>
      </c>
      <c r="M2122" s="3" t="s">
        <v>41</v>
      </c>
    </row>
    <row r="2123" spans="1:13" ht="264.60000000000002">
      <c r="A2123" s="22" t="s">
        <v>10</v>
      </c>
      <c r="B2123" s="3" t="s">
        <v>6635</v>
      </c>
      <c r="C2123" s="3" t="s">
        <v>6636</v>
      </c>
      <c r="D2123" s="3" t="s">
        <v>6637</v>
      </c>
      <c r="E2123" s="3" t="s">
        <v>46</v>
      </c>
      <c r="F2123" s="3" t="s">
        <v>38</v>
      </c>
      <c r="G2123" s="3" t="s">
        <v>6440</v>
      </c>
      <c r="H2123" s="3" t="s">
        <v>6638</v>
      </c>
      <c r="I2123" s="3" t="str">
        <f>HYPERLINK("http://www.jccm.es/sede/tramite/IYI","RECONOCIMIENTO DE LA SITUACION DE DEPENDENCIA Y DEL DERECHO DE ACCESO A LOS SERVICIOS Y PRESTACIONES ECONOMICAS DEL SISTEMA PARA LA AUTONOMIA Y ATENCION A LA DEPENDENCIA EN CASTILLA LA MANCHA.")</f>
        <v>RECONOCIMIENTO DE LA SITUACION DE DEPENDENCIA Y DEL DERECHO DE ACCESO A LOS SERVICIOS Y PRESTACIONES ECONOMICAS DEL SISTEMA PARA LA AUTONOMIA Y ATENCION A LA DEPENDENCIA EN CASTILLA LA MANCHA.</v>
      </c>
      <c r="J2123" s="3" t="s">
        <v>42</v>
      </c>
      <c r="K2123" s="3" t="s">
        <v>41</v>
      </c>
      <c r="L2123" s="3" t="s">
        <v>42</v>
      </c>
      <c r="M2123" s="3" t="s">
        <v>41</v>
      </c>
    </row>
    <row r="2124" spans="1:13" ht="103.5">
      <c r="A2124" s="22" t="s">
        <v>10</v>
      </c>
      <c r="B2124" s="3" t="s">
        <v>6639</v>
      </c>
      <c r="C2124" s="3" t="s">
        <v>6640</v>
      </c>
      <c r="D2124" s="3" t="s">
        <v>327</v>
      </c>
      <c r="E2124" s="3" t="s">
        <v>46</v>
      </c>
      <c r="F2124" s="3" t="s">
        <v>38</v>
      </c>
      <c r="G2124" s="3" t="s">
        <v>47</v>
      </c>
      <c r="H2124" s="3" t="s">
        <v>6641</v>
      </c>
      <c r="I2124" s="3" t="str">
        <f>HYPERLINK("http://www.jccm.es/sede/tramite/ISH","TRASLADO DE CENTROS DE ATENCION A PERSONAS CON DISCAPACIDAD FISICA")</f>
        <v>TRASLADO DE CENTROS DE ATENCION A PERSONAS CON DISCAPACIDAD FISICA</v>
      </c>
      <c r="J2124" s="3" t="s">
        <v>42</v>
      </c>
      <c r="K2124" s="3" t="s">
        <v>41</v>
      </c>
      <c r="L2124" s="3" t="s">
        <v>42</v>
      </c>
      <c r="M2124" s="3" t="s">
        <v>41</v>
      </c>
    </row>
    <row r="2125" spans="1:13" ht="126.6">
      <c r="A2125" s="22" t="s">
        <v>10</v>
      </c>
      <c r="B2125" s="3" t="s">
        <v>6642</v>
      </c>
      <c r="C2125" s="3" t="s">
        <v>6643</v>
      </c>
      <c r="D2125" s="3" t="s">
        <v>45</v>
      </c>
      <c r="E2125" s="3" t="s">
        <v>46</v>
      </c>
      <c r="F2125" s="3" t="s">
        <v>38</v>
      </c>
      <c r="G2125" s="3" t="s">
        <v>78</v>
      </c>
      <c r="H2125" s="3" t="s">
        <v>6644</v>
      </c>
      <c r="I2125" s="3" t="str">
        <f>HYPERLINK("http://www.jccm.es/sede/tramite/IZN","COMPLEMENTO PARA TITULARES DE PENSION NO CONTRIBUTIVA QUE RESIDAN EN UNA VIVIENDA ALQUILADA.")</f>
        <v>COMPLEMENTO PARA TITULARES DE PENSION NO CONTRIBUTIVA QUE RESIDAN EN UNA VIVIENDA ALQUILADA.</v>
      </c>
      <c r="J2125" s="3" t="s">
        <v>42</v>
      </c>
      <c r="K2125" s="3" t="s">
        <v>41</v>
      </c>
      <c r="L2125" s="3" t="s">
        <v>42</v>
      </c>
      <c r="M2125" s="3" t="s">
        <v>41</v>
      </c>
    </row>
    <row r="2126" spans="1:13" ht="149.44999999999999">
      <c r="A2126" s="22" t="s">
        <v>10</v>
      </c>
      <c r="B2126" s="3" t="s">
        <v>6645</v>
      </c>
      <c r="C2126" s="3" t="s">
        <v>6646</v>
      </c>
      <c r="D2126" s="3" t="s">
        <v>45</v>
      </c>
      <c r="E2126" s="3" t="s">
        <v>46</v>
      </c>
      <c r="F2126" s="3" t="s">
        <v>38</v>
      </c>
      <c r="G2126" s="3" t="s">
        <v>6440</v>
      </c>
      <c r="H2126" s="3" t="s">
        <v>6647</v>
      </c>
      <c r="I2126" s="3" t="str">
        <f>HYPERLINK("http://www.jccm.es/sede/tramite/JX5","SERVICIO DE TELEASISTENCIA")</f>
        <v>SERVICIO DE TELEASISTENCIA</v>
      </c>
      <c r="J2126" s="3" t="s">
        <v>42</v>
      </c>
      <c r="K2126" s="3" t="s">
        <v>41</v>
      </c>
      <c r="L2126" s="3" t="s">
        <v>42</v>
      </c>
      <c r="M2126" s="3" t="s">
        <v>41</v>
      </c>
    </row>
    <row r="2127" spans="1:13" ht="126.6">
      <c r="A2127" s="22" t="s">
        <v>10</v>
      </c>
      <c r="B2127" s="3" t="s">
        <v>6648</v>
      </c>
      <c r="C2127" s="3" t="s">
        <v>6649</v>
      </c>
      <c r="D2127" s="3" t="s">
        <v>327</v>
      </c>
      <c r="E2127" s="3" t="s">
        <v>46</v>
      </c>
      <c r="F2127" s="3" t="s">
        <v>38</v>
      </c>
      <c r="G2127" s="3" t="s">
        <v>47</v>
      </c>
      <c r="H2127" s="3" t="s">
        <v>6650</v>
      </c>
      <c r="I2127" s="3" t="str">
        <f>HYPERLINK("http://www.jccm.es/sede/tramite/JX7","PERMUTA ENTRE CENTROS  DE ATENCION A PERSONAS CON DISCAPACIDAD INTELECTUAL")</f>
        <v>PERMUTA ENTRE CENTROS  DE ATENCION A PERSONAS CON DISCAPACIDAD INTELECTUAL</v>
      </c>
      <c r="J2127" s="3" t="s">
        <v>42</v>
      </c>
      <c r="K2127" s="3" t="s">
        <v>41</v>
      </c>
      <c r="L2127" s="3" t="s">
        <v>42</v>
      </c>
      <c r="M2127" s="3" t="s">
        <v>41</v>
      </c>
    </row>
    <row r="2128" spans="1:13" ht="138">
      <c r="A2128" s="22" t="s">
        <v>10</v>
      </c>
      <c r="B2128" s="3" t="s">
        <v>6651</v>
      </c>
      <c r="C2128" s="3" t="s">
        <v>6652</v>
      </c>
      <c r="D2128" s="3" t="s">
        <v>62</v>
      </c>
      <c r="E2128" s="3" t="s">
        <v>46</v>
      </c>
      <c r="F2128" s="3" t="s">
        <v>38</v>
      </c>
      <c r="G2128" s="3" t="s">
        <v>47</v>
      </c>
      <c r="H2128" s="3" t="s">
        <v>6653</v>
      </c>
      <c r="I2128" s="3" t="str">
        <f>HYPERLINK("http://www.jccm.es/sede/tramite/JX8","ALOJAMIENTO TEMPORAL EN CENTROS DE ATENCION A PERSONAS CON DISCAPACIDAD INTELECTUAL.")</f>
        <v>ALOJAMIENTO TEMPORAL EN CENTROS DE ATENCION A PERSONAS CON DISCAPACIDAD INTELECTUAL.</v>
      </c>
      <c r="J2128" s="3" t="s">
        <v>42</v>
      </c>
      <c r="K2128" s="3" t="s">
        <v>41</v>
      </c>
      <c r="L2128" s="3" t="s">
        <v>42</v>
      </c>
      <c r="M2128" s="3" t="s">
        <v>41</v>
      </c>
    </row>
    <row r="2129" spans="1:13" ht="149.44999999999999">
      <c r="A2129" s="22" t="s">
        <v>10</v>
      </c>
      <c r="B2129" s="3" t="s">
        <v>6654</v>
      </c>
      <c r="C2129" s="3" t="s">
        <v>6655</v>
      </c>
      <c r="D2129" s="3" t="s">
        <v>6656</v>
      </c>
      <c r="E2129" s="3" t="s">
        <v>46</v>
      </c>
      <c r="F2129" s="3" t="s">
        <v>38</v>
      </c>
      <c r="G2129" s="3" t="s">
        <v>6440</v>
      </c>
      <c r="H2129" s="3" t="s">
        <v>6657</v>
      </c>
      <c r="I2129" s="3" t="str">
        <f>HYPERLINK("http://www.jccm.es/sede/tramite/K67","REVISION EN EL MARCO DEL SITEMA PARA LA AUTONOMIA Y ATENCION A LA DEPENDENCIA (SAAD)")</f>
        <v>REVISION EN EL MARCO DEL SITEMA PARA LA AUTONOMIA Y ATENCION A LA DEPENDENCIA (SAAD)</v>
      </c>
      <c r="J2129" s="3" t="s">
        <v>42</v>
      </c>
      <c r="K2129" s="3" t="s">
        <v>41</v>
      </c>
      <c r="L2129" s="3" t="s">
        <v>42</v>
      </c>
      <c r="M2129" s="3" t="s">
        <v>41</v>
      </c>
    </row>
    <row r="2130" spans="1:13" ht="45.95">
      <c r="A2130" s="22" t="s">
        <v>10</v>
      </c>
      <c r="B2130" s="3" t="s">
        <v>6658</v>
      </c>
      <c r="C2130" s="3" t="s">
        <v>6659</v>
      </c>
      <c r="D2130" s="3" t="s">
        <v>95</v>
      </c>
      <c r="E2130" s="3" t="s">
        <v>95</v>
      </c>
      <c r="F2130" s="3" t="s">
        <v>38</v>
      </c>
      <c r="G2130" s="3" t="s">
        <v>38</v>
      </c>
      <c r="H2130" s="3" t="s">
        <v>6660</v>
      </c>
      <c r="I2130" s="3" t="str">
        <f>HYPERLINK("http://www.jccm.es/sede/tramite/LOY","ACCESO AL SERVICIO DE ATENCION TEMPRANA.")</f>
        <v>ACCESO AL SERVICIO DE ATENCION TEMPRANA.</v>
      </c>
      <c r="J2130" s="3" t="s">
        <v>42</v>
      </c>
      <c r="K2130" s="3" t="s">
        <v>41</v>
      </c>
      <c r="L2130" s="3" t="s">
        <v>42</v>
      </c>
      <c r="M2130" s="3" t="s">
        <v>41</v>
      </c>
    </row>
    <row r="2131" spans="1:13" ht="183.95">
      <c r="A2131" s="22" t="s">
        <v>10</v>
      </c>
      <c r="B2131" s="3" t="s">
        <v>6661</v>
      </c>
      <c r="C2131" s="3" t="s">
        <v>6662</v>
      </c>
      <c r="D2131" s="3" t="s">
        <v>45</v>
      </c>
      <c r="E2131" s="3" t="s">
        <v>46</v>
      </c>
      <c r="F2131" s="3" t="s">
        <v>38</v>
      </c>
      <c r="G2131" s="3" t="s">
        <v>91</v>
      </c>
      <c r="H2131" s="3" t="s">
        <v>6663</v>
      </c>
      <c r="I2131" s="3" t="str">
        <f>HYPERLINK("http://www.jccm.es/sede/tramite/LPW","CONVOCATORIA DE CONCIERTO SOCIAL DE PLAZAS RESIDENCIALES, ESTANCIAS TEMPORALES Y PLAZAS EN CENTROS DE DIA PERSONAS MAYORES JCCM 2022-2025")</f>
        <v>CONVOCATORIA DE CONCIERTO SOCIAL DE PLAZAS RESIDENCIALES, ESTANCIAS TEMPORALES Y PLAZAS EN CENTROS DE DIA PERSONAS MAYORES JCCM 2022-2025</v>
      </c>
      <c r="J2131" s="3" t="s">
        <v>41</v>
      </c>
      <c r="K2131" s="3" t="s">
        <v>41</v>
      </c>
      <c r="L2131" s="3" t="s">
        <v>42</v>
      </c>
      <c r="M2131" s="3" t="s">
        <v>41</v>
      </c>
    </row>
    <row r="2132" spans="1:13" ht="161.1">
      <c r="A2132" s="22" t="s">
        <v>10</v>
      </c>
      <c r="B2132" s="3" t="s">
        <v>6664</v>
      </c>
      <c r="C2132" s="3" t="s">
        <v>6665</v>
      </c>
      <c r="D2132" s="3" t="s">
        <v>95</v>
      </c>
      <c r="E2132" s="3" t="s">
        <v>95</v>
      </c>
      <c r="F2132" s="3" t="s">
        <v>38</v>
      </c>
      <c r="G2132" s="3" t="s">
        <v>63</v>
      </c>
      <c r="H2132" s="3" t="s">
        <v>6666</v>
      </c>
      <c r="I2132" s="3" t="str">
        <f>HYPERLINK("http://www.jccm.es/sede/tramite/KOI","SOLICITUD DE CONVENIO UNIFICADO CON LAS ENTIDADES LOCALES  PARA LA PRESTACION DE SERVICIOS SOCIALES DE ATENCION PRIMARIA")</f>
        <v>SOLICITUD DE CONVENIO UNIFICADO CON LAS ENTIDADES LOCALES  PARA LA PRESTACION DE SERVICIOS SOCIALES DE ATENCION PRIMARIA</v>
      </c>
      <c r="J2132" s="3" t="s">
        <v>41</v>
      </c>
      <c r="K2132" s="3" t="s">
        <v>41</v>
      </c>
      <c r="L2132" s="3" t="s">
        <v>42</v>
      </c>
      <c r="M2132" s="3" t="s">
        <v>41</v>
      </c>
    </row>
    <row r="2133" spans="1:13" ht="138">
      <c r="A2133" s="22" t="s">
        <v>10</v>
      </c>
      <c r="B2133" s="3" t="s">
        <v>6667</v>
      </c>
      <c r="C2133" s="3" t="s">
        <v>6668</v>
      </c>
      <c r="D2133" s="3" t="s">
        <v>442</v>
      </c>
      <c r="E2133" s="3" t="s">
        <v>46</v>
      </c>
      <c r="F2133" s="3" t="s">
        <v>38</v>
      </c>
      <c r="G2133" s="3" t="s">
        <v>39</v>
      </c>
      <c r="H2133" s="3" t="s">
        <v>6669</v>
      </c>
      <c r="I2133" s="3" t="str">
        <f>HYPERLINK("http://www.jccm.es/sede/tramite/KLJ","CONVOCATORIA PARA LA PROVISION POR EL PROCEDIMIENTO DE LIBRE DESIGNACION (LD BS F1/2022).")</f>
        <v>CONVOCATORIA PARA LA PROVISION POR EL PROCEDIMIENTO DE LIBRE DESIGNACION (LD BS F1/2022).</v>
      </c>
      <c r="J2133" s="3" t="s">
        <v>41</v>
      </c>
      <c r="K2133" s="3" t="s">
        <v>41</v>
      </c>
      <c r="L2133" s="3" t="s">
        <v>42</v>
      </c>
      <c r="M2133" s="3" t="s">
        <v>41</v>
      </c>
    </row>
    <row r="2134" spans="1:13" ht="218.45">
      <c r="A2134" s="22" t="s">
        <v>10</v>
      </c>
      <c r="B2134" s="3" t="s">
        <v>6670</v>
      </c>
      <c r="C2134" s="3" t="s">
        <v>6671</v>
      </c>
      <c r="D2134" s="3" t="s">
        <v>36</v>
      </c>
      <c r="E2134" s="3" t="s">
        <v>46</v>
      </c>
      <c r="F2134" s="3" t="s">
        <v>38</v>
      </c>
      <c r="G2134" s="3" t="s">
        <v>39</v>
      </c>
      <c r="H2134" s="3" t="s">
        <v>6672</v>
      </c>
      <c r="I2134" s="3" t="str">
        <f>HYPERLINK("http://www.jccm.es/sede/tramite/L7E","CONVOCATORIA DE CONCURSO SINGULARIZADO DE MERITOS PARA LA PROVISION DE PUESTOS DE TRABAJO VACANTES")</f>
        <v>CONVOCATORIA DE CONCURSO SINGULARIZADO DE MERITOS PARA LA PROVISION DE PUESTOS DE TRABAJO VACANTES</v>
      </c>
      <c r="J2134" s="3" t="s">
        <v>41</v>
      </c>
      <c r="K2134" s="3" t="s">
        <v>41</v>
      </c>
      <c r="L2134" s="3" t="s">
        <v>42</v>
      </c>
      <c r="M2134" s="3" t="s">
        <v>41</v>
      </c>
    </row>
    <row r="2135" spans="1:13" ht="103.5">
      <c r="A2135" s="22" t="s">
        <v>10</v>
      </c>
      <c r="B2135" s="3" t="s">
        <v>6673</v>
      </c>
      <c r="C2135" s="3" t="s">
        <v>6674</v>
      </c>
      <c r="D2135" s="3" t="s">
        <v>327</v>
      </c>
      <c r="E2135" s="3" t="s">
        <v>46</v>
      </c>
      <c r="F2135" s="3" t="s">
        <v>38</v>
      </c>
      <c r="G2135" s="3" t="s">
        <v>71</v>
      </c>
      <c r="H2135" s="3" t="s">
        <v>6675</v>
      </c>
      <c r="I2135" s="3" t="str">
        <f>HYPERLINK("http://www.jccm.es/sede/tramite/777","ADOPCION DE NIÑOS Y NIÑAS DE CASTILLA-LA MANCHA")</f>
        <v>ADOPCION DE NIÑOS Y NIÑAS DE CASTILLA-LA MANCHA</v>
      </c>
      <c r="J2135" s="3" t="s">
        <v>42</v>
      </c>
      <c r="K2135" s="3" t="s">
        <v>41</v>
      </c>
      <c r="L2135" s="3" t="s">
        <v>42</v>
      </c>
      <c r="M2135" s="3" t="s">
        <v>41</v>
      </c>
    </row>
    <row r="2136" spans="1:13" ht="92.1">
      <c r="A2136" s="22" t="s">
        <v>10</v>
      </c>
      <c r="B2136" s="3" t="s">
        <v>6676</v>
      </c>
      <c r="C2136" s="3" t="s">
        <v>6677</v>
      </c>
      <c r="D2136" s="3" t="s">
        <v>45</v>
      </c>
      <c r="E2136" s="3" t="s">
        <v>46</v>
      </c>
      <c r="F2136" s="3" t="s">
        <v>38</v>
      </c>
      <c r="G2136" s="3" t="s">
        <v>71</v>
      </c>
      <c r="H2136" s="3" t="s">
        <v>6678</v>
      </c>
      <c r="I2136" s="3" t="str">
        <f>HYPERLINK("http://www.jccm.es/sede/tramite/778","PROGRAMA DE ACOGIMIENTO FAMILIAR DE CASTILLA-LA MANCHA")</f>
        <v>PROGRAMA DE ACOGIMIENTO FAMILIAR DE CASTILLA-LA MANCHA</v>
      </c>
      <c r="J2136" s="3" t="s">
        <v>42</v>
      </c>
      <c r="K2136" s="3" t="s">
        <v>41</v>
      </c>
      <c r="L2136" s="3" t="s">
        <v>42</v>
      </c>
      <c r="M2136" s="3" t="s">
        <v>41</v>
      </c>
    </row>
    <row r="2137" spans="1:13" ht="103.5">
      <c r="A2137" s="22" t="s">
        <v>10</v>
      </c>
      <c r="B2137" s="3" t="s">
        <v>6679</v>
      </c>
      <c r="C2137" s="3" t="s">
        <v>6680</v>
      </c>
      <c r="D2137" s="3" t="s">
        <v>45</v>
      </c>
      <c r="E2137" s="3" t="s">
        <v>46</v>
      </c>
      <c r="F2137" s="3" t="s">
        <v>38</v>
      </c>
      <c r="G2137" s="3" t="s">
        <v>71</v>
      </c>
      <c r="H2137" s="3" t="s">
        <v>6681</v>
      </c>
      <c r="I2137" s="3" t="str">
        <f>HYPERLINK("http://www.jccm.es/sede/tramite/JRK","SOLICITUD DE INFORME PARA DESPLAZAMIENTO TEMPORAL DE MENORES EXTRANJEROS")</f>
        <v>SOLICITUD DE INFORME PARA DESPLAZAMIENTO TEMPORAL DE MENORES EXTRANJEROS</v>
      </c>
      <c r="J2137" s="3" t="s">
        <v>42</v>
      </c>
      <c r="K2137" s="3" t="s">
        <v>41</v>
      </c>
      <c r="L2137" s="3" t="s">
        <v>42</v>
      </c>
      <c r="M2137" s="3" t="s">
        <v>41</v>
      </c>
    </row>
    <row r="2138" spans="1:13" ht="321.95">
      <c r="A2138" s="22" t="s">
        <v>10</v>
      </c>
      <c r="B2138" s="3" t="s">
        <v>6682</v>
      </c>
      <c r="C2138" s="3" t="s">
        <v>6683</v>
      </c>
      <c r="D2138" s="3" t="s">
        <v>45</v>
      </c>
      <c r="E2138" s="3" t="s">
        <v>46</v>
      </c>
      <c r="F2138" s="3" t="s">
        <v>38</v>
      </c>
      <c r="G2138" s="3" t="s">
        <v>71</v>
      </c>
      <c r="H2138" s="3" t="s">
        <v>6684</v>
      </c>
      <c r="I2138" s="3" t="str">
        <f>HYPERLINK("http://www.jccm.es/sede/tramite/LB5","PROCESO SELECTIVO PARA LA DESIGNACION DE LAS PERSONAS QUE OCUPARAN LAS VOCALIAS DEL CONSEJO REGIONAL DE INFANCIA Y FAMILIA DE CASTILLA-LA MANCHA")</f>
        <v>PROCESO SELECTIVO PARA LA DESIGNACION DE LAS PERSONAS QUE OCUPARAN LAS VOCALIAS DEL CONSEJO REGIONAL DE INFANCIA Y FAMILIA DE CASTILLA-LA MANCHA</v>
      </c>
      <c r="J2138" s="3" t="s">
        <v>41</v>
      </c>
      <c r="K2138" s="3" t="s">
        <v>41</v>
      </c>
      <c r="L2138" s="3" t="s">
        <v>42</v>
      </c>
      <c r="M2138" s="3" t="s">
        <v>41</v>
      </c>
    </row>
    <row r="2139" spans="1:13" ht="114.95">
      <c r="A2139" s="22" t="s">
        <v>10</v>
      </c>
      <c r="B2139" s="3" t="s">
        <v>6685</v>
      </c>
      <c r="C2139" s="3" t="s">
        <v>6686</v>
      </c>
      <c r="D2139" s="3" t="s">
        <v>327</v>
      </c>
      <c r="E2139" s="3" t="s">
        <v>46</v>
      </c>
      <c r="F2139" s="3" t="s">
        <v>38</v>
      </c>
      <c r="G2139" s="3" t="s">
        <v>71</v>
      </c>
      <c r="H2139" s="3" t="s">
        <v>6687</v>
      </c>
      <c r="I2139" s="3" t="str">
        <f>HYPERLINK("http://www.jccm.es/sede/tramite/LB4","INFORME DE SEGUIMIENTO POSTADOPTIVO DE ADOPCION INTERNACIONAL DE NIÑOS Y NIÑAS")</f>
        <v>INFORME DE SEGUIMIENTO POSTADOPTIVO DE ADOPCION INTERNACIONAL DE NIÑOS Y NIÑAS</v>
      </c>
      <c r="J2139" s="3" t="s">
        <v>41</v>
      </c>
      <c r="K2139" s="3" t="s">
        <v>41</v>
      </c>
      <c r="L2139" s="3" t="s">
        <v>42</v>
      </c>
      <c r="M2139" s="3" t="s">
        <v>41</v>
      </c>
    </row>
    <row r="2140" spans="1:13" ht="92.1">
      <c r="A2140" s="22" t="s">
        <v>10</v>
      </c>
      <c r="B2140" s="3" t="s">
        <v>6688</v>
      </c>
      <c r="C2140" s="3" t="s">
        <v>6689</v>
      </c>
      <c r="D2140" s="3" t="s">
        <v>327</v>
      </c>
      <c r="E2140" s="3" t="s">
        <v>46</v>
      </c>
      <c r="F2140" s="3" t="s">
        <v>38</v>
      </c>
      <c r="G2140" s="3" t="s">
        <v>71</v>
      </c>
      <c r="H2140" s="3" t="s">
        <v>6690</v>
      </c>
      <c r="I2140" s="3" t="str">
        <f>HYPERLINK("http://www.jccm.es/sede/tramite/C29","ADOPCION INTERNACIONAL DE NIÑOS Y NIÑAS")</f>
        <v>ADOPCION INTERNACIONAL DE NIÑOS Y NIÑAS</v>
      </c>
      <c r="J2140" s="3" t="s">
        <v>42</v>
      </c>
      <c r="K2140" s="3" t="s">
        <v>41</v>
      </c>
      <c r="L2140" s="3" t="s">
        <v>42</v>
      </c>
      <c r="M2140" s="3" t="s">
        <v>41</v>
      </c>
    </row>
  </sheetData>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6"/>
  <sheetViews>
    <sheetView topLeftCell="C13" zoomScaleNormal="100" workbookViewId="0">
      <selection activeCell="A2" sqref="A2:L15"/>
    </sheetView>
  </sheetViews>
  <sheetFormatPr defaultColWidth="11.42578125" defaultRowHeight="60" customHeight="1"/>
  <cols>
    <col min="1" max="1" width="14.42578125" style="5" customWidth="1"/>
    <col min="2" max="2" width="37.140625" style="5" customWidth="1"/>
    <col min="3" max="3" width="24.85546875" style="5" customWidth="1"/>
    <col min="4" max="4" width="14.7109375" style="5" customWidth="1"/>
    <col min="5" max="5" width="15" style="5" customWidth="1"/>
    <col min="6" max="6" width="22.28515625" style="5" customWidth="1"/>
    <col min="7" max="7" width="11.42578125" style="5"/>
    <col min="8" max="8" width="33.140625" style="5" customWidth="1"/>
    <col min="9" max="9" width="10.85546875" style="5" customWidth="1"/>
    <col min="10" max="10" width="4" style="5" bestFit="1" customWidth="1"/>
    <col min="11" max="11" width="7" style="5" bestFit="1" customWidth="1"/>
    <col min="12" max="12" width="5.5703125" style="5" bestFit="1" customWidth="1"/>
    <col min="13" max="16384" width="11.42578125" style="5"/>
  </cols>
  <sheetData>
    <row r="1" spans="1:12" s="8" customFormat="1" ht="46.5" customHeight="1">
      <c r="A1" s="2" t="s">
        <v>6691</v>
      </c>
      <c r="B1" s="6" t="s">
        <v>6692</v>
      </c>
      <c r="C1" s="6" t="s">
        <v>6693</v>
      </c>
      <c r="D1" s="6" t="s">
        <v>2</v>
      </c>
      <c r="E1" s="6" t="s">
        <v>6694</v>
      </c>
      <c r="F1" s="6" t="s">
        <v>3</v>
      </c>
      <c r="G1" s="6" t="s">
        <v>6695</v>
      </c>
      <c r="H1" s="6" t="s">
        <v>29</v>
      </c>
      <c r="I1" s="6" t="s">
        <v>30</v>
      </c>
      <c r="J1" s="7" t="s">
        <v>6696</v>
      </c>
      <c r="K1" s="6" t="s">
        <v>32</v>
      </c>
      <c r="L1" s="6" t="s">
        <v>33</v>
      </c>
    </row>
    <row r="2" spans="1:12" s="1" customFormat="1" ht="99.95">
      <c r="A2" s="9" t="s">
        <v>6697</v>
      </c>
      <c r="B2" s="9" t="s">
        <v>6698</v>
      </c>
      <c r="C2" s="9" t="s">
        <v>62</v>
      </c>
      <c r="D2" s="9" t="s">
        <v>37</v>
      </c>
      <c r="E2" s="9" t="s">
        <v>6699</v>
      </c>
      <c r="F2" s="9" t="s">
        <v>6700</v>
      </c>
      <c r="G2" s="9" t="s">
        <v>6701</v>
      </c>
      <c r="H2" s="9" t="str">
        <f>HYPERLINK("http://www.jccm.es/sede/tramite/KZO","REGISTRO DE GRUPOS DE INTERES DE CASTILLA-LA MANCHA")</f>
        <v>REGISTRO DE GRUPOS DE INTERES DE CASTILLA-LA MANCHA</v>
      </c>
      <c r="I2" s="9" t="s">
        <v>41</v>
      </c>
      <c r="J2" s="9" t="s">
        <v>41</v>
      </c>
      <c r="K2" s="10" t="s">
        <v>42</v>
      </c>
      <c r="L2" s="9" t="s">
        <v>41</v>
      </c>
    </row>
    <row r="3" spans="1:12" s="1" customFormat="1" ht="75">
      <c r="A3" s="9" t="s">
        <v>6702</v>
      </c>
      <c r="B3" s="9" t="s">
        <v>6703</v>
      </c>
      <c r="C3" s="9" t="s">
        <v>36</v>
      </c>
      <c r="D3" s="9" t="s">
        <v>46</v>
      </c>
      <c r="E3" s="9" t="s">
        <v>6699</v>
      </c>
      <c r="F3" s="9" t="s">
        <v>6704</v>
      </c>
      <c r="G3" s="9" t="s">
        <v>6705</v>
      </c>
      <c r="H3" s="9" t="str">
        <f>HYPERLINK("http://www.jccm.es/sede/tramite/KD0","BECAS PARA LA FORMACION DE ESPECIALISTAS EN ASUNTOS RELACIONADOS CON LA UNION EUROPEA.")</f>
        <v>BECAS PARA LA FORMACION DE ESPECIALISTAS EN ASUNTOS RELACIONADOS CON LA UNION EUROPEA.</v>
      </c>
      <c r="I3" s="9" t="s">
        <v>41</v>
      </c>
      <c r="J3" s="9" t="s">
        <v>41</v>
      </c>
      <c r="K3" s="10" t="s">
        <v>42</v>
      </c>
      <c r="L3" s="9" t="s">
        <v>41</v>
      </c>
    </row>
    <row r="4" spans="1:12" s="1" customFormat="1" ht="87.6">
      <c r="A4" s="9" t="s">
        <v>6706</v>
      </c>
      <c r="B4" s="9" t="s">
        <v>6707</v>
      </c>
      <c r="C4" s="9" t="s">
        <v>327</v>
      </c>
      <c r="D4" s="9" t="s">
        <v>46</v>
      </c>
      <c r="E4" s="9" t="s">
        <v>6699</v>
      </c>
      <c r="F4" s="9" t="s">
        <v>6708</v>
      </c>
      <c r="G4" s="9" t="s">
        <v>6709</v>
      </c>
      <c r="H4" s="9" t="str">
        <f>HYPERLINK("http://www.jccm.es/sede/tramite/LKX","PREMIOS GABILEX.")</f>
        <v>PREMIOS GABILEX.</v>
      </c>
      <c r="I4" s="9" t="s">
        <v>42</v>
      </c>
      <c r="J4" s="9" t="s">
        <v>41</v>
      </c>
      <c r="K4" s="10" t="s">
        <v>41</v>
      </c>
      <c r="L4" s="9" t="s">
        <v>41</v>
      </c>
    </row>
    <row r="5" spans="1:12" s="1" customFormat="1" ht="99.95">
      <c r="A5" s="9" t="s">
        <v>6710</v>
      </c>
      <c r="B5" s="9" t="s">
        <v>6711</v>
      </c>
      <c r="C5" s="9" t="s">
        <v>192</v>
      </c>
      <c r="D5" s="9" t="s">
        <v>46</v>
      </c>
      <c r="E5" s="9" t="s">
        <v>6699</v>
      </c>
      <c r="F5" s="9" t="s">
        <v>6712</v>
      </c>
      <c r="G5" s="9" t="s">
        <v>6713</v>
      </c>
      <c r="H5" s="9" t="str">
        <f>HYPERLINK("http://www.jccm.es/sede/tramite/IXD","SUBVENCIONES PARA LA PROMOCION Y FOMENTO DE LAS COMUNIDADES ORIGINARIAS DE CASTILLA-LA MANCHA Y AYUDAS A CASAS REGIONALES DE OTRAS COMUNIDADES O CIUDADES AUTONOMAS UBICADAS EN CASTILLA-LA MANCHA.")</f>
        <v>SUBVENCIONES PARA LA PROMOCION Y FOMENTO DE LAS COMUNIDADES ORIGINARIAS DE CASTILLA-LA MANCHA Y AYUDAS A CASAS REGIONALES DE OTRAS COMUNIDADES O CIUDADES AUTONOMAS UBICADAS EN CASTILLA-LA MANCHA.</v>
      </c>
      <c r="I5" s="9" t="s">
        <v>41</v>
      </c>
      <c r="J5" s="9" t="s">
        <v>41</v>
      </c>
      <c r="K5" s="10" t="s">
        <v>42</v>
      </c>
      <c r="L5" s="9" t="s">
        <v>41</v>
      </c>
    </row>
    <row r="6" spans="1:12" s="1" customFormat="1" ht="99.95">
      <c r="A6" s="9" t="s">
        <v>6714</v>
      </c>
      <c r="B6" s="9" t="s">
        <v>6715</v>
      </c>
      <c r="C6" s="9" t="s">
        <v>192</v>
      </c>
      <c r="D6" s="9" t="s">
        <v>46</v>
      </c>
      <c r="E6" s="9" t="s">
        <v>6699</v>
      </c>
      <c r="F6" s="9" t="s">
        <v>6712</v>
      </c>
      <c r="G6" s="9" t="s">
        <v>6716</v>
      </c>
      <c r="H6" s="9" t="str">
        <f>HYPERLINK("http://www.jccm.es/sede/tramite/KS0","JUSTIFICACION DE LAS SUBVENCIONES PARA LA PROMOCION Y FOMENTO DE LAS COMUNIDADES ORIGINARIAS DE CLM Y AYUDAS A CASAS REGIONALES DE OTRAS COMUNIDADES O CIUDADES AUTONOMAS EN CLM.")</f>
        <v>JUSTIFICACION DE LAS SUBVENCIONES PARA LA PROMOCION Y FOMENTO DE LAS COMUNIDADES ORIGINARIAS DE CLM Y AYUDAS A CASAS REGIONALES DE OTRAS COMUNIDADES O CIUDADES AUTONOMAS EN CLM.</v>
      </c>
      <c r="I6" s="9" t="s">
        <v>41</v>
      </c>
      <c r="J6" s="9" t="s">
        <v>41</v>
      </c>
      <c r="K6" s="10" t="s">
        <v>42</v>
      </c>
      <c r="L6" s="9" t="s">
        <v>41</v>
      </c>
    </row>
    <row r="7" spans="1:12" s="1" customFormat="1" ht="62.45">
      <c r="A7" s="9" t="s">
        <v>6717</v>
      </c>
      <c r="B7" s="9" t="s">
        <v>6718</v>
      </c>
      <c r="C7" s="9" t="s">
        <v>700</v>
      </c>
      <c r="D7" s="9" t="s">
        <v>46</v>
      </c>
      <c r="E7" s="9" t="s">
        <v>6699</v>
      </c>
      <c r="F7" s="9" t="s">
        <v>6719</v>
      </c>
      <c r="G7" s="9" t="s">
        <v>6720</v>
      </c>
      <c r="H7" s="9" t="str">
        <f>HYPERLINK("http://www.jccm.es/sede/tramite/J0X","CONCESION DIRECTA DE SUBVENCIONES DE CARACTER EXCEPCIONAL DE LA PRESIDENCIA DE LA JUNTA DE COMUNIDADES DE CASTILLA-LA MANCHA.")</f>
        <v>CONCESION DIRECTA DE SUBVENCIONES DE CARACTER EXCEPCIONAL DE LA PRESIDENCIA DE LA JUNTA DE COMUNIDADES DE CASTILLA-LA MANCHA.</v>
      </c>
      <c r="I7" s="9" t="s">
        <v>42</v>
      </c>
      <c r="J7" s="9" t="s">
        <v>41</v>
      </c>
      <c r="K7" s="10" t="s">
        <v>42</v>
      </c>
      <c r="L7" s="9" t="s">
        <v>41</v>
      </c>
    </row>
    <row r="8" spans="1:12" s="1" customFormat="1" ht="62.45">
      <c r="A8" s="9" t="s">
        <v>6721</v>
      </c>
      <c r="B8" s="9" t="s">
        <v>6722</v>
      </c>
      <c r="C8" s="9" t="s">
        <v>700</v>
      </c>
      <c r="D8" s="9" t="s">
        <v>46</v>
      </c>
      <c r="E8" s="9" t="s">
        <v>6699</v>
      </c>
      <c r="F8" s="9" t="s">
        <v>6719</v>
      </c>
      <c r="G8" s="9" t="s">
        <v>6723</v>
      </c>
      <c r="H8" s="9" t="str">
        <f>HYPERLINK("http://www.jccm.es/sede/tramite/KSR","JUSTIFICACION DE LAS SUBVENCIONES DE CARACTER EXCEPCIONAL DE LA PRESIDENCIA DE LA JUNTA DE COMUNIDADES DE CASTILLA-LA MANCHA.")</f>
        <v>JUSTIFICACION DE LAS SUBVENCIONES DE CARACTER EXCEPCIONAL DE LA PRESIDENCIA DE LA JUNTA DE COMUNIDADES DE CASTILLA-LA MANCHA.</v>
      </c>
      <c r="I8" s="9" t="s">
        <v>42</v>
      </c>
      <c r="J8" s="9" t="s">
        <v>41</v>
      </c>
      <c r="K8" s="10" t="s">
        <v>42</v>
      </c>
      <c r="L8" s="9" t="s">
        <v>41</v>
      </c>
    </row>
    <row r="9" spans="1:12" s="1" customFormat="1" ht="87.6">
      <c r="A9" s="9" t="s">
        <v>6724</v>
      </c>
      <c r="B9" s="9" t="s">
        <v>6725</v>
      </c>
      <c r="C9" s="9" t="s">
        <v>158</v>
      </c>
      <c r="D9" s="9" t="s">
        <v>46</v>
      </c>
      <c r="E9" s="9" t="s">
        <v>6699</v>
      </c>
      <c r="F9" s="9" t="s">
        <v>6708</v>
      </c>
      <c r="G9" s="9" t="s">
        <v>6726</v>
      </c>
      <c r="H9" s="9" t="str">
        <f>HYPERLINK("http://www.jccm.es/sede/tramite/KS2","EMISION DE DILIGENCIAS DE BASTANTEO DE PODERES.")</f>
        <v>EMISION DE DILIGENCIAS DE BASTANTEO DE PODERES.</v>
      </c>
      <c r="I9" s="9" t="s">
        <v>41</v>
      </c>
      <c r="J9" s="9" t="s">
        <v>41</v>
      </c>
      <c r="K9" s="10" t="s">
        <v>42</v>
      </c>
      <c r="L9" s="9" t="s">
        <v>41</v>
      </c>
    </row>
    <row r="10" spans="1:12" s="1" customFormat="1" ht="112.5">
      <c r="A10" s="9" t="s">
        <v>6727</v>
      </c>
      <c r="B10" s="9" t="s">
        <v>6728</v>
      </c>
      <c r="C10" s="9" t="s">
        <v>6729</v>
      </c>
      <c r="D10" s="9" t="s">
        <v>46</v>
      </c>
      <c r="E10" s="9" t="s">
        <v>6699</v>
      </c>
      <c r="F10" s="9" t="s">
        <v>6700</v>
      </c>
      <c r="G10" s="9" t="s">
        <v>6730</v>
      </c>
      <c r="H10" s="9" t="str">
        <f>HYPERLINK("http://www.jccm.es/sede/tramite/KK0","SOLICITUD DE ACCESO A LA INFORMACION PUBLICA")</f>
        <v>SOLICITUD DE ACCESO A LA INFORMACION PUBLICA</v>
      </c>
      <c r="I10" s="9" t="s">
        <v>42</v>
      </c>
      <c r="J10" s="9" t="s">
        <v>41</v>
      </c>
      <c r="K10" s="10" t="s">
        <v>42</v>
      </c>
      <c r="L10" s="9" t="s">
        <v>41</v>
      </c>
    </row>
    <row r="11" spans="1:12" s="1" customFormat="1" ht="75">
      <c r="A11" s="9" t="s">
        <v>6731</v>
      </c>
      <c r="B11" s="9" t="s">
        <v>6732</v>
      </c>
      <c r="C11" s="9" t="s">
        <v>6733</v>
      </c>
      <c r="D11" s="9" t="s">
        <v>46</v>
      </c>
      <c r="E11" s="9" t="s">
        <v>6699</v>
      </c>
      <c r="F11" s="9" t="s">
        <v>6699</v>
      </c>
      <c r="G11" s="9" t="s">
        <v>6734</v>
      </c>
      <c r="H11" s="9" t="str">
        <f>HYPERLINK("http://www.jccm.es/sede/tramite/KWW","APLAZAMIENTO O FRACCIONAMIENTO DEL  PAGO DE LAS COSTAS JUDICIALES A PERCIBIR POR LA JCCM.")</f>
        <v>APLAZAMIENTO O FRACCIONAMIENTO DEL  PAGO DE LAS COSTAS JUDICIALES A PERCIBIR POR LA JCCM.</v>
      </c>
      <c r="I11" s="9" t="s">
        <v>42</v>
      </c>
      <c r="J11" s="9" t="s">
        <v>41</v>
      </c>
      <c r="K11" s="10" t="s">
        <v>42</v>
      </c>
      <c r="L11" s="9" t="s">
        <v>41</v>
      </c>
    </row>
    <row r="12" spans="1:12" s="1" customFormat="1" ht="87.6">
      <c r="A12" s="9" t="s">
        <v>6735</v>
      </c>
      <c r="B12" s="9" t="s">
        <v>6736</v>
      </c>
      <c r="C12" s="9" t="s">
        <v>192</v>
      </c>
      <c r="D12" s="9" t="s">
        <v>46</v>
      </c>
      <c r="E12" s="9" t="s">
        <v>6699</v>
      </c>
      <c r="F12" s="9" t="s">
        <v>6737</v>
      </c>
      <c r="G12" s="9" t="s">
        <v>6738</v>
      </c>
      <c r="H12" s="9" t="str">
        <f>HYPERLINK("http://www.jccm.es/sede/tramite/KKW","CONVOCATORIA PARA LA PROVISION POR EL PROCEDIMIENTO DE LIBRE DESIGNACION (LD. PRES. F2/2022).")</f>
        <v>CONVOCATORIA PARA LA PROVISION POR EL PROCEDIMIENTO DE LIBRE DESIGNACION (LD. PRES. F2/2022).</v>
      </c>
      <c r="I12" s="9" t="s">
        <v>41</v>
      </c>
      <c r="J12" s="9" t="s">
        <v>41</v>
      </c>
      <c r="K12" s="10" t="s">
        <v>42</v>
      </c>
      <c r="L12" s="9" t="s">
        <v>41</v>
      </c>
    </row>
    <row r="13" spans="1:12" s="1" customFormat="1" ht="112.5">
      <c r="A13" s="9" t="s">
        <v>6739</v>
      </c>
      <c r="B13" s="9" t="s">
        <v>6740</v>
      </c>
      <c r="C13" s="9" t="s">
        <v>6741</v>
      </c>
      <c r="D13" s="9" t="s">
        <v>37</v>
      </c>
      <c r="E13" s="9" t="s">
        <v>6699</v>
      </c>
      <c r="F13" s="9" t="s">
        <v>6708</v>
      </c>
      <c r="G13" s="9" t="s">
        <v>6742</v>
      </c>
      <c r="H13" s="9" t="str">
        <f>HYPERLINK("http://www.jccm.es/sede/tramite/KRH","INSTRUCCION Nº 2/2017 DE LA DIRECCION DE LOS SERVICIOS JURIDICOS DE LA JUNTA DE COMUNIDADES DE CASTILLA-LA MANCHA PARA LA REPRESENTACION Y DEFENSA EN JUICIO DE LOS EMPLEADOS PUBLICOS DE LA JUNTA")</f>
        <v>INSTRUCCION Nº 2/2017 DE LA DIRECCION DE LOS SERVICIOS JURIDICOS DE LA JUNTA DE COMUNIDADES DE CASTILLA-LA MANCHA PARA LA REPRESENTACION Y DEFENSA EN JUICIO DE LOS EMPLEADOS PUBLICOS DE LA JUNTA</v>
      </c>
      <c r="I13" s="9" t="s">
        <v>42</v>
      </c>
      <c r="J13" s="9" t="s">
        <v>41</v>
      </c>
      <c r="K13" s="10" t="s">
        <v>42</v>
      </c>
      <c r="L13" s="9" t="s">
        <v>41</v>
      </c>
    </row>
    <row r="14" spans="1:12" s="1" customFormat="1" ht="75">
      <c r="A14" s="9" t="s">
        <v>6743</v>
      </c>
      <c r="B14" s="9" t="s">
        <v>6744</v>
      </c>
      <c r="C14" s="9" t="s">
        <v>45</v>
      </c>
      <c r="D14" s="9" t="s">
        <v>46</v>
      </c>
      <c r="E14" s="9" t="s">
        <v>6699</v>
      </c>
      <c r="F14" s="9" t="s">
        <v>6737</v>
      </c>
      <c r="G14" s="9" t="s">
        <v>6745</v>
      </c>
      <c r="H14" s="9" t="str">
        <f>HYPERLINK("http://www.jccm.es/sede/tramite/L5N","AMPLIACION DE LA BOLSA DE TRABAJO DEL CUERPO DE LETRADOS DE LA ADMINISTRACION DE LA JUNTA DE COMUNIDADES DE CASTILLA-LA MANCHA.")</f>
        <v>AMPLIACION DE LA BOLSA DE TRABAJO DEL CUERPO DE LETRADOS DE LA ADMINISTRACION DE LA JUNTA DE COMUNIDADES DE CASTILLA-LA MANCHA.</v>
      </c>
      <c r="I14" s="9" t="s">
        <v>42</v>
      </c>
      <c r="J14" s="9" t="s">
        <v>41</v>
      </c>
      <c r="K14" s="10" t="s">
        <v>42</v>
      </c>
      <c r="L14" s="9" t="s">
        <v>41</v>
      </c>
    </row>
    <row r="15" spans="1:12" ht="45.95">
      <c r="A15" s="3" t="s">
        <v>6746</v>
      </c>
      <c r="B15" s="3" t="s">
        <v>6747</v>
      </c>
      <c r="C15" s="3" t="s">
        <v>6748</v>
      </c>
      <c r="D15" s="3" t="s">
        <v>46</v>
      </c>
      <c r="E15" s="3" t="s">
        <v>6699</v>
      </c>
      <c r="F15" s="3" t="s">
        <v>6737</v>
      </c>
      <c r="G15" s="3" t="s">
        <v>6749</v>
      </c>
      <c r="H15" s="3" t="str">
        <f>HYPERLINK("http://www.jccm.es/sede/tramite/LQ7","PROVISION DE PUESTO DE TRABAJO DE PERSONAL DIRECTIVO PROFESIONAL.")</f>
        <v>PROVISION DE PUESTO DE TRABAJO DE PERSONAL DIRECTIVO PROFESIONAL.</v>
      </c>
      <c r="I15" s="3" t="s">
        <v>41</v>
      </c>
      <c r="J15" s="3" t="s">
        <v>41</v>
      </c>
      <c r="K15" s="3" t="s">
        <v>42</v>
      </c>
      <c r="L15" s="3" t="s">
        <v>41</v>
      </c>
    </row>
    <row r="16" spans="1:12" s="11" customFormat="1" ht="60" customHeight="1">
      <c r="A16" s="12"/>
      <c r="B16" s="12"/>
      <c r="C16" s="12"/>
      <c r="D16" s="12"/>
      <c r="E16" s="12"/>
      <c r="F16" s="12"/>
      <c r="G16" s="12"/>
      <c r="H16" s="12"/>
      <c r="I16" s="12"/>
      <c r="J16" s="12"/>
      <c r="K16" s="12"/>
      <c r="L16" s="12"/>
    </row>
  </sheetData>
  <printOptions horizontalCentered="1"/>
  <pageMargins left="0.39370078740157483" right="0.39370078740157483" top="0.55118110236220474" bottom="0.43307086614173229" header="0.27559055118110237" footer="0.19685039370078741"/>
  <pageSetup paperSize="9" scale="65" orientation="landscape" r:id="rId1"/>
  <headerFooter>
    <oddHeader>&amp;C&amp;9Presidencia de la Junta de Comunidades</oddHeader>
    <oddFooter>&amp;CPágina &amp;P</oddFooter>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324"/>
  <sheetViews>
    <sheetView zoomScaleNormal="100" workbookViewId="0">
      <selection activeCell="H2" sqref="H2"/>
    </sheetView>
  </sheetViews>
  <sheetFormatPr defaultColWidth="11.42578125" defaultRowHeight="11.45"/>
  <cols>
    <col min="1" max="1" width="15.85546875" style="1" customWidth="1"/>
    <col min="2" max="2" width="26.140625" style="1" customWidth="1"/>
    <col min="3" max="3" width="19" style="1" customWidth="1"/>
    <col min="4" max="4" width="15" style="1" customWidth="1"/>
    <col min="5" max="5" width="19.140625" style="1" customWidth="1"/>
    <col min="6" max="6" width="23.42578125" style="1" customWidth="1"/>
    <col min="7" max="7" width="7.42578125" style="1" bestFit="1" customWidth="1"/>
    <col min="8" max="8" width="30.85546875" style="1" customWidth="1"/>
    <col min="9" max="9" width="11.28515625" style="1" bestFit="1" customWidth="1"/>
    <col min="10" max="10" width="5.5703125" style="1" customWidth="1"/>
    <col min="11" max="11" width="10.42578125" style="1" customWidth="1"/>
    <col min="12" max="12" width="5.5703125" style="1" bestFit="1" customWidth="1"/>
    <col min="13" max="16384" width="11.42578125" style="1"/>
  </cols>
  <sheetData>
    <row r="1" spans="1:12" ht="24" customHeight="1">
      <c r="A1" s="2" t="s">
        <v>6750</v>
      </c>
      <c r="B1" s="2" t="s">
        <v>26</v>
      </c>
      <c r="C1" s="2" t="s">
        <v>27</v>
      </c>
      <c r="D1" s="2" t="s">
        <v>2</v>
      </c>
      <c r="E1" s="2" t="s">
        <v>6694</v>
      </c>
      <c r="F1" s="2" t="s">
        <v>3</v>
      </c>
      <c r="G1" s="2" t="s">
        <v>28</v>
      </c>
      <c r="H1" s="2" t="s">
        <v>29</v>
      </c>
      <c r="I1" s="2" t="s">
        <v>30</v>
      </c>
      <c r="J1" s="4" t="s">
        <v>31</v>
      </c>
      <c r="K1" s="2" t="s">
        <v>32</v>
      </c>
      <c r="L1" s="2" t="s">
        <v>33</v>
      </c>
    </row>
    <row r="2" spans="1:12" ht="129" customHeight="1">
      <c r="A2" s="3" t="s">
        <v>93</v>
      </c>
      <c r="B2" s="3" t="s">
        <v>94</v>
      </c>
      <c r="C2" s="3" t="s">
        <v>95</v>
      </c>
      <c r="D2" s="3" t="s">
        <v>95</v>
      </c>
      <c r="E2" s="3" t="s">
        <v>96</v>
      </c>
      <c r="F2" s="3" t="s">
        <v>97</v>
      </c>
      <c r="G2" s="3" t="s">
        <v>98</v>
      </c>
      <c r="H2" s="3" t="str">
        <f>HYPERLINK("http://www.jccm.es/sede/tramite/194","COMUNICACION DE CELEBRACION DE ACTIVIDADES FERIALES EN CASTILLA-LA MANCHA. REGISTRO.")</f>
        <v>COMUNICACION DE CELEBRACION DE ACTIVIDADES FERIALES EN CASTILLA-LA MANCHA. REGISTRO.</v>
      </c>
      <c r="I2" s="3" t="s">
        <v>42</v>
      </c>
      <c r="J2" s="3" t="s">
        <v>41</v>
      </c>
      <c r="K2" s="3" t="s">
        <v>42</v>
      </c>
      <c r="L2" s="3" t="s">
        <v>42</v>
      </c>
    </row>
    <row r="3" spans="1:12" ht="129" customHeight="1">
      <c r="A3" s="3" t="s">
        <v>99</v>
      </c>
      <c r="B3" s="3" t="s">
        <v>100</v>
      </c>
      <c r="C3" s="3" t="s">
        <v>95</v>
      </c>
      <c r="D3" s="3" t="s">
        <v>95</v>
      </c>
      <c r="E3" s="3" t="s">
        <v>96</v>
      </c>
      <c r="F3" s="3" t="s">
        <v>97</v>
      </c>
      <c r="G3" s="3" t="s">
        <v>101</v>
      </c>
      <c r="H3" s="3" t="str">
        <f>HYPERLINK("http://www.jccm.es/sede/tramite/JPU","COMUNICACION VENTAS EN LIQUIDACION")</f>
        <v>COMUNICACION VENTAS EN LIQUIDACION</v>
      </c>
      <c r="I3" s="3" t="s">
        <v>42</v>
      </c>
      <c r="J3" s="3" t="s">
        <v>41</v>
      </c>
      <c r="K3" s="3" t="s">
        <v>42</v>
      </c>
      <c r="L3" s="3" t="s">
        <v>41</v>
      </c>
    </row>
    <row r="4" spans="1:12" ht="129" customHeight="1">
      <c r="A4" s="3" t="s">
        <v>102</v>
      </c>
      <c r="B4" s="3" t="s">
        <v>103</v>
      </c>
      <c r="C4" s="3" t="s">
        <v>95</v>
      </c>
      <c r="D4" s="3" t="s">
        <v>95</v>
      </c>
      <c r="E4" s="3" t="s">
        <v>96</v>
      </c>
      <c r="F4" s="3" t="s">
        <v>97</v>
      </c>
      <c r="G4" s="3" t="s">
        <v>104</v>
      </c>
      <c r="H4" s="3" t="str">
        <f>HYPERLINK("http://www.jccm.es/sede/tramite/JPV","COMUNICACION VENTAS AUTOMATICAS")</f>
        <v>COMUNICACION VENTAS AUTOMATICAS</v>
      </c>
      <c r="I4" s="3" t="s">
        <v>42</v>
      </c>
      <c r="J4" s="3" t="s">
        <v>41</v>
      </c>
      <c r="K4" s="3" t="s">
        <v>42</v>
      </c>
      <c r="L4" s="3" t="s">
        <v>41</v>
      </c>
    </row>
    <row r="5" spans="1:12" ht="129" customHeight="1">
      <c r="A5" s="3" t="s">
        <v>105</v>
      </c>
      <c r="B5" s="3" t="s">
        <v>106</v>
      </c>
      <c r="C5" s="3" t="s">
        <v>95</v>
      </c>
      <c r="D5" s="3" t="s">
        <v>95</v>
      </c>
      <c r="E5" s="3" t="s">
        <v>96</v>
      </c>
      <c r="F5" s="3" t="s">
        <v>97</v>
      </c>
      <c r="G5" s="3" t="s">
        <v>107</v>
      </c>
      <c r="H5" s="3" t="str">
        <f>HYPERLINK("http://www.jccm.es/sede/tramite/JPW","COMUNICACION VENTA SUBASTA PUBLICA")</f>
        <v>COMUNICACION VENTA SUBASTA PUBLICA</v>
      </c>
      <c r="I5" s="3" t="s">
        <v>42</v>
      </c>
      <c r="J5" s="3" t="s">
        <v>41</v>
      </c>
      <c r="K5" s="3" t="s">
        <v>42</v>
      </c>
      <c r="L5" s="3" t="s">
        <v>41</v>
      </c>
    </row>
    <row r="6" spans="1:12" ht="129" customHeight="1">
      <c r="A6" s="3" t="s">
        <v>108</v>
      </c>
      <c r="B6" s="3" t="s">
        <v>109</v>
      </c>
      <c r="C6" s="3" t="s">
        <v>95</v>
      </c>
      <c r="D6" s="3" t="s">
        <v>95</v>
      </c>
      <c r="E6" s="3" t="s">
        <v>96</v>
      </c>
      <c r="F6" s="3" t="s">
        <v>97</v>
      </c>
      <c r="G6" s="3" t="s">
        <v>110</v>
      </c>
      <c r="H6" s="3" t="str">
        <f>HYPERLINK("http://www.jccm.es/sede/tramite/IH4","DECLARACION RESPONSABLE PARA EL INICIO/MODIFICACIONES DE CAMPAMENTO DE TURISMO EN CASTILLA-LA MANCHA E INSCRIPCION EN  EL REGISTRO GENERAL DE EMPRESAS, ESTABLECIMIENTOS Y ASOCIACIONES DE EMPRESAS TURI")</f>
        <v>DECLARACION RESPONSABLE PARA EL INICIO/MODIFICACIONES DE CAMPAMENTO DE TURISMO EN CASTILLA-LA MANCHA E INSCRIPCION EN  EL REGISTRO GENERAL DE EMPRESAS, ESTABLECIMIENTOS Y ASOCIACIONES DE EMPRESAS TURI</v>
      </c>
      <c r="I6" s="3" t="s">
        <v>42</v>
      </c>
      <c r="J6" s="3" t="s">
        <v>41</v>
      </c>
      <c r="K6" s="3" t="s">
        <v>42</v>
      </c>
      <c r="L6" s="3" t="s">
        <v>42</v>
      </c>
    </row>
    <row r="7" spans="1:12" ht="129" customHeight="1">
      <c r="A7" s="3" t="s">
        <v>111</v>
      </c>
      <c r="B7" s="3" t="s">
        <v>112</v>
      </c>
      <c r="C7" s="3" t="s">
        <v>45</v>
      </c>
      <c r="D7" s="3" t="s">
        <v>46</v>
      </c>
      <c r="E7" s="3" t="s">
        <v>96</v>
      </c>
      <c r="F7" s="3" t="s">
        <v>113</v>
      </c>
      <c r="G7" s="3" t="s">
        <v>114</v>
      </c>
      <c r="H7" s="3" t="str">
        <f>HYPERLINK("http://www.jccm.es/sede/tramite/IJI","AUTORIZACION DE PERSONAS O ENTIDADES ESPECIALIZADAS QUE PRETENDAN DESARROLLAR LA ACTIVIDAD DE AUDITORIA DEL SISTEMA DE PREVENCION.")</f>
        <v>AUTORIZACION DE PERSONAS O ENTIDADES ESPECIALIZADAS QUE PRETENDAN DESARROLLAR LA ACTIVIDAD DE AUDITORIA DEL SISTEMA DE PREVENCION.</v>
      </c>
      <c r="I7" s="3" t="s">
        <v>42</v>
      </c>
      <c r="J7" s="3" t="s">
        <v>41</v>
      </c>
      <c r="K7" s="3" t="s">
        <v>42</v>
      </c>
      <c r="L7" s="3" t="s">
        <v>41</v>
      </c>
    </row>
    <row r="8" spans="1:12" ht="129" customHeight="1">
      <c r="A8" s="3" t="s">
        <v>115</v>
      </c>
      <c r="B8" s="3" t="s">
        <v>116</v>
      </c>
      <c r="C8" s="3" t="s">
        <v>95</v>
      </c>
      <c r="D8" s="3" t="s">
        <v>95</v>
      </c>
      <c r="E8" s="3" t="s">
        <v>96</v>
      </c>
      <c r="F8" s="3" t="s">
        <v>113</v>
      </c>
      <c r="G8" s="3" t="s">
        <v>117</v>
      </c>
      <c r="H8" s="3" t="str">
        <f>HYPERLINK("http://www.jccm.es/sede/tramite/IJF","COMUNICACION DE APERTURA DE CENTROS DE TRABAJO.")</f>
        <v>COMUNICACION DE APERTURA DE CENTROS DE TRABAJO.</v>
      </c>
      <c r="I8" s="3" t="s">
        <v>41</v>
      </c>
      <c r="J8" s="3" t="s">
        <v>41</v>
      </c>
      <c r="K8" s="3" t="s">
        <v>42</v>
      </c>
      <c r="L8" s="3" t="s">
        <v>42</v>
      </c>
    </row>
    <row r="9" spans="1:12" ht="129" customHeight="1">
      <c r="A9" s="3" t="s">
        <v>118</v>
      </c>
      <c r="B9" s="3" t="s">
        <v>119</v>
      </c>
      <c r="C9" s="3" t="s">
        <v>62</v>
      </c>
      <c r="D9" s="3" t="s">
        <v>37</v>
      </c>
      <c r="E9" s="3" t="s">
        <v>96</v>
      </c>
      <c r="F9" s="3" t="s">
        <v>120</v>
      </c>
      <c r="G9" s="3" t="s">
        <v>121</v>
      </c>
      <c r="H9" s="3" t="str">
        <f>HYPERLINK("http://www.jccm.es/sede/tramite/IJ8","AUTORIZACION DE EMPRESAS DE TRABAJO TEMPORAL")</f>
        <v>AUTORIZACION DE EMPRESAS DE TRABAJO TEMPORAL</v>
      </c>
      <c r="I9" s="3" t="s">
        <v>41</v>
      </c>
      <c r="J9" s="3" t="s">
        <v>41</v>
      </c>
      <c r="K9" s="3" t="s">
        <v>42</v>
      </c>
      <c r="L9" s="3" t="s">
        <v>42</v>
      </c>
    </row>
    <row r="10" spans="1:12" ht="129" customHeight="1">
      <c r="A10" s="3" t="s">
        <v>122</v>
      </c>
      <c r="B10" s="3" t="s">
        <v>123</v>
      </c>
      <c r="C10" s="3" t="s">
        <v>70</v>
      </c>
      <c r="D10" s="3" t="s">
        <v>37</v>
      </c>
      <c r="E10" s="3" t="s">
        <v>96</v>
      </c>
      <c r="F10" s="3" t="s">
        <v>120</v>
      </c>
      <c r="G10" s="3" t="s">
        <v>124</v>
      </c>
      <c r="H10" s="3" t="str">
        <f>HYPERLINK("http://www.jccm.es/sede/tramite/I95","SOLICITUD DE AUTORIZACION PARA LA PARTICIPACION DE MENORES DE 16 AÑOS EN ESPECTACULOS PUBLICOS.")</f>
        <v>SOLICITUD DE AUTORIZACION PARA LA PARTICIPACION DE MENORES DE 16 AÑOS EN ESPECTACULOS PUBLICOS.</v>
      </c>
      <c r="I10" s="3" t="s">
        <v>42</v>
      </c>
      <c r="J10" s="3" t="s">
        <v>41</v>
      </c>
      <c r="K10" s="3" t="s">
        <v>42</v>
      </c>
      <c r="L10" s="3" t="s">
        <v>41</v>
      </c>
    </row>
    <row r="11" spans="1:12" ht="129" customHeight="1">
      <c r="A11" s="3" t="s">
        <v>125</v>
      </c>
      <c r="B11" s="3" t="s">
        <v>126</v>
      </c>
      <c r="C11" s="3" t="s">
        <v>95</v>
      </c>
      <c r="D11" s="3" t="s">
        <v>95</v>
      </c>
      <c r="E11" s="3" t="s">
        <v>96</v>
      </c>
      <c r="F11" s="3" t="s">
        <v>113</v>
      </c>
      <c r="G11" s="3" t="s">
        <v>127</v>
      </c>
      <c r="H11" s="3" t="str">
        <f>HYPERLINK("http://www.jccm.es/sede/tramite/G41","COMUNICACION INICIO DE ACTIVIDAD COMO AGENCIA DE COLOCACION Y ACTUALIZACION DE CENTROS DE TRABAJO")</f>
        <v>COMUNICACION INICIO DE ACTIVIDAD COMO AGENCIA DE COLOCACION Y ACTUALIZACION DE CENTROS DE TRABAJO</v>
      </c>
      <c r="I11" s="3" t="s">
        <v>42</v>
      </c>
      <c r="J11" s="3" t="s">
        <v>41</v>
      </c>
      <c r="K11" s="3" t="s">
        <v>42</v>
      </c>
      <c r="L11" s="3" t="s">
        <v>42</v>
      </c>
    </row>
    <row r="12" spans="1:12" ht="129" customHeight="1">
      <c r="A12" s="3" t="s">
        <v>128</v>
      </c>
      <c r="B12" s="3" t="s">
        <v>129</v>
      </c>
      <c r="C12" s="3" t="s">
        <v>45</v>
      </c>
      <c r="D12" s="3" t="s">
        <v>37</v>
      </c>
      <c r="E12" s="3" t="s">
        <v>96</v>
      </c>
      <c r="F12" s="3" t="s">
        <v>130</v>
      </c>
      <c r="G12" s="3" t="s">
        <v>131</v>
      </c>
      <c r="H12" s="3" t="str">
        <f>HYPERLINK("http://www.jccm.es/sede/tramite/E86","REGISTRO DE CENTROS Y ENTIDADES QUE IMPARTEN FORMACION PROFESIONAL PARA EL EMPLEO EN CASTILLA-LA MANCHA")</f>
        <v>REGISTRO DE CENTROS Y ENTIDADES QUE IMPARTEN FORMACION PROFESIONAL PARA EL EMPLEO EN CASTILLA-LA MANCHA</v>
      </c>
      <c r="I12" s="3" t="s">
        <v>42</v>
      </c>
      <c r="J12" s="3" t="s">
        <v>41</v>
      </c>
      <c r="K12" s="3" t="s">
        <v>42</v>
      </c>
      <c r="L12" s="3" t="s">
        <v>41</v>
      </c>
    </row>
    <row r="13" spans="1:12" ht="129" customHeight="1">
      <c r="A13" s="3" t="s">
        <v>132</v>
      </c>
      <c r="B13" s="3" t="s">
        <v>133</v>
      </c>
      <c r="C13" s="3" t="s">
        <v>95</v>
      </c>
      <c r="D13" s="3" t="s">
        <v>95</v>
      </c>
      <c r="E13" s="3" t="s">
        <v>96</v>
      </c>
      <c r="F13" s="3" t="s">
        <v>97</v>
      </c>
      <c r="G13" s="3" t="s">
        <v>134</v>
      </c>
      <c r="H13" s="3" t="str">
        <f>HYPERLINK("http://www.jccm.es/sede/tramite/K0S","COMUNICACION DE VENTA DOMICILIARIA")</f>
        <v>COMUNICACION DE VENTA DOMICILIARIA</v>
      </c>
      <c r="I13" s="3" t="s">
        <v>42</v>
      </c>
      <c r="J13" s="3" t="s">
        <v>41</v>
      </c>
      <c r="K13" s="3" t="s">
        <v>42</v>
      </c>
      <c r="L13" s="3" t="s">
        <v>41</v>
      </c>
    </row>
    <row r="14" spans="1:12" ht="129" customHeight="1">
      <c r="A14" s="3" t="s">
        <v>135</v>
      </c>
      <c r="B14" s="3" t="s">
        <v>136</v>
      </c>
      <c r="C14" s="3" t="s">
        <v>95</v>
      </c>
      <c r="D14" s="3" t="s">
        <v>95</v>
      </c>
      <c r="E14" s="3" t="s">
        <v>96</v>
      </c>
      <c r="F14" s="3" t="s">
        <v>120</v>
      </c>
      <c r="G14" s="3" t="s">
        <v>137</v>
      </c>
      <c r="H14" s="3" t="str">
        <f>HYPERLINK("http://www.jccm.es/sede/tramite/KRW","COMUNICACION DE DESPLAZAMIENTO EN EL MARCO DE UNA PRESTACION DE SERVICIOS TRANSNACIONAL")</f>
        <v>COMUNICACION DE DESPLAZAMIENTO EN EL MARCO DE UNA PRESTACION DE SERVICIOS TRANSNACIONAL</v>
      </c>
      <c r="I14" s="3" t="s">
        <v>41</v>
      </c>
      <c r="J14" s="3" t="s">
        <v>41</v>
      </c>
      <c r="K14" s="3" t="s">
        <v>42</v>
      </c>
      <c r="L14" s="3" t="s">
        <v>41</v>
      </c>
    </row>
    <row r="15" spans="1:12" ht="129" customHeight="1">
      <c r="A15" s="3" t="s">
        <v>138</v>
      </c>
      <c r="B15" s="3" t="s">
        <v>139</v>
      </c>
      <c r="C15" s="3" t="s">
        <v>45</v>
      </c>
      <c r="D15" s="3" t="s">
        <v>46</v>
      </c>
      <c r="E15" s="3" t="s">
        <v>96</v>
      </c>
      <c r="F15" s="3" t="s">
        <v>130</v>
      </c>
      <c r="G15" s="3" t="s">
        <v>140</v>
      </c>
      <c r="H15" s="3" t="str">
        <f>HYPERLINK("http://www.jccm.es/sede/tramite/KS7","AUTORIZACION PARA LA REALIZACION DE ACCION FORMATIVA CONDUCENTE A LA OBTENCION  DE CERTIFICADO DE PROFESIONALIDAD REALIZADA POR EMPRESAS Y CENTROS DE INCIATIVA PRIVADA")</f>
        <v>AUTORIZACION PARA LA REALIZACION DE ACCION FORMATIVA CONDUCENTE A LA OBTENCION  DE CERTIFICADO DE PROFESIONALIDAD REALIZADA POR EMPRESAS Y CENTROS DE INCIATIVA PRIVADA</v>
      </c>
      <c r="I15" s="3" t="s">
        <v>41</v>
      </c>
      <c r="J15" s="3" t="s">
        <v>41</v>
      </c>
      <c r="K15" s="3" t="s">
        <v>42</v>
      </c>
      <c r="L15" s="3" t="s">
        <v>41</v>
      </c>
    </row>
    <row r="16" spans="1:12" ht="129" customHeight="1">
      <c r="A16" s="3" t="s">
        <v>141</v>
      </c>
      <c r="B16" s="3" t="s">
        <v>142</v>
      </c>
      <c r="C16" s="3" t="s">
        <v>95</v>
      </c>
      <c r="D16" s="3" t="s">
        <v>95</v>
      </c>
      <c r="E16" s="3" t="s">
        <v>96</v>
      </c>
      <c r="F16" s="3" t="s">
        <v>120</v>
      </c>
      <c r="G16" s="3" t="s">
        <v>143</v>
      </c>
      <c r="H16" s="3" t="str">
        <f>HYPERLINK("http://www.jccm.es/sede/tramite/L08","HUELGA: COMUNICACION A LA AUTORIDAD LABORAL")</f>
        <v>HUELGA: COMUNICACION A LA AUTORIDAD LABORAL</v>
      </c>
      <c r="I16" s="3" t="s">
        <v>42</v>
      </c>
      <c r="J16" s="3" t="s">
        <v>41</v>
      </c>
      <c r="K16" s="3" t="s">
        <v>42</v>
      </c>
      <c r="L16" s="3" t="s">
        <v>41</v>
      </c>
    </row>
    <row r="17" spans="1:12" ht="129" customHeight="1">
      <c r="A17" s="3" t="s">
        <v>144</v>
      </c>
      <c r="B17" s="3" t="s">
        <v>145</v>
      </c>
      <c r="C17" s="3" t="s">
        <v>95</v>
      </c>
      <c r="D17" s="3" t="s">
        <v>95</v>
      </c>
      <c r="E17" s="3" t="s">
        <v>96</v>
      </c>
      <c r="F17" s="3" t="s">
        <v>113</v>
      </c>
      <c r="G17" s="3" t="s">
        <v>146</v>
      </c>
      <c r="H17" s="3" t="str">
        <f>HYPERLINK("http://www.jccm.es/sede/tramite/L0K","HABILITACION DEL LIBRO DE SUBCONTRATACION EN EL SECTOR DE LA CONSTRUCCION.")</f>
        <v>HABILITACION DEL LIBRO DE SUBCONTRATACION EN EL SECTOR DE LA CONSTRUCCION.</v>
      </c>
      <c r="I17" s="3" t="s">
        <v>41</v>
      </c>
      <c r="J17" s="3" t="s">
        <v>41</v>
      </c>
      <c r="K17" s="3" t="s">
        <v>42</v>
      </c>
      <c r="L17" s="3" t="s">
        <v>41</v>
      </c>
    </row>
    <row r="18" spans="1:12" ht="129" customHeight="1">
      <c r="A18" s="3" t="s">
        <v>147</v>
      </c>
      <c r="B18" s="3" t="s">
        <v>148</v>
      </c>
      <c r="C18" s="3" t="s">
        <v>45</v>
      </c>
      <c r="D18" s="3" t="s">
        <v>37</v>
      </c>
      <c r="E18" s="3" t="s">
        <v>96</v>
      </c>
      <c r="F18" s="3" t="s">
        <v>113</v>
      </c>
      <c r="G18" s="3" t="s">
        <v>149</v>
      </c>
      <c r="H18" s="3" t="str">
        <f>HYPERLINK("http://www.jccm.es/sede/tramite/L95","AUTORIZACION PARA LA ADQUISICION DE LA CONDICION DE NUEVO MIEMBRO Y SOCIO DE LA RED EURES EN ESPAÑA.")</f>
        <v>AUTORIZACION PARA LA ADQUISICION DE LA CONDICION DE NUEVO MIEMBRO Y SOCIO DE LA RED EURES EN ESPAÑA.</v>
      </c>
      <c r="I18" s="3" t="s">
        <v>41</v>
      </c>
      <c r="J18" s="3" t="s">
        <v>41</v>
      </c>
      <c r="K18" s="3" t="s">
        <v>42</v>
      </c>
      <c r="L18" s="3" t="s">
        <v>41</v>
      </c>
    </row>
    <row r="19" spans="1:12" ht="129" customHeight="1">
      <c r="A19" s="3" t="s">
        <v>150</v>
      </c>
      <c r="B19" s="3" t="s">
        <v>151</v>
      </c>
      <c r="C19" s="3" t="s">
        <v>95</v>
      </c>
      <c r="D19" s="3" t="s">
        <v>95</v>
      </c>
      <c r="E19" s="3" t="s">
        <v>96</v>
      </c>
      <c r="F19" s="3" t="s">
        <v>113</v>
      </c>
      <c r="G19" s="3" t="s">
        <v>152</v>
      </c>
      <c r="H19" s="3" t="str">
        <f>HYPERLINK("http://www.jccm.es/sede/tramite/LD3","MEDIDAS EN MATERIA DE SUBVENCIONES PARA EL FOMENTO DEL EMPLEO, PARA PALIAR LOS EFECTOS DE LA CRISIS PROVOCADA POR EL COVID-19.")</f>
        <v>MEDIDAS EN MATERIA DE SUBVENCIONES PARA EL FOMENTO DEL EMPLEO, PARA PALIAR LOS EFECTOS DE LA CRISIS PROVOCADA POR EL COVID-19.</v>
      </c>
      <c r="I19" s="3" t="s">
        <v>41</v>
      </c>
      <c r="J19" s="3" t="s">
        <v>41</v>
      </c>
      <c r="K19" s="3" t="s">
        <v>42</v>
      </c>
      <c r="L19" s="3" t="s">
        <v>41</v>
      </c>
    </row>
    <row r="20" spans="1:12" ht="129" customHeight="1">
      <c r="A20" s="3" t="s">
        <v>153</v>
      </c>
      <c r="B20" s="3" t="s">
        <v>154</v>
      </c>
      <c r="C20" s="3" t="s">
        <v>95</v>
      </c>
      <c r="D20" s="3" t="s">
        <v>95</v>
      </c>
      <c r="E20" s="3" t="s">
        <v>96</v>
      </c>
      <c r="F20" s="3" t="s">
        <v>130</v>
      </c>
      <c r="G20" s="3" t="s">
        <v>155</v>
      </c>
      <c r="H20" s="3" t="str">
        <f>HYPERLINK("http://www.jccm.es/sede/tramite/LDT","DECLARACION RESPONSABLE SOBRE LA IMPARTICION EXCEPCIONAL DE LAS ACCIONES FORMATIVAS DE LA MODALIDAD PRESENCIAL DE FPPE")</f>
        <v>DECLARACION RESPONSABLE SOBRE LA IMPARTICION EXCEPCIONAL DE LAS ACCIONES FORMATIVAS DE LA MODALIDAD PRESENCIAL DE FPPE</v>
      </c>
      <c r="I20" s="3" t="s">
        <v>41</v>
      </c>
      <c r="J20" s="3" t="s">
        <v>41</v>
      </c>
      <c r="K20" s="3" t="s">
        <v>42</v>
      </c>
      <c r="L20" s="3" t="s">
        <v>41</v>
      </c>
    </row>
    <row r="21" spans="1:12" ht="129" customHeight="1">
      <c r="A21" s="3" t="s">
        <v>156</v>
      </c>
      <c r="B21" s="3" t="s">
        <v>157</v>
      </c>
      <c r="C21" s="3" t="s">
        <v>158</v>
      </c>
      <c r="D21" s="3" t="s">
        <v>37</v>
      </c>
      <c r="E21" s="3" t="s">
        <v>96</v>
      </c>
      <c r="F21" s="3" t="s">
        <v>120</v>
      </c>
      <c r="G21" s="3" t="s">
        <v>159</v>
      </c>
      <c r="H21" s="3" t="str">
        <f>HYPERLINK("http://www.jccm.es/sede/tramite/LGD","EXPEDIENTES DE SOLICITUD DE DECLARACION DE EMPRESA DEPENDIENTE O INTEGRANTE DE LA CADENA DE VALOR EN EXPEDIENTES DE REGULACION TEMPORAL DE EMPLEO")</f>
        <v>EXPEDIENTES DE SOLICITUD DE DECLARACION DE EMPRESA DEPENDIENTE O INTEGRANTE DE LA CADENA DE VALOR EN EXPEDIENTES DE REGULACION TEMPORAL DE EMPLEO</v>
      </c>
      <c r="I21" s="3" t="s">
        <v>41</v>
      </c>
      <c r="J21" s="3" t="s">
        <v>41</v>
      </c>
      <c r="K21" s="3" t="s">
        <v>42</v>
      </c>
      <c r="L21" s="3" t="s">
        <v>41</v>
      </c>
    </row>
    <row r="22" spans="1:12" ht="129" customHeight="1">
      <c r="A22" s="3" t="s">
        <v>160</v>
      </c>
      <c r="B22" s="3" t="s">
        <v>161</v>
      </c>
      <c r="C22" s="3" t="s">
        <v>95</v>
      </c>
      <c r="D22" s="3" t="s">
        <v>95</v>
      </c>
      <c r="E22" s="3" t="s">
        <v>96</v>
      </c>
      <c r="F22" s="3" t="s">
        <v>97</v>
      </c>
      <c r="G22" s="3" t="s">
        <v>162</v>
      </c>
      <c r="H22" s="3" t="str">
        <f>HYPERLINK("http://www.jccm.es/sede/tramite/IWH","COMUNICACION DE DATOS AL REGISTRO DE EMPRESAS DE VENTAS A DISTANCIA")</f>
        <v>COMUNICACION DE DATOS AL REGISTRO DE EMPRESAS DE VENTAS A DISTANCIA</v>
      </c>
      <c r="I22" s="3" t="s">
        <v>42</v>
      </c>
      <c r="J22" s="3" t="s">
        <v>41</v>
      </c>
      <c r="K22" s="3" t="s">
        <v>42</v>
      </c>
      <c r="L22" s="3" t="s">
        <v>42</v>
      </c>
    </row>
    <row r="23" spans="1:12" ht="129" customHeight="1">
      <c r="A23" s="3" t="s">
        <v>163</v>
      </c>
      <c r="B23" s="3" t="s">
        <v>164</v>
      </c>
      <c r="C23" s="3" t="s">
        <v>95</v>
      </c>
      <c r="D23" s="3" t="s">
        <v>95</v>
      </c>
      <c r="E23" s="3" t="s">
        <v>96</v>
      </c>
      <c r="F23" s="3" t="s">
        <v>97</v>
      </c>
      <c r="G23" s="3" t="s">
        <v>165</v>
      </c>
      <c r="H23" s="3" t="str">
        <f>HYPERLINK("http://www.jccm.es/sede/tramite/KOA","DECLARACION RESPONSABLE DE CESE DE ACTIVIDAD COMO ESTABLECIMIENTO HOTELERO DE CASTILLA-LA MANCHA Y BAJA EN EL REGISTRO GENERAL REGULADO EN EL DECRETO 5/2007, DE 22 DE ENERO")</f>
        <v>DECLARACION RESPONSABLE DE CESE DE ACTIVIDAD COMO ESTABLECIMIENTO HOTELERO DE CASTILLA-LA MANCHA Y BAJA EN EL REGISTRO GENERAL REGULADO EN EL DECRETO 5/2007, DE 22 DE ENERO</v>
      </c>
      <c r="I23" s="3" t="s">
        <v>42</v>
      </c>
      <c r="J23" s="3" t="s">
        <v>41</v>
      </c>
      <c r="K23" s="3" t="s">
        <v>42</v>
      </c>
      <c r="L23" s="3" t="s">
        <v>41</v>
      </c>
    </row>
    <row r="24" spans="1:12" ht="129" customHeight="1">
      <c r="A24" s="3" t="s">
        <v>166</v>
      </c>
      <c r="B24" s="3" t="s">
        <v>167</v>
      </c>
      <c r="C24" s="3" t="s">
        <v>95</v>
      </c>
      <c r="D24" s="3" t="s">
        <v>95</v>
      </c>
      <c r="E24" s="3" t="s">
        <v>96</v>
      </c>
      <c r="F24" s="3" t="s">
        <v>97</v>
      </c>
      <c r="G24" s="3" t="s">
        <v>168</v>
      </c>
      <c r="H24" s="3" t="str">
        <f>HYPERLINK("http://www.jccm.es/sede/tramite/139","DECLARACION RESPONSABLE DE INICIO DE ACTIVIDAD COMO ESTABLECIMIENTO HOTELERO DE CASTILLA-LA MANCHA E INSCRIPCION EN EL REGISTRO GENERAL REGULADO EN EL DECRETO 5/2007, DE 22 DE ENERO")</f>
        <v>DECLARACION RESPONSABLE DE INICIO DE ACTIVIDAD COMO ESTABLECIMIENTO HOTELERO DE CASTILLA-LA MANCHA E INSCRIPCION EN EL REGISTRO GENERAL REGULADO EN EL DECRETO 5/2007, DE 22 DE ENERO</v>
      </c>
      <c r="I24" s="3" t="s">
        <v>42</v>
      </c>
      <c r="J24" s="3" t="s">
        <v>41</v>
      </c>
      <c r="K24" s="3" t="s">
        <v>42</v>
      </c>
      <c r="L24" s="3" t="s">
        <v>42</v>
      </c>
    </row>
    <row r="25" spans="1:12" ht="129" customHeight="1">
      <c r="A25" s="3" t="s">
        <v>169</v>
      </c>
      <c r="B25" s="3" t="s">
        <v>170</v>
      </c>
      <c r="C25" s="3" t="s">
        <v>95</v>
      </c>
      <c r="D25" s="3" t="s">
        <v>95</v>
      </c>
      <c r="E25" s="3" t="s">
        <v>96</v>
      </c>
      <c r="F25" s="3" t="s">
        <v>97</v>
      </c>
      <c r="G25" s="3" t="s">
        <v>171</v>
      </c>
      <c r="H25" s="3" t="str">
        <f>HYPERLINK("http://www.jccm.es/sede/tramite/KO9","DECLARACION RESPONSABLE DE CAMBIO DE TITULARIDAD, CATEGORIA O DENOMINACION/MODIFICACION DE CAPACIDAD, COMO ESTABLECIMIENTO HOTELERO DE CASTILLA-LA MANCHA E INSCRIPCION  EN EL REGISTRO GENERAL REG")</f>
        <v>DECLARACION RESPONSABLE DE CAMBIO DE TITULARIDAD, CATEGORIA O DENOMINACION/MODIFICACION DE CAPACIDAD, COMO ESTABLECIMIENTO HOTELERO DE CASTILLA-LA MANCHA E INSCRIPCION  EN EL REGISTRO GENERAL REG</v>
      </c>
      <c r="I25" s="3" t="s">
        <v>42</v>
      </c>
      <c r="J25" s="3" t="s">
        <v>41</v>
      </c>
      <c r="K25" s="3" t="s">
        <v>42</v>
      </c>
      <c r="L25" s="3" t="s">
        <v>41</v>
      </c>
    </row>
    <row r="26" spans="1:12" ht="129" customHeight="1">
      <c r="A26" s="3" t="s">
        <v>172</v>
      </c>
      <c r="B26" s="3" t="s">
        <v>173</v>
      </c>
      <c r="C26" s="3" t="s">
        <v>45</v>
      </c>
      <c r="D26" s="3" t="s">
        <v>37</v>
      </c>
      <c r="E26" s="3" t="s">
        <v>96</v>
      </c>
      <c r="F26" s="3" t="s">
        <v>97</v>
      </c>
      <c r="G26" s="3" t="s">
        <v>174</v>
      </c>
      <c r="H26" s="3" t="str">
        <f>HYPERLINK("http://www.jccm.es/sede/tramite/KOW","MODIFICACION DE ACTIVIDAD/ES COMO EMPRESA DE TURISMO ACTIVO/ECOTURISMO")</f>
        <v>MODIFICACION DE ACTIVIDAD/ES COMO EMPRESA DE TURISMO ACTIVO/ECOTURISMO</v>
      </c>
      <c r="I26" s="3" t="s">
        <v>41</v>
      </c>
      <c r="J26" s="3" t="s">
        <v>41</v>
      </c>
      <c r="K26" s="3" t="s">
        <v>42</v>
      </c>
      <c r="L26" s="3" t="s">
        <v>41</v>
      </c>
    </row>
    <row r="27" spans="1:12" ht="129" customHeight="1">
      <c r="A27" s="3" t="s">
        <v>175</v>
      </c>
      <c r="B27" s="3" t="s">
        <v>176</v>
      </c>
      <c r="C27" s="3" t="s">
        <v>45</v>
      </c>
      <c r="D27" s="3" t="s">
        <v>37</v>
      </c>
      <c r="E27" s="3" t="s">
        <v>96</v>
      </c>
      <c r="F27" s="3" t="s">
        <v>97</v>
      </c>
      <c r="G27" s="3" t="s">
        <v>177</v>
      </c>
      <c r="H27" s="3" t="str">
        <f>HYPERLINK("http://www.jccm.es/sede/tramite/KOX","CAMBIO DE TITULARIDAD,  CAMBIO DE DENOMINACION, CESE TOTAL DE ACTIVIDAD/ES, O CESE PARCIAL DE ACTIVIDAD/ES, COMO EMPRESA DE TURISMO ACTIVO/ECOTURISMO")</f>
        <v>CAMBIO DE TITULARIDAD,  CAMBIO DE DENOMINACION, CESE TOTAL DE ACTIVIDAD/ES, O CESE PARCIAL DE ACTIVIDAD/ES, COMO EMPRESA DE TURISMO ACTIVO/ECOTURISMO</v>
      </c>
      <c r="I27" s="3" t="s">
        <v>41</v>
      </c>
      <c r="J27" s="3" t="s">
        <v>41</v>
      </c>
      <c r="K27" s="3" t="s">
        <v>42</v>
      </c>
      <c r="L27" s="3" t="s">
        <v>41</v>
      </c>
    </row>
    <row r="28" spans="1:12" ht="129" customHeight="1">
      <c r="A28" s="3" t="s">
        <v>178</v>
      </c>
      <c r="B28" s="3" t="s">
        <v>179</v>
      </c>
      <c r="C28" s="3" t="s">
        <v>45</v>
      </c>
      <c r="D28" s="3" t="s">
        <v>37</v>
      </c>
      <c r="E28" s="3" t="s">
        <v>96</v>
      </c>
      <c r="F28" s="3" t="s">
        <v>97</v>
      </c>
      <c r="G28" s="3" t="s">
        <v>180</v>
      </c>
      <c r="H28" s="3" t="str">
        <f>HYPERLINK("http://www.jccm.es/sede/tramite/ITB","DECLARACION RESPONSABLE DE INICIO DE ACTIVIDAD COMO EMPRESA DE TURISMO ACTIVO/ECOTURISMO")</f>
        <v>DECLARACION RESPONSABLE DE INICIO DE ACTIVIDAD COMO EMPRESA DE TURISMO ACTIVO/ECOTURISMO</v>
      </c>
      <c r="I28" s="3" t="s">
        <v>41</v>
      </c>
      <c r="J28" s="3" t="s">
        <v>41</v>
      </c>
      <c r="K28" s="3" t="s">
        <v>42</v>
      </c>
      <c r="L28" s="3" t="s">
        <v>42</v>
      </c>
    </row>
    <row r="29" spans="1:12" ht="129" customHeight="1">
      <c r="A29" s="3" t="s">
        <v>181</v>
      </c>
      <c r="B29" s="3" t="s">
        <v>182</v>
      </c>
      <c r="C29" s="3" t="s">
        <v>95</v>
      </c>
      <c r="D29" s="3" t="s">
        <v>95</v>
      </c>
      <c r="E29" s="3" t="s">
        <v>96</v>
      </c>
      <c r="F29" s="3" t="s">
        <v>97</v>
      </c>
      <c r="G29" s="3" t="s">
        <v>183</v>
      </c>
      <c r="H29" s="3" t="str">
        <f>HYPERLINK("http://www.jccm.es/sede/tramite/KOK","MODIFICACION DE CAPACIDAD COMO ALOJAMIENTO DE TURISMO RURAL EN EL REGISTRO GENERAL.")</f>
        <v>MODIFICACION DE CAPACIDAD COMO ALOJAMIENTO DE TURISMO RURAL EN EL REGISTRO GENERAL.</v>
      </c>
      <c r="I29" s="3" t="s">
        <v>41</v>
      </c>
      <c r="J29" s="3" t="s">
        <v>41</v>
      </c>
      <c r="K29" s="3" t="s">
        <v>42</v>
      </c>
      <c r="L29" s="3" t="s">
        <v>41</v>
      </c>
    </row>
    <row r="30" spans="1:12" ht="129" customHeight="1">
      <c r="A30" s="3" t="s">
        <v>184</v>
      </c>
      <c r="B30" s="3" t="s">
        <v>185</v>
      </c>
      <c r="C30" s="3" t="s">
        <v>95</v>
      </c>
      <c r="D30" s="3" t="s">
        <v>95</v>
      </c>
      <c r="E30" s="3" t="s">
        <v>96</v>
      </c>
      <c r="F30" s="3" t="s">
        <v>97</v>
      </c>
      <c r="G30" s="3" t="s">
        <v>186</v>
      </c>
      <c r="H30" s="3" t="str">
        <f>HYPERLINK("http://www.jccm.es/sede/tramite/IWI","INICIO DE ACTIVIDAD COMO ALOJAMIENTOS DE TURISMO RURAL DE CASTILLA-LA MANCHA E INSCRIPCION EN EL REGISTRO GENERAL.")</f>
        <v>INICIO DE ACTIVIDAD COMO ALOJAMIENTOS DE TURISMO RURAL DE CASTILLA-LA MANCHA E INSCRIPCION EN EL REGISTRO GENERAL.</v>
      </c>
      <c r="I30" s="3" t="s">
        <v>41</v>
      </c>
      <c r="J30" s="3" t="s">
        <v>41</v>
      </c>
      <c r="K30" s="3" t="s">
        <v>42</v>
      </c>
      <c r="L30" s="3" t="s">
        <v>42</v>
      </c>
    </row>
    <row r="31" spans="1:12" ht="129" customHeight="1">
      <c r="A31" s="3" t="s">
        <v>187</v>
      </c>
      <c r="B31" s="3" t="s">
        <v>188</v>
      </c>
      <c r="C31" s="3" t="s">
        <v>95</v>
      </c>
      <c r="D31" s="3" t="s">
        <v>95</v>
      </c>
      <c r="E31" s="3" t="s">
        <v>96</v>
      </c>
      <c r="F31" s="3" t="s">
        <v>97</v>
      </c>
      <c r="G31" s="3" t="s">
        <v>189</v>
      </c>
      <c r="H31" s="3" t="str">
        <f>HYPERLINK("http://www.jccm.es/sede/tramite/KOL","CESE DE ACTIVIDAD, CAMBIO DE TITULARIDAD Y CAMBIO  DE DENOMINACION COMO ALOJAMIENTO DE TURISMO RURAL DE CASTILLA-LA MANCHA Y BAJA EN EL REGISTRO GENERAL")</f>
        <v>CESE DE ACTIVIDAD, CAMBIO DE TITULARIDAD Y CAMBIO  DE DENOMINACION COMO ALOJAMIENTO DE TURISMO RURAL DE CASTILLA-LA MANCHA Y BAJA EN EL REGISTRO GENERAL</v>
      </c>
      <c r="I31" s="3" t="s">
        <v>41</v>
      </c>
      <c r="J31" s="3" t="s">
        <v>41</v>
      </c>
      <c r="K31" s="3" t="s">
        <v>42</v>
      </c>
      <c r="L31" s="3" t="s">
        <v>41</v>
      </c>
    </row>
    <row r="32" spans="1:12" ht="129" customHeight="1">
      <c r="A32" s="3" t="s">
        <v>190</v>
      </c>
      <c r="B32" s="3" t="s">
        <v>191</v>
      </c>
      <c r="C32" s="3" t="s">
        <v>192</v>
      </c>
      <c r="D32" s="3" t="s">
        <v>37</v>
      </c>
      <c r="E32" s="3" t="s">
        <v>96</v>
      </c>
      <c r="F32" s="3" t="s">
        <v>113</v>
      </c>
      <c r="G32" s="3" t="s">
        <v>193</v>
      </c>
      <c r="H32" s="3" t="str">
        <f>HYPERLINK("http://www.jccm.es/sede/tramite/J4D","DECLARACION DE EXCEPCIONALIDAD PARA EL CUMPLIMIENTO ALTERNATIVO DE LA CUOTA DE RESERVA DE PLANTILLA A FAVOR DE TRABAJADORES CON DISCAPACIDAD")</f>
        <v>DECLARACION DE EXCEPCIONALIDAD PARA EL CUMPLIMIENTO ALTERNATIVO DE LA CUOTA DE RESERVA DE PLANTILLA A FAVOR DE TRABAJADORES CON DISCAPACIDAD</v>
      </c>
      <c r="I32" s="3" t="s">
        <v>41</v>
      </c>
      <c r="J32" s="3" t="s">
        <v>41</v>
      </c>
      <c r="K32" s="3" t="s">
        <v>42</v>
      </c>
      <c r="L32" s="3" t="s">
        <v>41</v>
      </c>
    </row>
    <row r="33" spans="1:12" ht="129" customHeight="1">
      <c r="A33" s="3" t="s">
        <v>194</v>
      </c>
      <c r="B33" s="3" t="s">
        <v>195</v>
      </c>
      <c r="C33" s="3" t="s">
        <v>192</v>
      </c>
      <c r="D33" s="3" t="s">
        <v>37</v>
      </c>
      <c r="E33" s="3" t="s">
        <v>96</v>
      </c>
      <c r="F33" s="3" t="s">
        <v>113</v>
      </c>
      <c r="G33" s="3" t="s">
        <v>196</v>
      </c>
      <c r="H33" s="3" t="str">
        <f>HYPERLINK("http://www.jccm.es/sede/tramite/KIX","COMUNICACION DE MEDIDAS ALTERNATIVAS AL CUMPLIMIENTO DE LA OBLIGACION DE RESERVA DEL 2% DE PLANTILLA A FAVOR DE TRABAJADORES CON DISCAPACIDAD.")</f>
        <v>COMUNICACION DE MEDIDAS ALTERNATIVAS AL CUMPLIMIENTO DE LA OBLIGACION DE RESERVA DEL 2% DE PLANTILLA A FAVOR DE TRABAJADORES CON DISCAPACIDAD.</v>
      </c>
      <c r="I33" s="3" t="s">
        <v>41</v>
      </c>
      <c r="J33" s="3" t="s">
        <v>41</v>
      </c>
      <c r="K33" s="3" t="s">
        <v>42</v>
      </c>
      <c r="L33" s="3" t="s">
        <v>41</v>
      </c>
    </row>
    <row r="34" spans="1:12" ht="129" customHeight="1">
      <c r="A34" s="3" t="s">
        <v>197</v>
      </c>
      <c r="B34" s="3" t="s">
        <v>198</v>
      </c>
      <c r="C34" s="3" t="s">
        <v>95</v>
      </c>
      <c r="D34" s="3" t="s">
        <v>95</v>
      </c>
      <c r="E34" s="3" t="s">
        <v>96</v>
      </c>
      <c r="F34" s="3" t="s">
        <v>113</v>
      </c>
      <c r="G34" s="3" t="s">
        <v>199</v>
      </c>
      <c r="H34" s="3" t="str">
        <f>HYPERLINK("http://www.jccm.es/sede/tramite/JW1","AUTORIZACION PARA LA COMUNICACION DE LA CONTRATACION A TRAVES DE LA APLICACION CONTRAT@")</f>
        <v>AUTORIZACION PARA LA COMUNICACION DE LA CONTRATACION A TRAVES DE LA APLICACION CONTRAT@</v>
      </c>
      <c r="I34" s="3" t="s">
        <v>42</v>
      </c>
      <c r="J34" s="3" t="s">
        <v>41</v>
      </c>
      <c r="K34" s="3" t="s">
        <v>42</v>
      </c>
      <c r="L34" s="3" t="s">
        <v>41</v>
      </c>
    </row>
    <row r="35" spans="1:12" ht="129" customHeight="1">
      <c r="A35" s="3" t="s">
        <v>200</v>
      </c>
      <c r="B35" s="3" t="s">
        <v>201</v>
      </c>
      <c r="C35" s="3" t="s">
        <v>95</v>
      </c>
      <c r="D35" s="3" t="s">
        <v>95</v>
      </c>
      <c r="E35" s="3" t="s">
        <v>96</v>
      </c>
      <c r="F35" s="3" t="s">
        <v>113</v>
      </c>
      <c r="G35" s="3" t="s">
        <v>202</v>
      </c>
      <c r="H35" s="3" t="str">
        <f>HYPERLINK("http://www.jccm.es/sede/tramite/JW0","COMUNICACION PRESENCIAL EXCEPCIONAL DE CONTRATOS DE TRABAJO,COPIAS BASICAS, PRORROGAS,TRANSFORMACIONES, MODIFICACIONES,CORRECCIONES/ANULACIONES Y LLAMAMIENTOS A LA CONSEJERIA DE EMPLEO Y ECONOMIA")</f>
        <v>COMUNICACION PRESENCIAL EXCEPCIONAL DE CONTRATOS DE TRABAJO,COPIAS BASICAS, PRORROGAS,TRANSFORMACIONES, MODIFICACIONES,CORRECCIONES/ANULACIONES Y LLAMAMIENTOS A LA CONSEJERIA DE EMPLEO Y ECONOMIA</v>
      </c>
      <c r="I35" s="3" t="s">
        <v>42</v>
      </c>
      <c r="J35" s="3" t="s">
        <v>41</v>
      </c>
      <c r="K35" s="3" t="s">
        <v>42</v>
      </c>
      <c r="L35" s="3" t="s">
        <v>41</v>
      </c>
    </row>
    <row r="36" spans="1:12" ht="129" customHeight="1">
      <c r="A36" s="3" t="s">
        <v>203</v>
      </c>
      <c r="B36" s="3" t="s">
        <v>204</v>
      </c>
      <c r="C36" s="3" t="s">
        <v>95</v>
      </c>
      <c r="D36" s="3" t="s">
        <v>95</v>
      </c>
      <c r="E36" s="3" t="s">
        <v>96</v>
      </c>
      <c r="F36" s="3" t="s">
        <v>97</v>
      </c>
      <c r="G36" s="3" t="s">
        <v>205</v>
      </c>
      <c r="H36" s="3" t="str">
        <f>HYPERLINK("http://www.jccm.es/sede/tramite/KQA","COMUNICACION DE CAMBIO DE TITULARIDAD, CAMBIO DE DENOMINACION O CESE DE ACTIVIDAD COMO APARTAMENTO TURISTICO EN EL REGISTRO GENERAL REGULADO EN EL DECRETO 5/2007.")</f>
        <v>COMUNICACION DE CAMBIO DE TITULARIDAD, CAMBIO DE DENOMINACION O CESE DE ACTIVIDAD COMO APARTAMENTO TURISTICO EN EL REGISTRO GENERAL REGULADO EN EL DECRETO 5/2007.</v>
      </c>
      <c r="I36" s="3" t="s">
        <v>41</v>
      </c>
      <c r="J36" s="3" t="s">
        <v>41</v>
      </c>
      <c r="K36" s="3" t="s">
        <v>42</v>
      </c>
      <c r="L36" s="3" t="s">
        <v>41</v>
      </c>
    </row>
    <row r="37" spans="1:12" ht="129" customHeight="1">
      <c r="A37" s="3" t="s">
        <v>206</v>
      </c>
      <c r="B37" s="3" t="s">
        <v>207</v>
      </c>
      <c r="C37" s="3" t="s">
        <v>95</v>
      </c>
      <c r="D37" s="3" t="s">
        <v>95</v>
      </c>
      <c r="E37" s="3" t="s">
        <v>96</v>
      </c>
      <c r="F37" s="3" t="s">
        <v>97</v>
      </c>
      <c r="G37" s="3" t="s">
        <v>208</v>
      </c>
      <c r="H37" s="3" t="str">
        <f>HYPERLINK("http://www.jccm.es/sede/tramite/KQ9","DECLARACION RESPONSABLE DE MODIFICACION DE CAPACIDAD O CAMBIO DE CATEGORIA, COMO APARTAMENTO TURISTICO DE CASTILLA-LA MANCHA E INSCRIPCION  EN EL REGISTRO GENERAL REGULADO EN EL DECRETO 5/2007")</f>
        <v>DECLARACION RESPONSABLE DE MODIFICACION DE CAPACIDAD O CAMBIO DE CATEGORIA, COMO APARTAMENTO TURISTICO DE CASTILLA-LA MANCHA E INSCRIPCION  EN EL REGISTRO GENERAL REGULADO EN EL DECRETO 5/2007</v>
      </c>
      <c r="I37" s="3" t="s">
        <v>41</v>
      </c>
      <c r="J37" s="3" t="s">
        <v>41</v>
      </c>
      <c r="K37" s="3" t="s">
        <v>42</v>
      </c>
      <c r="L37" s="3" t="s">
        <v>41</v>
      </c>
    </row>
    <row r="38" spans="1:12" ht="129" customHeight="1">
      <c r="A38" s="3" t="s">
        <v>209</v>
      </c>
      <c r="B38" s="3" t="s">
        <v>210</v>
      </c>
      <c r="C38" s="3" t="s">
        <v>95</v>
      </c>
      <c r="D38" s="3" t="s">
        <v>95</v>
      </c>
      <c r="E38" s="3" t="s">
        <v>96</v>
      </c>
      <c r="F38" s="3" t="s">
        <v>97</v>
      </c>
      <c r="G38" s="3" t="s">
        <v>211</v>
      </c>
      <c r="H38" s="3" t="str">
        <f>HYPERLINK("http://www.jccm.es/sede/tramite/KIE","DECLARACION RESPONSABLE DE INICIO DE ACTIVIDAD COMO APARTAMENTO TURISTICO DE CASTILLA-LA MANCHA E INSCRIPCION EN EL REGISTRO GENERAL REGULADO EN EL DECRETO 5/2007, DE 22 DE ENERO")</f>
        <v>DECLARACION RESPONSABLE DE INICIO DE ACTIVIDAD COMO APARTAMENTO TURISTICO DE CASTILLA-LA MANCHA E INSCRIPCION EN EL REGISTRO GENERAL REGULADO EN EL DECRETO 5/2007, DE 22 DE ENERO</v>
      </c>
      <c r="I38" s="3" t="s">
        <v>41</v>
      </c>
      <c r="J38" s="3" t="s">
        <v>41</v>
      </c>
      <c r="K38" s="3" t="s">
        <v>42</v>
      </c>
      <c r="L38" s="3" t="s">
        <v>41</v>
      </c>
    </row>
    <row r="39" spans="1:12" ht="129" customHeight="1">
      <c r="A39" s="3" t="s">
        <v>212</v>
      </c>
      <c r="B39" s="3" t="s">
        <v>213</v>
      </c>
      <c r="C39" s="3" t="s">
        <v>95</v>
      </c>
      <c r="D39" s="3" t="s">
        <v>95</v>
      </c>
      <c r="E39" s="3" t="s">
        <v>96</v>
      </c>
      <c r="F39" s="3" t="s">
        <v>97</v>
      </c>
      <c r="G39" s="3" t="s">
        <v>214</v>
      </c>
      <c r="H39" s="3" t="str">
        <f>HYPERLINK("http://www.jccm.es/sede/tramite/KT4","DECLARACION RESPONSABLE DE INICIO DE ACTIVIDAD COMO VIVIENDA DE USO  TURISTICO DE CASTILLA-LA MANCHA E INSCRIPCION EN EL REGISTRO GENERAL REGULADO EN EL DECRETO 5/2007, DE 22 DE ENERO")</f>
        <v>DECLARACION RESPONSABLE DE INICIO DE ACTIVIDAD COMO VIVIENDA DE USO  TURISTICO DE CASTILLA-LA MANCHA E INSCRIPCION EN EL REGISTRO GENERAL REGULADO EN EL DECRETO 5/2007, DE 22 DE ENERO</v>
      </c>
      <c r="I39" s="3" t="s">
        <v>41</v>
      </c>
      <c r="J39" s="3" t="s">
        <v>41</v>
      </c>
      <c r="K39" s="3" t="s">
        <v>42</v>
      </c>
      <c r="L39" s="3" t="s">
        <v>41</v>
      </c>
    </row>
    <row r="40" spans="1:12" ht="129" customHeight="1">
      <c r="A40" s="3" t="s">
        <v>215</v>
      </c>
      <c r="B40" s="3" t="s">
        <v>216</v>
      </c>
      <c r="C40" s="3" t="s">
        <v>95</v>
      </c>
      <c r="D40" s="3" t="s">
        <v>95</v>
      </c>
      <c r="E40" s="3" t="s">
        <v>96</v>
      </c>
      <c r="F40" s="3" t="s">
        <v>97</v>
      </c>
      <c r="G40" s="3" t="s">
        <v>217</v>
      </c>
      <c r="H40" s="3" t="str">
        <f>HYPERLINK("http://www.jccm.es/sede/tramite/KT6","COMUNICACION DE CAMBIO DE TITULARIDAD, CAMBIO DE DENOMINACION O CESE DE ACTIVIDAD COMO VIVIENDA DE USO TURISTICO EN EL REGISTRO GENERAL REGULADO EN EL DECRETO 5/2007.")</f>
        <v>COMUNICACION DE CAMBIO DE TITULARIDAD, CAMBIO DE DENOMINACION O CESE DE ACTIVIDAD COMO VIVIENDA DE USO TURISTICO EN EL REGISTRO GENERAL REGULADO EN EL DECRETO 5/2007.</v>
      </c>
      <c r="I40" s="3" t="s">
        <v>41</v>
      </c>
      <c r="J40" s="3" t="s">
        <v>41</v>
      </c>
      <c r="K40" s="3" t="s">
        <v>42</v>
      </c>
      <c r="L40" s="3" t="s">
        <v>41</v>
      </c>
    </row>
    <row r="41" spans="1:12" ht="129" customHeight="1">
      <c r="A41" s="3" t="s">
        <v>218</v>
      </c>
      <c r="B41" s="3" t="s">
        <v>219</v>
      </c>
      <c r="C41" s="3" t="s">
        <v>95</v>
      </c>
      <c r="D41" s="3" t="s">
        <v>95</v>
      </c>
      <c r="E41" s="3" t="s">
        <v>96</v>
      </c>
      <c r="F41" s="3" t="s">
        <v>97</v>
      </c>
      <c r="G41" s="3" t="s">
        <v>220</v>
      </c>
      <c r="H41" s="3" t="str">
        <f>HYPERLINK("http://www.jccm.es/sede/tramite/KT5","DECLARACION RESPONSABLE DE  MODIFICACION DE CAPACIDAD COMO VIVIENDA DE USO TURISTICO  E INSCRIPCION EN EL REGISTRO GENERAL REGULADO EN EL DECRETO 5/2007")</f>
        <v>DECLARACION RESPONSABLE DE  MODIFICACION DE CAPACIDAD COMO VIVIENDA DE USO TURISTICO  E INSCRIPCION EN EL REGISTRO GENERAL REGULADO EN EL DECRETO 5/2007</v>
      </c>
      <c r="I41" s="3" t="s">
        <v>41</v>
      </c>
      <c r="J41" s="3" t="s">
        <v>41</v>
      </c>
      <c r="K41" s="3" t="s">
        <v>42</v>
      </c>
      <c r="L41" s="3" t="s">
        <v>41</v>
      </c>
    </row>
    <row r="42" spans="1:12" ht="129" customHeight="1">
      <c r="A42" s="3" t="s">
        <v>221</v>
      </c>
      <c r="B42" s="3" t="s">
        <v>222</v>
      </c>
      <c r="C42" s="3" t="s">
        <v>95</v>
      </c>
      <c r="D42" s="3" t="s">
        <v>95</v>
      </c>
      <c r="E42" s="3" t="s">
        <v>96</v>
      </c>
      <c r="F42" s="3" t="s">
        <v>97</v>
      </c>
      <c r="G42" s="3" t="s">
        <v>223</v>
      </c>
      <c r="H42" s="3" t="str">
        <f>HYPERLINK("http://www.jccm.es/sede/tramite/KXX","COMUNICACION RELATIVA AL CESE DE ACTIVIDAD, CAMBIO DE TITULARIDAD Y CAMBIO  DE DENOMINACION COMO ALBERGUE TURISTICO DE CASTILLA-LA MANCHA Y BAJA EN EL REGISTRO GENERAL")</f>
        <v>COMUNICACION RELATIVA AL CESE DE ACTIVIDAD, CAMBIO DE TITULARIDAD Y CAMBIO  DE DENOMINACION COMO ALBERGUE TURISTICO DE CASTILLA-LA MANCHA Y BAJA EN EL REGISTRO GENERAL</v>
      </c>
      <c r="I42" s="3" t="s">
        <v>41</v>
      </c>
      <c r="J42" s="3" t="s">
        <v>41</v>
      </c>
      <c r="K42" s="3" t="s">
        <v>42</v>
      </c>
      <c r="L42" s="3" t="s">
        <v>41</v>
      </c>
    </row>
    <row r="43" spans="1:12" ht="129" customHeight="1">
      <c r="A43" s="3" t="s">
        <v>224</v>
      </c>
      <c r="B43" s="3" t="s">
        <v>225</v>
      </c>
      <c r="C43" s="3" t="s">
        <v>95</v>
      </c>
      <c r="D43" s="3" t="s">
        <v>95</v>
      </c>
      <c r="E43" s="3" t="s">
        <v>96</v>
      </c>
      <c r="F43" s="3" t="s">
        <v>97</v>
      </c>
      <c r="G43" s="3" t="s">
        <v>226</v>
      </c>
      <c r="H43" s="3" t="str">
        <f>HYPERLINK("http://www.jccm.es/sede/tramite/KXW","DECLARACION RESPONSABLE RELATIVA A LA MODIFICACION DE CAPACIDAD COMO ALBERGUE TURISTICO EN EL REGISTRO GENERAL.")</f>
        <v>DECLARACION RESPONSABLE RELATIVA A LA MODIFICACION DE CAPACIDAD COMO ALBERGUE TURISTICO EN EL REGISTRO GENERAL.</v>
      </c>
      <c r="I43" s="3" t="s">
        <v>41</v>
      </c>
      <c r="J43" s="3" t="s">
        <v>41</v>
      </c>
      <c r="K43" s="3" t="s">
        <v>42</v>
      </c>
      <c r="L43" s="3" t="s">
        <v>41</v>
      </c>
    </row>
    <row r="44" spans="1:12" ht="129" customHeight="1">
      <c r="A44" s="3" t="s">
        <v>227</v>
      </c>
      <c r="B44" s="3" t="s">
        <v>228</v>
      </c>
      <c r="C44" s="3" t="s">
        <v>95</v>
      </c>
      <c r="D44" s="3" t="s">
        <v>95</v>
      </c>
      <c r="E44" s="3" t="s">
        <v>96</v>
      </c>
      <c r="F44" s="3" t="s">
        <v>97</v>
      </c>
      <c r="G44" s="3" t="s">
        <v>229</v>
      </c>
      <c r="H44" s="3" t="str">
        <f>HYPERLINK("http://www.jccm.es/sede/tramite/KXV","DECLARACION RESPONSABLE RELATIVA AL INICIO DE ACTIVIDAD COMO ALBERGUE TURISTICO DE CASTILLA-LA MANCHA E INSCRIPCION EN EL REGISTRO GENERAL.")</f>
        <v>DECLARACION RESPONSABLE RELATIVA AL INICIO DE ACTIVIDAD COMO ALBERGUE TURISTICO DE CASTILLA-LA MANCHA E INSCRIPCION EN EL REGISTRO GENERAL.</v>
      </c>
      <c r="I44" s="3" t="s">
        <v>41</v>
      </c>
      <c r="J44" s="3" t="s">
        <v>41</v>
      </c>
      <c r="K44" s="3" t="s">
        <v>42</v>
      </c>
      <c r="L44" s="3" t="s">
        <v>41</v>
      </c>
    </row>
    <row r="45" spans="1:12" ht="129" customHeight="1">
      <c r="A45" s="3" t="s">
        <v>230</v>
      </c>
      <c r="B45" s="3" t="s">
        <v>231</v>
      </c>
      <c r="C45" s="3" t="s">
        <v>232</v>
      </c>
      <c r="D45" s="3" t="s">
        <v>46</v>
      </c>
      <c r="E45" s="3" t="s">
        <v>96</v>
      </c>
      <c r="F45" s="3" t="s">
        <v>97</v>
      </c>
      <c r="G45" s="3" t="s">
        <v>233</v>
      </c>
      <c r="H45" s="3" t="str">
        <f>HYPERLINK("http://www.jccm.es/sede/tramite/KXY","ADHESION RED DE HOSPEDERIAS DE CASTILLA- LA MANCHA.")</f>
        <v>ADHESION RED DE HOSPEDERIAS DE CASTILLA- LA MANCHA.</v>
      </c>
      <c r="I45" s="3" t="s">
        <v>41</v>
      </c>
      <c r="J45" s="3" t="s">
        <v>41</v>
      </c>
      <c r="K45" s="3" t="s">
        <v>42</v>
      </c>
      <c r="L45" s="3" t="s">
        <v>41</v>
      </c>
    </row>
    <row r="46" spans="1:12" ht="129" customHeight="1">
      <c r="A46" s="3" t="s">
        <v>234</v>
      </c>
      <c r="B46" s="3" t="s">
        <v>235</v>
      </c>
      <c r="C46" s="3" t="s">
        <v>232</v>
      </c>
      <c r="D46" s="3" t="s">
        <v>46</v>
      </c>
      <c r="E46" s="3" t="s">
        <v>96</v>
      </c>
      <c r="F46" s="3" t="s">
        <v>97</v>
      </c>
      <c r="G46" s="3" t="s">
        <v>236</v>
      </c>
      <c r="H46" s="3" t="str">
        <f>HYPERLINK("http://www.jccm.es/sede/tramite/KXZ","COMUNICACION DE BAJA VOLUNTARIA, CAMBIO DE TITULARIDAD Y CAMBIO DE DENOMINACION DE HOTEL ADHERIDO A LA RED DE HOSPEDERIAS DE CASTILLA-LA MANCHACOMUNICACION DE BAJA VOLUNTARIA, CAMBIO DE TITULARIDAD Y")</f>
        <v>COMUNICACION DE BAJA VOLUNTARIA, CAMBIO DE TITULARIDAD Y CAMBIO DE DENOMINACION DE HOTEL ADHERIDO A LA RED DE HOSPEDERIAS DE CASTILLA-LA MANCHACOMUNICACION DE BAJA VOLUNTARIA, CAMBIO DE TITULARIDAD Y</v>
      </c>
      <c r="I46" s="3" t="s">
        <v>41</v>
      </c>
      <c r="J46" s="3" t="s">
        <v>41</v>
      </c>
      <c r="K46" s="3" t="s">
        <v>42</v>
      </c>
      <c r="L46" s="3" t="s">
        <v>41</v>
      </c>
    </row>
    <row r="47" spans="1:12" ht="129" customHeight="1">
      <c r="A47" s="3" t="s">
        <v>237</v>
      </c>
      <c r="B47" s="3" t="s">
        <v>238</v>
      </c>
      <c r="C47" s="3" t="s">
        <v>232</v>
      </c>
      <c r="D47" s="3" t="s">
        <v>46</v>
      </c>
      <c r="E47" s="3" t="s">
        <v>96</v>
      </c>
      <c r="F47" s="3" t="s">
        <v>97</v>
      </c>
      <c r="G47" s="3" t="s">
        <v>239</v>
      </c>
      <c r="H47" s="3" t="str">
        <f>HYPERLINK("http://www.jccm.es/sede/tramite/KY0","DECLARACION RESPONSABLE RELATIVA A LA MODIFICACION DE LA CAPACIDAD Y MODIFICACION DE LA CATEGORIA DEL HOTEL ADHERIDO A LA RED DE HOSPEDERIAS DE CASTILLA-LA MANCHA")</f>
        <v>DECLARACION RESPONSABLE RELATIVA A LA MODIFICACION DE LA CAPACIDAD Y MODIFICACION DE LA CATEGORIA DEL HOTEL ADHERIDO A LA RED DE HOSPEDERIAS DE CASTILLA-LA MANCHA</v>
      </c>
      <c r="I47" s="3" t="s">
        <v>41</v>
      </c>
      <c r="J47" s="3" t="s">
        <v>41</v>
      </c>
      <c r="K47" s="3" t="s">
        <v>42</v>
      </c>
      <c r="L47" s="3" t="s">
        <v>41</v>
      </c>
    </row>
    <row r="48" spans="1:12" ht="129" customHeight="1">
      <c r="A48" s="3" t="s">
        <v>240</v>
      </c>
      <c r="B48" s="3" t="s">
        <v>241</v>
      </c>
      <c r="C48" s="3" t="s">
        <v>95</v>
      </c>
      <c r="D48" s="3" t="s">
        <v>95</v>
      </c>
      <c r="E48" s="3" t="s">
        <v>96</v>
      </c>
      <c r="F48" s="3" t="s">
        <v>97</v>
      </c>
      <c r="G48" s="3" t="s">
        <v>242</v>
      </c>
      <c r="H48" s="3" t="str">
        <f>HYPERLINK("http://www.jccm.es/sede/tramite/KY2","COMUNICACION RELATIVA AL CESE DE ACTIVIDAD, CAMBIO DE TITULARIDAD Y CAMBIO  DE DENOMINACION COMO AREAS DE PERNOCTA PARA AUTOCARAVANAS Y BAJA EN EL REGISTRO GENERAL")</f>
        <v>COMUNICACION RELATIVA AL CESE DE ACTIVIDAD, CAMBIO DE TITULARIDAD Y CAMBIO  DE DENOMINACION COMO AREAS DE PERNOCTA PARA AUTOCARAVANAS Y BAJA EN EL REGISTRO GENERAL</v>
      </c>
      <c r="I48" s="3" t="s">
        <v>41</v>
      </c>
      <c r="J48" s="3" t="s">
        <v>41</v>
      </c>
      <c r="K48" s="3" t="s">
        <v>42</v>
      </c>
      <c r="L48" s="3" t="s">
        <v>41</v>
      </c>
    </row>
    <row r="49" spans="1:12" ht="129" customHeight="1">
      <c r="A49" s="3" t="s">
        <v>243</v>
      </c>
      <c r="B49" s="3" t="s">
        <v>244</v>
      </c>
      <c r="C49" s="3" t="s">
        <v>95</v>
      </c>
      <c r="D49" s="3" t="s">
        <v>95</v>
      </c>
      <c r="E49" s="3" t="s">
        <v>96</v>
      </c>
      <c r="F49" s="3" t="s">
        <v>97</v>
      </c>
      <c r="G49" s="3" t="s">
        <v>245</v>
      </c>
      <c r="H49" s="3" t="str">
        <f>HYPERLINK("http://www.jccm.es/sede/tramite/KY6","DECLARACION RESPONSABLE RELATIVA AL INICIO DE ACTIVIDAD COMO AREAS DE PERNOCTA PARA AUTOCARAVANAS DE CASTILLA-LA MANCHA  E INSCRIPCION EN EL REGISTRO GENERAL.")</f>
        <v>DECLARACION RESPONSABLE RELATIVA AL INICIO DE ACTIVIDAD COMO AREAS DE PERNOCTA PARA AUTOCARAVANAS DE CASTILLA-LA MANCHA  E INSCRIPCION EN EL REGISTRO GENERAL.</v>
      </c>
      <c r="I49" s="3" t="s">
        <v>41</v>
      </c>
      <c r="J49" s="3" t="s">
        <v>41</v>
      </c>
      <c r="K49" s="3" t="s">
        <v>42</v>
      </c>
      <c r="L49" s="3" t="s">
        <v>41</v>
      </c>
    </row>
    <row r="50" spans="1:12" ht="129" customHeight="1">
      <c r="A50" s="3" t="s">
        <v>246</v>
      </c>
      <c r="B50" s="3" t="s">
        <v>247</v>
      </c>
      <c r="C50" s="3" t="s">
        <v>95</v>
      </c>
      <c r="D50" s="3" t="s">
        <v>95</v>
      </c>
      <c r="E50" s="3" t="s">
        <v>96</v>
      </c>
      <c r="F50" s="3" t="s">
        <v>97</v>
      </c>
      <c r="G50" s="3" t="s">
        <v>248</v>
      </c>
      <c r="H50" s="3" t="str">
        <f>HYPERLINK("http://www.jccm.es/sede/tramite/KY1","DECLARACION RESPONSABLE RELATIVA A LA MODIFICACION DE CAPACIDAD COMO AREA DE PERNOCTA PARA AUTOCARAVANAS EN EL REGISTRO GENERAL.")</f>
        <v>DECLARACION RESPONSABLE RELATIVA A LA MODIFICACION DE CAPACIDAD COMO AREA DE PERNOCTA PARA AUTOCARAVANAS EN EL REGISTRO GENERAL.</v>
      </c>
      <c r="I50" s="3" t="s">
        <v>41</v>
      </c>
      <c r="J50" s="3" t="s">
        <v>41</v>
      </c>
      <c r="K50" s="3" t="s">
        <v>42</v>
      </c>
      <c r="L50" s="3" t="s">
        <v>41</v>
      </c>
    </row>
    <row r="51" spans="1:12" ht="129" customHeight="1">
      <c r="A51" s="3" t="s">
        <v>249</v>
      </c>
      <c r="B51" s="3" t="s">
        <v>250</v>
      </c>
      <c r="C51" s="3" t="s">
        <v>95</v>
      </c>
      <c r="D51" s="3" t="s">
        <v>95</v>
      </c>
      <c r="E51" s="3" t="s">
        <v>96</v>
      </c>
      <c r="F51" s="3" t="s">
        <v>97</v>
      </c>
      <c r="G51" s="3" t="s">
        <v>251</v>
      </c>
      <c r="H51" s="3" t="str">
        <f>HYPERLINK("http://www.jccm.es/sede/tramite/KY3","COMUNICACION RELATIVA AL CESE DE ACTIVIDAD, CAMBIO DE TITULARIDAD Y CAMBIO  DE DENOMINACION COMO CAMPING Y BAJA EN EL REGISTRO GENERAL")</f>
        <v>COMUNICACION RELATIVA AL CESE DE ACTIVIDAD, CAMBIO DE TITULARIDAD Y CAMBIO  DE DENOMINACION COMO CAMPING Y BAJA EN EL REGISTRO GENERAL</v>
      </c>
      <c r="I51" s="3" t="s">
        <v>41</v>
      </c>
      <c r="J51" s="3" t="s">
        <v>41</v>
      </c>
      <c r="K51" s="3" t="s">
        <v>42</v>
      </c>
      <c r="L51" s="3" t="s">
        <v>41</v>
      </c>
    </row>
    <row r="52" spans="1:12" ht="129" customHeight="1">
      <c r="A52" s="3" t="s">
        <v>252</v>
      </c>
      <c r="B52" s="3" t="s">
        <v>253</v>
      </c>
      <c r="C52" s="3" t="s">
        <v>95</v>
      </c>
      <c r="D52" s="3" t="s">
        <v>95</v>
      </c>
      <c r="E52" s="3" t="s">
        <v>96</v>
      </c>
      <c r="F52" s="3" t="s">
        <v>97</v>
      </c>
      <c r="G52" s="3" t="s">
        <v>254</v>
      </c>
      <c r="H52" s="3" t="str">
        <f>HYPERLINK("http://www.jccm.es/sede/tramite/KY4","DECLARACION RESPONSABLE RELATIVA AL INICIO DE ACTIVIDAD COMO CAMPING DE CASTILLA-LA MANCHA E INSCRIPCION EN EL REGISTRO GENERAL.")</f>
        <v>DECLARACION RESPONSABLE RELATIVA AL INICIO DE ACTIVIDAD COMO CAMPING DE CASTILLA-LA MANCHA E INSCRIPCION EN EL REGISTRO GENERAL.</v>
      </c>
      <c r="I52" s="3" t="s">
        <v>41</v>
      </c>
      <c r="J52" s="3" t="s">
        <v>41</v>
      </c>
      <c r="K52" s="3" t="s">
        <v>42</v>
      </c>
      <c r="L52" s="3" t="s">
        <v>41</v>
      </c>
    </row>
    <row r="53" spans="1:12" ht="129" customHeight="1">
      <c r="A53" s="3" t="s">
        <v>255</v>
      </c>
      <c r="B53" s="3" t="s">
        <v>256</v>
      </c>
      <c r="C53" s="3" t="s">
        <v>95</v>
      </c>
      <c r="D53" s="3" t="s">
        <v>95</v>
      </c>
      <c r="E53" s="3" t="s">
        <v>96</v>
      </c>
      <c r="F53" s="3" t="s">
        <v>97</v>
      </c>
      <c r="G53" s="3" t="s">
        <v>257</v>
      </c>
      <c r="H53" s="3" t="str">
        <f>HYPERLINK("http://www.jccm.es/sede/tramite/KY5","DECLARACION RESPONSABLE RELATIVA A LA MODIFICACION DE CAPACIDAD COMO CAMPING EN EL REGISTRO GENERAL.")</f>
        <v>DECLARACION RESPONSABLE RELATIVA A LA MODIFICACION DE CAPACIDAD COMO CAMPING EN EL REGISTRO GENERAL.</v>
      </c>
      <c r="I53" s="3" t="s">
        <v>41</v>
      </c>
      <c r="J53" s="3" t="s">
        <v>41</v>
      </c>
      <c r="K53" s="3" t="s">
        <v>42</v>
      </c>
      <c r="L53" s="3" t="s">
        <v>41</v>
      </c>
    </row>
    <row r="54" spans="1:12" ht="129" customHeight="1">
      <c r="A54" s="3" t="s">
        <v>258</v>
      </c>
      <c r="B54" s="3" t="s">
        <v>259</v>
      </c>
      <c r="C54" s="3" t="s">
        <v>95</v>
      </c>
      <c r="D54" s="3" t="s">
        <v>95</v>
      </c>
      <c r="E54" s="3" t="s">
        <v>96</v>
      </c>
      <c r="F54" s="3" t="s">
        <v>97</v>
      </c>
      <c r="G54" s="3" t="s">
        <v>260</v>
      </c>
      <c r="H54" s="3" t="str">
        <f>HYPERLINK("http://www.jccm.es/sede/tramite/L3V","RENOVACION, DUPLICADO O MODIFICACION DE DATOS DEL CARNE DE INFORMADOR TURISTICO DE AMBITO LOCAL DE CASTILLA-LA MANCHA")</f>
        <v>RENOVACION, DUPLICADO O MODIFICACION DE DATOS DEL CARNE DE INFORMADOR TURISTICO DE AMBITO LOCAL DE CASTILLA-LA MANCHA</v>
      </c>
      <c r="I54" s="3" t="s">
        <v>42</v>
      </c>
      <c r="J54" s="3" t="s">
        <v>41</v>
      </c>
      <c r="K54" s="3" t="s">
        <v>42</v>
      </c>
      <c r="L54" s="3" t="s">
        <v>41</v>
      </c>
    </row>
    <row r="55" spans="1:12" ht="129" customHeight="1">
      <c r="A55" s="3" t="s">
        <v>261</v>
      </c>
      <c r="B55" s="3" t="s">
        <v>262</v>
      </c>
      <c r="C55" s="3" t="s">
        <v>95</v>
      </c>
      <c r="D55" s="3" t="s">
        <v>95</v>
      </c>
      <c r="E55" s="3" t="s">
        <v>96</v>
      </c>
      <c r="F55" s="3" t="s">
        <v>97</v>
      </c>
      <c r="G55" s="3" t="s">
        <v>263</v>
      </c>
      <c r="H55" s="3" t="str">
        <f>HYPERLINK("http://www.jccm.es/sede/tramite/L0M","EXPEDICION,RENOVACION, DUPLICADO O MODIFICACION DE DATOS DEL CARNE DE GUIA DE TURISMO DE CASTILLA-LA MANCHA")</f>
        <v>EXPEDICION,RENOVACION, DUPLICADO O MODIFICACION DE DATOS DEL CARNE DE GUIA DE TURISMO DE CASTILLA-LA MANCHA</v>
      </c>
      <c r="I55" s="3" t="s">
        <v>42</v>
      </c>
      <c r="J55" s="3" t="s">
        <v>41</v>
      </c>
      <c r="K55" s="3" t="s">
        <v>42</v>
      </c>
      <c r="L55" s="3" t="s">
        <v>41</v>
      </c>
    </row>
    <row r="56" spans="1:12" ht="129" customHeight="1">
      <c r="A56" s="3" t="s">
        <v>264</v>
      </c>
      <c r="B56" s="3" t="s">
        <v>265</v>
      </c>
      <c r="C56" s="3" t="s">
        <v>95</v>
      </c>
      <c r="D56" s="3" t="s">
        <v>95</v>
      </c>
      <c r="E56" s="3" t="s">
        <v>96</v>
      </c>
      <c r="F56" s="3" t="s">
        <v>97</v>
      </c>
      <c r="G56" s="3" t="s">
        <v>266</v>
      </c>
      <c r="H56" s="3" t="str">
        <f>HYPERLINK("http://www.jccm.es/sede/tramite/L0I","RECONOCIMIENTO CUALIFICACION PROFESIONAL COMO GUIA DE TURISMO DE CASTILLA-LA MANCHA POR PROFESIONALES DE LA UNION EUROPEA. ESTABLECIMIENTO")</f>
        <v>RECONOCIMIENTO CUALIFICACION PROFESIONAL COMO GUIA DE TURISMO DE CASTILLA-LA MANCHA POR PROFESIONALES DE LA UNION EUROPEA. ESTABLECIMIENTO</v>
      </c>
      <c r="I56" s="3" t="s">
        <v>42</v>
      </c>
      <c r="J56" s="3" t="s">
        <v>41</v>
      </c>
      <c r="K56" s="3" t="s">
        <v>42</v>
      </c>
      <c r="L56" s="3" t="s">
        <v>41</v>
      </c>
    </row>
    <row r="57" spans="1:12" ht="129" customHeight="1">
      <c r="A57" s="3" t="s">
        <v>267</v>
      </c>
      <c r="B57" s="3" t="s">
        <v>268</v>
      </c>
      <c r="C57" s="3" t="s">
        <v>95</v>
      </c>
      <c r="D57" s="3" t="s">
        <v>95</v>
      </c>
      <c r="E57" s="3" t="s">
        <v>96</v>
      </c>
      <c r="F57" s="3" t="s">
        <v>97</v>
      </c>
      <c r="G57" s="3" t="s">
        <v>269</v>
      </c>
      <c r="H57" s="3" t="str">
        <f>HYPERLINK("http://www.jccm.es/sede/tramite/L0L","DECLARACION EJERCICIO DE LA ACTIVIDAD DE GUIA DE TURISMO EN CASTILLA-LA MANCHA POR PROFESIONALES DE LA UNION EUROPEA")</f>
        <v>DECLARACION EJERCICIO DE LA ACTIVIDAD DE GUIA DE TURISMO EN CASTILLA-LA MANCHA POR PROFESIONALES DE LA UNION EUROPEA</v>
      </c>
      <c r="I57" s="3" t="s">
        <v>42</v>
      </c>
      <c r="J57" s="3" t="s">
        <v>41</v>
      </c>
      <c r="K57" s="3" t="s">
        <v>42</v>
      </c>
      <c r="L57" s="3" t="s">
        <v>41</v>
      </c>
    </row>
    <row r="58" spans="1:12" ht="129" customHeight="1">
      <c r="A58" s="3" t="s">
        <v>270</v>
      </c>
      <c r="B58" s="3" t="s">
        <v>271</v>
      </c>
      <c r="C58" s="3" t="s">
        <v>95</v>
      </c>
      <c r="D58" s="3" t="s">
        <v>95</v>
      </c>
      <c r="E58" s="3" t="s">
        <v>96</v>
      </c>
      <c r="F58" s="3" t="s">
        <v>97</v>
      </c>
      <c r="G58" s="3" t="s">
        <v>272</v>
      </c>
      <c r="H58" s="3" t="str">
        <f>HYPERLINK("http://www.jccm.es/sede/tramite/L3U","SOLICITUD DE HABILITACION DE INFORMADOR TURISTICO DE AMBITO LOCAL DE CASTILLA-LA MANCHA")</f>
        <v>SOLICITUD DE HABILITACION DE INFORMADOR TURISTICO DE AMBITO LOCAL DE CASTILLA-LA MANCHA</v>
      </c>
      <c r="I58" s="3" t="s">
        <v>42</v>
      </c>
      <c r="J58" s="3" t="s">
        <v>41</v>
      </c>
      <c r="K58" s="3" t="s">
        <v>42</v>
      </c>
      <c r="L58" s="3" t="s">
        <v>41</v>
      </c>
    </row>
    <row r="59" spans="1:12" ht="129" customHeight="1">
      <c r="A59" s="3" t="s">
        <v>273</v>
      </c>
      <c r="B59" s="3" t="s">
        <v>274</v>
      </c>
      <c r="C59" s="3" t="s">
        <v>95</v>
      </c>
      <c r="D59" s="3" t="s">
        <v>95</v>
      </c>
      <c r="E59" s="3" t="s">
        <v>96</v>
      </c>
      <c r="F59" s="3" t="s">
        <v>97</v>
      </c>
      <c r="G59" s="3" t="s">
        <v>275</v>
      </c>
      <c r="H59" s="3" t="str">
        <f>HYPERLINK("http://www.jccm.es/sede/tramite/L0G","DECLARACION RESPONSABLE RELATIVA AL INICIO DE ACTIVIDAD COMO EMPRESA DE INFORMACION TURISTICA DE CASTILLA-LA MANCHA E INSCRIPCION EN EL REGISTRO GENERAL")</f>
        <v>DECLARACION RESPONSABLE RELATIVA AL INICIO DE ACTIVIDAD COMO EMPRESA DE INFORMACION TURISTICA DE CASTILLA-LA MANCHA E INSCRIPCION EN EL REGISTRO GENERAL</v>
      </c>
      <c r="I59" s="3" t="s">
        <v>41</v>
      </c>
      <c r="J59" s="3" t="s">
        <v>41</v>
      </c>
      <c r="K59" s="3" t="s">
        <v>42</v>
      </c>
      <c r="L59" s="3" t="s">
        <v>41</v>
      </c>
    </row>
    <row r="60" spans="1:12" ht="129" customHeight="1">
      <c r="A60" s="3" t="s">
        <v>276</v>
      </c>
      <c r="B60" s="3" t="s">
        <v>277</v>
      </c>
      <c r="C60" s="3" t="s">
        <v>95</v>
      </c>
      <c r="D60" s="3" t="s">
        <v>95</v>
      </c>
      <c r="E60" s="3" t="s">
        <v>96</v>
      </c>
      <c r="F60" s="3" t="s">
        <v>97</v>
      </c>
      <c r="G60" s="3" t="s">
        <v>278</v>
      </c>
      <c r="H60" s="3" t="str">
        <f>HYPERLINK("http://www.jccm.es/sede/tramite/L0H","COMUNICACION DE CESE DE ACTIVIDAD, CAMBIO DE TITULARIDAD Y CAMBIO DE DENOMINACION DE EMPRESA DE INFORMACION TURISTICA .")</f>
        <v>COMUNICACION DE CESE DE ACTIVIDAD, CAMBIO DE TITULARIDAD Y CAMBIO DE DENOMINACION DE EMPRESA DE INFORMACION TURISTICA .</v>
      </c>
      <c r="I60" s="3" t="s">
        <v>41</v>
      </c>
      <c r="J60" s="3" t="s">
        <v>41</v>
      </c>
      <c r="K60" s="3" t="s">
        <v>42</v>
      </c>
      <c r="L60" s="3" t="s">
        <v>41</v>
      </c>
    </row>
    <row r="61" spans="1:12" ht="129" customHeight="1">
      <c r="A61" s="3" t="s">
        <v>279</v>
      </c>
      <c r="B61" s="3" t="s">
        <v>280</v>
      </c>
      <c r="C61" s="3" t="s">
        <v>281</v>
      </c>
      <c r="D61" s="3" t="s">
        <v>37</v>
      </c>
      <c r="E61" s="3" t="s">
        <v>96</v>
      </c>
      <c r="F61" s="3" t="s">
        <v>113</v>
      </c>
      <c r="G61" s="3" t="s">
        <v>282</v>
      </c>
      <c r="H61" s="3" t="str">
        <f>HYPERLINK("http://www.jccm.es/sede/tramite/LCR","COMUNICACION PREVIA DEL INICIO DE TRABAJOS.")</f>
        <v>COMUNICACION PREVIA DEL INICIO DE TRABAJOS.</v>
      </c>
      <c r="I61" s="3" t="s">
        <v>41</v>
      </c>
      <c r="J61" s="3" t="s">
        <v>41</v>
      </c>
      <c r="K61" s="3" t="s">
        <v>42</v>
      </c>
      <c r="L61" s="3" t="s">
        <v>41</v>
      </c>
    </row>
    <row r="62" spans="1:12" ht="129" customHeight="1">
      <c r="A62" s="3" t="s">
        <v>283</v>
      </c>
      <c r="B62" s="3" t="s">
        <v>284</v>
      </c>
      <c r="C62" s="3" t="s">
        <v>281</v>
      </c>
      <c r="D62" s="3" t="s">
        <v>37</v>
      </c>
      <c r="E62" s="3" t="s">
        <v>96</v>
      </c>
      <c r="F62" s="3" t="s">
        <v>113</v>
      </c>
      <c r="G62" s="3" t="s">
        <v>285</v>
      </c>
      <c r="H62" s="3" t="str">
        <f>HYPERLINK("http://www.jccm.es/sede/tramite/LCS","REGISTRO DE DATOS DE EVALUACION DE LA EXPOSICION EN LOS TRABAJOS CON AMIANTO.")</f>
        <v>REGISTRO DE DATOS DE EVALUACION DE LA EXPOSICION EN LOS TRABAJOS CON AMIANTO.</v>
      </c>
      <c r="I62" s="3" t="s">
        <v>41</v>
      </c>
      <c r="J62" s="3" t="s">
        <v>41</v>
      </c>
      <c r="K62" s="3" t="s">
        <v>42</v>
      </c>
      <c r="L62" s="3" t="s">
        <v>41</v>
      </c>
    </row>
    <row r="63" spans="1:12" ht="129" customHeight="1">
      <c r="A63" s="3" t="s">
        <v>286</v>
      </c>
      <c r="B63" s="3" t="s">
        <v>287</v>
      </c>
      <c r="C63" s="3" t="s">
        <v>281</v>
      </c>
      <c r="D63" s="3" t="s">
        <v>37</v>
      </c>
      <c r="E63" s="3" t="s">
        <v>96</v>
      </c>
      <c r="F63" s="3" t="s">
        <v>113</v>
      </c>
      <c r="G63" s="3" t="s">
        <v>288</v>
      </c>
      <c r="H63" s="3" t="str">
        <f>HYPERLINK("http://www.jccm.es/sede/tramite/LCQ","APROBACION DE PLAN DE TRABAJO CON RIESGO DE AMIANTO.")</f>
        <v>APROBACION DE PLAN DE TRABAJO CON RIESGO DE AMIANTO.</v>
      </c>
      <c r="I63" s="3" t="s">
        <v>41</v>
      </c>
      <c r="J63" s="3" t="s">
        <v>41</v>
      </c>
      <c r="K63" s="3" t="s">
        <v>42</v>
      </c>
      <c r="L63" s="3" t="s">
        <v>41</v>
      </c>
    </row>
    <row r="64" spans="1:12" ht="129" customHeight="1">
      <c r="A64" s="3" t="s">
        <v>289</v>
      </c>
      <c r="B64" s="3" t="s">
        <v>290</v>
      </c>
      <c r="C64" s="3" t="s">
        <v>95</v>
      </c>
      <c r="D64" s="3" t="s">
        <v>95</v>
      </c>
      <c r="E64" s="3" t="s">
        <v>96</v>
      </c>
      <c r="F64" s="3" t="s">
        <v>96</v>
      </c>
      <c r="G64" s="3" t="s">
        <v>291</v>
      </c>
      <c r="H64" s="3" t="str">
        <f>HYPERLINK("http://www.jccm.es/sede/tramite/LPH","EXPEDIENTES DE REGULACION TEMPORAL DE EMPLEO. PRORROGA DE ERTE.")</f>
        <v>EXPEDIENTES DE REGULACION TEMPORAL DE EMPLEO. PRORROGA DE ERTE.</v>
      </c>
      <c r="I64" s="3" t="s">
        <v>41</v>
      </c>
      <c r="J64" s="3" t="s">
        <v>41</v>
      </c>
      <c r="K64" s="3" t="s">
        <v>42</v>
      </c>
      <c r="L64" s="3" t="s">
        <v>41</v>
      </c>
    </row>
    <row r="65" spans="1:12" ht="129" customHeight="1">
      <c r="A65" s="3" t="s">
        <v>292</v>
      </c>
      <c r="B65" s="3" t="s">
        <v>293</v>
      </c>
      <c r="C65" s="3" t="s">
        <v>95</v>
      </c>
      <c r="D65" s="3" t="s">
        <v>95</v>
      </c>
      <c r="E65" s="3" t="s">
        <v>96</v>
      </c>
      <c r="F65" s="3" t="s">
        <v>120</v>
      </c>
      <c r="G65" s="3" t="s">
        <v>294</v>
      </c>
      <c r="H65" s="3" t="str">
        <f>HYPERLINK("http://www.jccm.es/sede/tramite/LT0","ERTE POR MECANISMO RED")</f>
        <v>ERTE POR MECANISMO RED</v>
      </c>
      <c r="I65" s="3" t="s">
        <v>41</v>
      </c>
      <c r="J65" s="3" t="s">
        <v>41</v>
      </c>
      <c r="K65" s="3" t="s">
        <v>42</v>
      </c>
      <c r="L65" s="3" t="s">
        <v>41</v>
      </c>
    </row>
    <row r="66" spans="1:12" ht="129" customHeight="1">
      <c r="A66" s="3" t="s">
        <v>295</v>
      </c>
      <c r="B66" s="3" t="s">
        <v>296</v>
      </c>
      <c r="C66" s="3" t="s">
        <v>95</v>
      </c>
      <c r="D66" s="3" t="s">
        <v>95</v>
      </c>
      <c r="E66" s="3" t="s">
        <v>96</v>
      </c>
      <c r="F66" s="3" t="s">
        <v>120</v>
      </c>
      <c r="G66" s="3" t="s">
        <v>297</v>
      </c>
      <c r="H66" s="3" t="str">
        <f>HYPERLINK("http://www.jccm.es/sede/tramite/LCV","ERTE POR FUERZA MAYOR TEMPORAL, IMPEDIMENTO Y LIMITACION.")</f>
        <v>ERTE POR FUERZA MAYOR TEMPORAL, IMPEDIMENTO Y LIMITACION.</v>
      </c>
      <c r="I66" s="3" t="s">
        <v>41</v>
      </c>
      <c r="J66" s="3" t="s">
        <v>41</v>
      </c>
      <c r="K66" s="3" t="s">
        <v>42</v>
      </c>
      <c r="L66" s="3" t="s">
        <v>41</v>
      </c>
    </row>
    <row r="67" spans="1:12" ht="129" customHeight="1">
      <c r="A67" s="3" t="s">
        <v>298</v>
      </c>
      <c r="B67" s="3" t="s">
        <v>299</v>
      </c>
      <c r="C67" s="3" t="s">
        <v>95</v>
      </c>
      <c r="D67" s="3" t="s">
        <v>95</v>
      </c>
      <c r="E67" s="3" t="s">
        <v>96</v>
      </c>
      <c r="F67" s="3" t="s">
        <v>120</v>
      </c>
      <c r="G67" s="3" t="s">
        <v>300</v>
      </c>
      <c r="H67" s="3" t="str">
        <f>HYPERLINK("http://www.jccm.es/sede/tramite/LDB","ERTE POR CAUSAS ECONOMICAS, TECNICAS, ORGANIZATIVAS O DE PRODUCCION.")</f>
        <v>ERTE POR CAUSAS ECONOMICAS, TECNICAS, ORGANIZATIVAS O DE PRODUCCION.</v>
      </c>
      <c r="I67" s="3" t="s">
        <v>41</v>
      </c>
      <c r="J67" s="3" t="s">
        <v>41</v>
      </c>
      <c r="K67" s="3" t="s">
        <v>42</v>
      </c>
      <c r="L67" s="3" t="s">
        <v>41</v>
      </c>
    </row>
    <row r="68" spans="1:12" ht="129" customHeight="1">
      <c r="A68" s="3" t="s">
        <v>301</v>
      </c>
      <c r="B68" s="3" t="s">
        <v>302</v>
      </c>
      <c r="C68" s="3" t="s">
        <v>95</v>
      </c>
      <c r="D68" s="3" t="s">
        <v>95</v>
      </c>
      <c r="E68" s="3" t="s">
        <v>96</v>
      </c>
      <c r="F68" s="3" t="s">
        <v>97</v>
      </c>
      <c r="G68" s="3" t="s">
        <v>303</v>
      </c>
      <c r="H68" s="3" t="str">
        <f>HYPERLINK("http://www.jccm.es/sede/tramite/LJE","EMPRESA DE INTERMEDIACION TURISTICA DE CASTILLA-LA MANCHA INICIO DE ACTIVIDAD SEDE PRINCIPAL")</f>
        <v>EMPRESA DE INTERMEDIACION TURISTICA DE CASTILLA-LA MANCHA INICIO DE ACTIVIDAD SEDE PRINCIPAL</v>
      </c>
      <c r="I68" s="3" t="s">
        <v>41</v>
      </c>
      <c r="J68" s="3" t="s">
        <v>41</v>
      </c>
      <c r="K68" s="3" t="s">
        <v>42</v>
      </c>
      <c r="L68" s="3" t="s">
        <v>41</v>
      </c>
    </row>
    <row r="69" spans="1:12" ht="129" customHeight="1">
      <c r="A69" s="3" t="s">
        <v>304</v>
      </c>
      <c r="B69" s="3" t="s">
        <v>305</v>
      </c>
      <c r="C69" s="3" t="s">
        <v>95</v>
      </c>
      <c r="D69" s="3" t="s">
        <v>95</v>
      </c>
      <c r="E69" s="3" t="s">
        <v>96</v>
      </c>
      <c r="F69" s="3" t="s">
        <v>97</v>
      </c>
      <c r="G69" s="3" t="s">
        <v>306</v>
      </c>
      <c r="H69" s="3" t="str">
        <f>HYPERLINK("http://www.jccm.es/sede/tramite/LJG","EMPRESA DE INTERMEDIACION TURISTICA DE C-LM.  COMUNICACION DE CAMBIO DE DENOMINACION, DE CLASIFICACION DE AGENCIAS DE VIAJE, ASI COMO DE CESE DE ACTIVIDAD")</f>
        <v>EMPRESA DE INTERMEDIACION TURISTICA DE C-LM.  COMUNICACION DE CAMBIO DE DENOMINACION, DE CLASIFICACION DE AGENCIAS DE VIAJE, ASI COMO DE CESE DE ACTIVIDAD</v>
      </c>
      <c r="I69" s="3" t="s">
        <v>41</v>
      </c>
      <c r="J69" s="3" t="s">
        <v>41</v>
      </c>
      <c r="K69" s="3" t="s">
        <v>42</v>
      </c>
      <c r="L69" s="3" t="s">
        <v>41</v>
      </c>
    </row>
    <row r="70" spans="1:12" ht="129" customHeight="1">
      <c r="A70" s="3" t="s">
        <v>307</v>
      </c>
      <c r="B70" s="3" t="s">
        <v>308</v>
      </c>
      <c r="C70" s="3" t="s">
        <v>95</v>
      </c>
      <c r="D70" s="3" t="s">
        <v>95</v>
      </c>
      <c r="E70" s="3" t="s">
        <v>96</v>
      </c>
      <c r="F70" s="3" t="s">
        <v>97</v>
      </c>
      <c r="G70" s="3" t="s">
        <v>309</v>
      </c>
      <c r="H70" s="3" t="str">
        <f>HYPERLINK("http://www.jccm.es/sede/tramite/LJF","EMPRESAS INTERMEDIACION TURISTICA DE C-LM. DECLARACION RESPONSABLE APERTURA DE NUEVAS SUCURSALES, ASI COMO EL CIERRE DE LAS YA EXISTENTES (SOLO PARA ESTABLECIMIENTOS FISICOS)")</f>
        <v>EMPRESAS INTERMEDIACION TURISTICA DE C-LM. DECLARACION RESPONSABLE APERTURA DE NUEVAS SUCURSALES, ASI COMO EL CIERRE DE LAS YA EXISTENTES (SOLO PARA ESTABLECIMIENTOS FISICOS)</v>
      </c>
      <c r="I70" s="3" t="s">
        <v>41</v>
      </c>
      <c r="J70" s="3" t="s">
        <v>41</v>
      </c>
      <c r="K70" s="3" t="s">
        <v>42</v>
      </c>
      <c r="L70" s="3" t="s">
        <v>41</v>
      </c>
    </row>
    <row r="71" spans="1:12" ht="129" customHeight="1">
      <c r="A71" s="3" t="s">
        <v>310</v>
      </c>
      <c r="B71" s="3" t="s">
        <v>311</v>
      </c>
      <c r="C71" s="3" t="s">
        <v>312</v>
      </c>
      <c r="D71" s="3" t="s">
        <v>37</v>
      </c>
      <c r="E71" s="3" t="s">
        <v>96</v>
      </c>
      <c r="F71" s="3" t="s">
        <v>120</v>
      </c>
      <c r="G71" s="3" t="s">
        <v>313</v>
      </c>
      <c r="H71" s="3" t="str">
        <f>HYPERLINK("http://www.jccm.es/sede/tramite/IJH","OBTENCION DE CERTIFICACION DE DENOMINACION NO COINCIDENTE Y DE SUS PRORROGAS PARA UNA SOCIEDAD COOPERATIVA EN EL REGISTRO DE COOPERATIVAS DE CASTILLA-LA MANCHA.")</f>
        <v>OBTENCION DE CERTIFICACION DE DENOMINACION NO COINCIDENTE Y DE SUS PRORROGAS PARA UNA SOCIEDAD COOPERATIVA EN EL REGISTRO DE COOPERATIVAS DE CASTILLA-LA MANCHA.</v>
      </c>
      <c r="I71" s="3" t="s">
        <v>41</v>
      </c>
      <c r="J71" s="3" t="s">
        <v>41</v>
      </c>
      <c r="K71" s="3" t="s">
        <v>42</v>
      </c>
      <c r="L71" s="3" t="s">
        <v>42</v>
      </c>
    </row>
    <row r="72" spans="1:12" ht="129" customHeight="1">
      <c r="A72" s="3" t="s">
        <v>314</v>
      </c>
      <c r="B72" s="3" t="s">
        <v>315</v>
      </c>
      <c r="C72" s="3" t="s">
        <v>316</v>
      </c>
      <c r="D72" s="3" t="s">
        <v>37</v>
      </c>
      <c r="E72" s="3" t="s">
        <v>96</v>
      </c>
      <c r="F72" s="3" t="s">
        <v>120</v>
      </c>
      <c r="G72" s="3" t="s">
        <v>317</v>
      </c>
      <c r="H72" s="3" t="str">
        <f>HYPERLINK("http://www.jccm.es/sede/tramite/I90","REGISTRO, DEPOSITO Y PUBLICACION DE CONVENIOS COLECTIVOS,  ACUERDOS COLECTIVOS DE TRABAJO Y PLANES DE IGUALDAD")</f>
        <v>REGISTRO, DEPOSITO Y PUBLICACION DE CONVENIOS COLECTIVOS,  ACUERDOS COLECTIVOS DE TRABAJO Y PLANES DE IGUALDAD</v>
      </c>
      <c r="I72" s="3" t="s">
        <v>41</v>
      </c>
      <c r="J72" s="3" t="s">
        <v>41</v>
      </c>
      <c r="K72" s="3" t="s">
        <v>42</v>
      </c>
      <c r="L72" s="3" t="s">
        <v>41</v>
      </c>
    </row>
    <row r="73" spans="1:12" ht="129" customHeight="1">
      <c r="A73" s="3" t="s">
        <v>318</v>
      </c>
      <c r="B73" s="3" t="s">
        <v>319</v>
      </c>
      <c r="C73" s="3" t="s">
        <v>320</v>
      </c>
      <c r="D73" s="3" t="s">
        <v>37</v>
      </c>
      <c r="E73" s="3" t="s">
        <v>96</v>
      </c>
      <c r="F73" s="3" t="s">
        <v>120</v>
      </c>
      <c r="G73" s="3" t="s">
        <v>321</v>
      </c>
      <c r="H73" s="3" t="str">
        <f>HYPERLINK("http://www.jccm.es/sede/tramite/I91","REGISTRO Y DEPOSITO DE ESTATUTOS DE ASOCIACIONES EMPRESARIALES Y SINDICALES, ASI COMO LAS FEDERACIONES, CONFEDERACIONES Y FUSIONES DE LAS MISMAS")</f>
        <v>REGISTRO Y DEPOSITO DE ESTATUTOS DE ASOCIACIONES EMPRESARIALES Y SINDICALES, ASI COMO LAS FEDERACIONES, CONFEDERACIONES Y FUSIONES DE LAS MISMAS</v>
      </c>
      <c r="I73" s="3" t="s">
        <v>41</v>
      </c>
      <c r="J73" s="3" t="s">
        <v>41</v>
      </c>
      <c r="K73" s="3" t="s">
        <v>42</v>
      </c>
      <c r="L73" s="3" t="s">
        <v>41</v>
      </c>
    </row>
    <row r="74" spans="1:12" ht="129" customHeight="1">
      <c r="A74" s="3" t="s">
        <v>322</v>
      </c>
      <c r="B74" s="3" t="s">
        <v>323</v>
      </c>
      <c r="C74" s="3" t="s">
        <v>45</v>
      </c>
      <c r="D74" s="3" t="s">
        <v>37</v>
      </c>
      <c r="E74" s="3" t="s">
        <v>96</v>
      </c>
      <c r="F74" s="3" t="s">
        <v>113</v>
      </c>
      <c r="G74" s="3" t="s">
        <v>324</v>
      </c>
      <c r="H74" s="3" t="str">
        <f>HYPERLINK("http://www.jccm.es/sede/tramite/I00","REGISTRO REGIONAL DE EMPRESAS EXENTAS DE AUDITORIAS DE SU SISTEMA DE PREVENCION.")</f>
        <v>REGISTRO REGIONAL DE EMPRESAS EXENTAS DE AUDITORIAS DE SU SISTEMA DE PREVENCION.</v>
      </c>
      <c r="I74" s="3" t="s">
        <v>42</v>
      </c>
      <c r="J74" s="3" t="s">
        <v>41</v>
      </c>
      <c r="K74" s="3" t="s">
        <v>42</v>
      </c>
      <c r="L74" s="3" t="s">
        <v>41</v>
      </c>
    </row>
    <row r="75" spans="1:12" ht="129" customHeight="1">
      <c r="A75" s="3" t="s">
        <v>325</v>
      </c>
      <c r="B75" s="3" t="s">
        <v>326</v>
      </c>
      <c r="C75" s="3" t="s">
        <v>327</v>
      </c>
      <c r="D75" s="3" t="s">
        <v>37</v>
      </c>
      <c r="E75" s="3" t="s">
        <v>96</v>
      </c>
      <c r="F75" s="3" t="s">
        <v>328</v>
      </c>
      <c r="G75" s="3" t="s">
        <v>329</v>
      </c>
      <c r="H75" s="3" t="str">
        <f>HYPERLINK("http://www.jccm.es/sede/tramite/JI7","REGISTRO ADMINISTRATIVO DE EMPRESAS DE INSERCION.")</f>
        <v>REGISTRO ADMINISTRATIVO DE EMPRESAS DE INSERCION.</v>
      </c>
      <c r="I75" s="3" t="s">
        <v>42</v>
      </c>
      <c r="J75" s="3" t="s">
        <v>41</v>
      </c>
      <c r="K75" s="3" t="s">
        <v>42</v>
      </c>
      <c r="L75" s="3" t="s">
        <v>41</v>
      </c>
    </row>
    <row r="76" spans="1:12" ht="129" customHeight="1">
      <c r="A76" s="3" t="s">
        <v>330</v>
      </c>
      <c r="B76" s="3" t="s">
        <v>331</v>
      </c>
      <c r="C76" s="3" t="s">
        <v>332</v>
      </c>
      <c r="D76" s="3" t="s">
        <v>37</v>
      </c>
      <c r="E76" s="3" t="s">
        <v>96</v>
      </c>
      <c r="F76" s="3" t="s">
        <v>120</v>
      </c>
      <c r="G76" s="3" t="s">
        <v>333</v>
      </c>
      <c r="H76" s="3" t="str">
        <f>HYPERLINK("http://www.jccm.es/sede/tramite/JMF","HABILITACION/LEGALIZACION DE LIBROS SOCIALES Y CONTABLES DE LAS SOCIEDADES COOPERATIVAS POR EL REGISTRO DE COOPERATIVAS DE CASTILLA-LA MANCHA.")</f>
        <v>HABILITACION/LEGALIZACION DE LIBROS SOCIALES Y CONTABLES DE LAS SOCIEDADES COOPERATIVAS POR EL REGISTRO DE COOPERATIVAS DE CASTILLA-LA MANCHA.</v>
      </c>
      <c r="I76" s="3" t="s">
        <v>42</v>
      </c>
      <c r="J76" s="3" t="s">
        <v>41</v>
      </c>
      <c r="K76" s="3" t="s">
        <v>42</v>
      </c>
      <c r="L76" s="3" t="s">
        <v>41</v>
      </c>
    </row>
    <row r="77" spans="1:12" ht="129" customHeight="1">
      <c r="A77" s="3" t="s">
        <v>334</v>
      </c>
      <c r="B77" s="3" t="s">
        <v>335</v>
      </c>
      <c r="C77" s="3" t="s">
        <v>45</v>
      </c>
      <c r="D77" s="3" t="s">
        <v>37</v>
      </c>
      <c r="E77" s="3" t="s">
        <v>96</v>
      </c>
      <c r="F77" s="3" t="s">
        <v>113</v>
      </c>
      <c r="G77" s="3" t="s">
        <v>336</v>
      </c>
      <c r="H77" s="3" t="str">
        <f>HYPERLINK("http://www.jccm.es/sede/tramite/JOS","INSCRIPCION EN EL REGISTRO DE EMPRESAS CON RIESGO DE AMIANTO (RERA) DE LAS EMPRESAS QUE VAYAN A REALIZAR ACTIVIDADES U OPERACIONES CON RIESGO DE EXPOSICION A AMIANTO")</f>
        <v>INSCRIPCION EN EL REGISTRO DE EMPRESAS CON RIESGO DE AMIANTO (RERA) DE LAS EMPRESAS QUE VAYAN A REALIZAR ACTIVIDADES U OPERACIONES CON RIESGO DE EXPOSICION A AMIANTO</v>
      </c>
      <c r="I77" s="3" t="s">
        <v>41</v>
      </c>
      <c r="J77" s="3" t="s">
        <v>41</v>
      </c>
      <c r="K77" s="3" t="s">
        <v>42</v>
      </c>
      <c r="L77" s="3" t="s">
        <v>42</v>
      </c>
    </row>
    <row r="78" spans="1:12" ht="129" customHeight="1">
      <c r="A78" s="3" t="s">
        <v>337</v>
      </c>
      <c r="B78" s="3" t="s">
        <v>338</v>
      </c>
      <c r="C78" s="3" t="s">
        <v>45</v>
      </c>
      <c r="D78" s="3" t="s">
        <v>37</v>
      </c>
      <c r="E78" s="3" t="s">
        <v>96</v>
      </c>
      <c r="F78" s="3" t="s">
        <v>113</v>
      </c>
      <c r="G78" s="3" t="s">
        <v>339</v>
      </c>
      <c r="H78" s="3" t="str">
        <f>HYPERLINK("http://www.jccm.es/sede/tramite/JOT","REGISTRO DE TECNICOS EN PREVENCION DE RIESGOS LABORALES.")</f>
        <v>REGISTRO DE TECNICOS EN PREVENCION DE RIESGOS LABORALES.</v>
      </c>
      <c r="I78" s="3" t="s">
        <v>42</v>
      </c>
      <c r="J78" s="3" t="s">
        <v>41</v>
      </c>
      <c r="K78" s="3" t="s">
        <v>42</v>
      </c>
      <c r="L78" s="3" t="s">
        <v>41</v>
      </c>
    </row>
    <row r="79" spans="1:12" ht="129" customHeight="1">
      <c r="A79" s="3" t="s">
        <v>340</v>
      </c>
      <c r="B79" s="3" t="s">
        <v>341</v>
      </c>
      <c r="C79" s="3" t="s">
        <v>45</v>
      </c>
      <c r="D79" s="3" t="s">
        <v>37</v>
      </c>
      <c r="E79" s="3" t="s">
        <v>96</v>
      </c>
      <c r="F79" s="3" t="s">
        <v>130</v>
      </c>
      <c r="G79" s="3" t="s">
        <v>342</v>
      </c>
      <c r="H79" s="3" t="str">
        <f>HYPERLINK("http://www.jccm.es/sede/tramite/JWK","REGISTRO DE FORMADORES PARA LA IMPARTICION DE ACCIONES FORMATIVAS CONDUCENTES A LA OBTENCION DE CERTIFICADOS DE PROFESIONALIDAD")</f>
        <v>REGISTRO DE FORMADORES PARA LA IMPARTICION DE ACCIONES FORMATIVAS CONDUCENTES A LA OBTENCION DE CERTIFICADOS DE PROFESIONALIDAD</v>
      </c>
      <c r="I79" s="3" t="s">
        <v>41</v>
      </c>
      <c r="J79" s="3" t="s">
        <v>41</v>
      </c>
      <c r="K79" s="3" t="s">
        <v>42</v>
      </c>
      <c r="L79" s="3" t="s">
        <v>41</v>
      </c>
    </row>
    <row r="80" spans="1:12" ht="129" customHeight="1">
      <c r="A80" s="3" t="s">
        <v>343</v>
      </c>
      <c r="B80" s="3" t="s">
        <v>344</v>
      </c>
      <c r="C80" s="3" t="s">
        <v>345</v>
      </c>
      <c r="D80" s="3" t="s">
        <v>37</v>
      </c>
      <c r="E80" s="3" t="s">
        <v>96</v>
      </c>
      <c r="F80" s="3" t="s">
        <v>120</v>
      </c>
      <c r="G80" s="3" t="s">
        <v>346</v>
      </c>
      <c r="H80" s="3" t="str">
        <f>HYPERLINK("http://www.jccm.es/sede/tramite/KFL","DEPOSITO DE LAS CUENTAS ANUALES DE LAS SOCIEDADES COOPERATIVAS EN EL REGISTRO DE COOPERATIVAS DE C-LM (TRAMITE ORDINARIO Y TRAMITE PROVISIONAL).")</f>
        <v>DEPOSITO DE LAS CUENTAS ANUALES DE LAS SOCIEDADES COOPERATIVAS EN EL REGISTRO DE COOPERATIVAS DE C-LM (TRAMITE ORDINARIO Y TRAMITE PROVISIONAL).</v>
      </c>
      <c r="I80" s="3" t="s">
        <v>41</v>
      </c>
      <c r="J80" s="3" t="s">
        <v>41</v>
      </c>
      <c r="K80" s="3" t="s">
        <v>42</v>
      </c>
      <c r="L80" s="3" t="s">
        <v>41</v>
      </c>
    </row>
    <row r="81" spans="1:12" ht="129" customHeight="1">
      <c r="A81" s="3" t="s">
        <v>347</v>
      </c>
      <c r="B81" s="3" t="s">
        <v>348</v>
      </c>
      <c r="C81" s="3" t="s">
        <v>45</v>
      </c>
      <c r="D81" s="3" t="s">
        <v>37</v>
      </c>
      <c r="E81" s="3" t="s">
        <v>96</v>
      </c>
      <c r="F81" s="3" t="s">
        <v>120</v>
      </c>
      <c r="G81" s="3" t="s">
        <v>349</v>
      </c>
      <c r="H81" s="3" t="str">
        <f>HYPERLINK("http://www.jccm.es/sede/tramite/KQ8","REGISTRO ESPECIAL DE ASOCIACIONES DE TRABAJADORAS Y TRABAJADORES AUTONOMOS DE CASTILLA-LA MANCHA")</f>
        <v>REGISTRO ESPECIAL DE ASOCIACIONES DE TRABAJADORAS Y TRABAJADORES AUTONOMOS DE CASTILLA-LA MANCHA</v>
      </c>
      <c r="I81" s="3" t="s">
        <v>41</v>
      </c>
      <c r="J81" s="3" t="s">
        <v>41</v>
      </c>
      <c r="K81" s="3" t="s">
        <v>42</v>
      </c>
      <c r="L81" s="3" t="s">
        <v>41</v>
      </c>
    </row>
    <row r="82" spans="1:12" ht="129" customHeight="1">
      <c r="A82" s="3" t="s">
        <v>350</v>
      </c>
      <c r="B82" s="3" t="s">
        <v>351</v>
      </c>
      <c r="C82" s="3" t="s">
        <v>95</v>
      </c>
      <c r="D82" s="3" t="s">
        <v>95</v>
      </c>
      <c r="E82" s="3" t="s">
        <v>96</v>
      </c>
      <c r="F82" s="3" t="s">
        <v>120</v>
      </c>
      <c r="G82" s="3" t="s">
        <v>352</v>
      </c>
      <c r="H82" s="3" t="str">
        <f>HYPERLINK("http://www.jccm.es/sede/tramite/L06","OFICINA DE ELECCIONES SINDICALES")</f>
        <v>OFICINA DE ELECCIONES SINDICALES</v>
      </c>
      <c r="I82" s="3" t="s">
        <v>42</v>
      </c>
      <c r="J82" s="3" t="s">
        <v>41</v>
      </c>
      <c r="K82" s="3" t="s">
        <v>42</v>
      </c>
      <c r="L82" s="3" t="s">
        <v>41</v>
      </c>
    </row>
    <row r="83" spans="1:12" ht="129" customHeight="1">
      <c r="A83" s="3" t="s">
        <v>353</v>
      </c>
      <c r="B83" s="3" t="s">
        <v>354</v>
      </c>
      <c r="C83" s="3" t="s">
        <v>95</v>
      </c>
      <c r="D83" s="3" t="s">
        <v>95</v>
      </c>
      <c r="E83" s="3" t="s">
        <v>96</v>
      </c>
      <c r="F83" s="3" t="s">
        <v>328</v>
      </c>
      <c r="G83" s="3" t="s">
        <v>355</v>
      </c>
      <c r="H83" s="3" t="str">
        <f>HYPERLINK("http://www.jccm.es/sede/tramite/L2M","MEMORIA ANUAL DE LOS CENTROS ESPECIALES DE EMPLEO")</f>
        <v>MEMORIA ANUAL DE LOS CENTROS ESPECIALES DE EMPLEO</v>
      </c>
      <c r="I83" s="3" t="s">
        <v>41</v>
      </c>
      <c r="J83" s="3" t="s">
        <v>41</v>
      </c>
      <c r="K83" s="3" t="s">
        <v>42</v>
      </c>
      <c r="L83" s="3" t="s">
        <v>41</v>
      </c>
    </row>
    <row r="84" spans="1:12" ht="129" customHeight="1">
      <c r="A84" s="3" t="s">
        <v>356</v>
      </c>
      <c r="B84" s="3" t="s">
        <v>357</v>
      </c>
      <c r="C84" s="3" t="s">
        <v>327</v>
      </c>
      <c r="D84" s="3" t="s">
        <v>37</v>
      </c>
      <c r="E84" s="3" t="s">
        <v>96</v>
      </c>
      <c r="F84" s="3" t="s">
        <v>328</v>
      </c>
      <c r="G84" s="3" t="s">
        <v>358</v>
      </c>
      <c r="H84" s="3" t="str">
        <f>HYPERLINK("http://www.jccm.es/sede/tramite/L45","CALIFICACION E INSCRIPCION  EN EL REGISTRO DE CENTROS ESPECIALES DE EMPLEO, COMO CENTRO ESPECIAL DE EMPLEO.")</f>
        <v>CALIFICACION E INSCRIPCION  EN EL REGISTRO DE CENTROS ESPECIALES DE EMPLEO, COMO CENTRO ESPECIAL DE EMPLEO.</v>
      </c>
      <c r="I84" s="3" t="s">
        <v>41</v>
      </c>
      <c r="J84" s="3" t="s">
        <v>41</v>
      </c>
      <c r="K84" s="3" t="s">
        <v>42</v>
      </c>
      <c r="L84" s="3" t="s">
        <v>41</v>
      </c>
    </row>
    <row r="85" spans="1:12" ht="129" customHeight="1">
      <c r="A85" s="3" t="s">
        <v>359</v>
      </c>
      <c r="B85" s="3" t="s">
        <v>360</v>
      </c>
      <c r="C85" s="3" t="s">
        <v>95</v>
      </c>
      <c r="D85" s="3" t="s">
        <v>95</v>
      </c>
      <c r="E85" s="3" t="s">
        <v>96</v>
      </c>
      <c r="F85" s="3" t="s">
        <v>328</v>
      </c>
      <c r="G85" s="3" t="s">
        <v>361</v>
      </c>
      <c r="H85" s="3" t="str">
        <f>HYPERLINK("http://www.jccm.es/sede/tramite/L46","COMUNICACION DE CAMBIOS REGISTRALES Y BAJA  EN EL REGISTRO DE CENTROS ESPECIALES DE EMPLEO, COMO CENTRO ESPECIAL DE EMPLEO.")</f>
        <v>COMUNICACION DE CAMBIOS REGISTRALES Y BAJA  EN EL REGISTRO DE CENTROS ESPECIALES DE EMPLEO, COMO CENTRO ESPECIAL DE EMPLEO.</v>
      </c>
      <c r="I85" s="3" t="s">
        <v>41</v>
      </c>
      <c r="J85" s="3" t="s">
        <v>41</v>
      </c>
      <c r="K85" s="3" t="s">
        <v>42</v>
      </c>
      <c r="L85" s="3" t="s">
        <v>41</v>
      </c>
    </row>
    <row r="86" spans="1:12" ht="129" customHeight="1">
      <c r="A86" s="3" t="s">
        <v>362</v>
      </c>
      <c r="B86" s="3" t="s">
        <v>363</v>
      </c>
      <c r="C86" s="3" t="s">
        <v>232</v>
      </c>
      <c r="D86" s="3" t="s">
        <v>46</v>
      </c>
      <c r="E86" s="3" t="s">
        <v>96</v>
      </c>
      <c r="F86" s="3" t="s">
        <v>328</v>
      </c>
      <c r="G86" s="3" t="s">
        <v>364</v>
      </c>
      <c r="H86" s="3" t="str">
        <f>HYPERLINK("http://www.jccm.es/sede/tramite/LP6","SOLICITUD DE CAMBIO DE TITULARIDAD EN EL REGISTRO DE CENTROS ESPECIALES DE CASTILLA-LA MANCHA.")</f>
        <v>SOLICITUD DE CAMBIO DE TITULARIDAD EN EL REGISTRO DE CENTROS ESPECIALES DE CASTILLA-LA MANCHA.</v>
      </c>
      <c r="I86" s="3" t="s">
        <v>41</v>
      </c>
      <c r="J86" s="3" t="s">
        <v>41</v>
      </c>
      <c r="K86" s="3" t="s">
        <v>42</v>
      </c>
      <c r="L86" s="3" t="s">
        <v>41</v>
      </c>
    </row>
    <row r="87" spans="1:12" ht="129" customHeight="1">
      <c r="A87" s="3" t="s">
        <v>365</v>
      </c>
      <c r="B87" s="3" t="s">
        <v>366</v>
      </c>
      <c r="C87" s="3" t="s">
        <v>367</v>
      </c>
      <c r="D87" s="3" t="s">
        <v>37</v>
      </c>
      <c r="E87" s="3" t="s">
        <v>96</v>
      </c>
      <c r="F87" s="3" t="s">
        <v>120</v>
      </c>
      <c r="G87" s="3" t="s">
        <v>368</v>
      </c>
      <c r="H87" s="3" t="str">
        <f>HYPERLINK("http://www.jccm.es/sede/tramite/KYQ","CALIFICACION PREVIA DEL PROYECTO DE ESTATUTOS E INSCRIPCION DE LA CONSTITUCION DE UNA NUEVA SOCIEDAD COOPERATIVA EN EL REGISTRO DE COOPERATIVAS DE CASTILLA-LA MANCHA.")</f>
        <v>CALIFICACION PREVIA DEL PROYECTO DE ESTATUTOS E INSCRIPCION DE LA CONSTITUCION DE UNA NUEVA SOCIEDAD COOPERATIVA EN EL REGISTRO DE COOPERATIVAS DE CASTILLA-LA MANCHA.</v>
      </c>
      <c r="I87" s="3" t="s">
        <v>41</v>
      </c>
      <c r="J87" s="3" t="s">
        <v>41</v>
      </c>
      <c r="K87" s="3" t="s">
        <v>42</v>
      </c>
      <c r="L87" s="3" t="s">
        <v>41</v>
      </c>
    </row>
    <row r="88" spans="1:12" ht="129" customHeight="1">
      <c r="A88" s="3" t="s">
        <v>369</v>
      </c>
      <c r="B88" s="3" t="s">
        <v>370</v>
      </c>
      <c r="C88" s="3" t="s">
        <v>367</v>
      </c>
      <c r="D88" s="3" t="s">
        <v>37</v>
      </c>
      <c r="E88" s="3" t="s">
        <v>96</v>
      </c>
      <c r="F88" s="3" t="s">
        <v>120</v>
      </c>
      <c r="G88" s="3" t="s">
        <v>371</v>
      </c>
      <c r="H88" s="3" t="str">
        <f>HYPERLINK("http://www.jccm.es/sede/tramite/I8Z","INSCRIPCION DE ACTOS RELATIVOS A LAS COOPERATIVAS Y ASOCIACIONES DE COOPERATIVAS EN EL REGISTRO DE COOPERATIVAS DE CASTILLA-LA MANCHA.")</f>
        <v>INSCRIPCION DE ACTOS RELATIVOS A LAS COOPERATIVAS Y ASOCIACIONES DE COOPERATIVAS EN EL REGISTRO DE COOPERATIVAS DE CASTILLA-LA MANCHA.</v>
      </c>
      <c r="I88" s="3" t="s">
        <v>42</v>
      </c>
      <c r="J88" s="3" t="s">
        <v>41</v>
      </c>
      <c r="K88" s="3" t="s">
        <v>42</v>
      </c>
      <c r="L88" s="3" t="s">
        <v>42</v>
      </c>
    </row>
    <row r="89" spans="1:12" ht="129" customHeight="1">
      <c r="A89" s="3" t="s">
        <v>372</v>
      </c>
      <c r="B89" s="3" t="s">
        <v>373</v>
      </c>
      <c r="C89" s="3" t="s">
        <v>374</v>
      </c>
      <c r="D89" s="3" t="s">
        <v>37</v>
      </c>
      <c r="E89" s="3" t="s">
        <v>96</v>
      </c>
      <c r="F89" s="3" t="s">
        <v>113</v>
      </c>
      <c r="G89" s="3" t="s">
        <v>375</v>
      </c>
      <c r="H89" s="3" t="str">
        <f>HYPERLINK("http://www.jccm.es/sede/tramite/J39","INSCRIPCION Y RENOVACION EN EL REGISTRO DE EMPRESAS ACREDITADAS EN EL SECTOR DE LA CONSTRUCCION (REA).")</f>
        <v>INSCRIPCION Y RENOVACION EN EL REGISTRO DE EMPRESAS ACREDITADAS EN EL SECTOR DE LA CONSTRUCCION (REA).</v>
      </c>
      <c r="I89" s="3" t="s">
        <v>41</v>
      </c>
      <c r="J89" s="3" t="s">
        <v>41</v>
      </c>
      <c r="K89" s="3" t="s">
        <v>42</v>
      </c>
      <c r="L89" s="3" t="s">
        <v>41</v>
      </c>
    </row>
    <row r="90" spans="1:12" ht="129" customHeight="1">
      <c r="A90" s="3" t="s">
        <v>376</v>
      </c>
      <c r="B90" s="3" t="s">
        <v>377</v>
      </c>
      <c r="C90" s="3" t="s">
        <v>374</v>
      </c>
      <c r="D90" s="3" t="s">
        <v>37</v>
      </c>
      <c r="E90" s="3" t="s">
        <v>96</v>
      </c>
      <c r="F90" s="3" t="s">
        <v>113</v>
      </c>
      <c r="G90" s="3" t="s">
        <v>378</v>
      </c>
      <c r="H90" s="3" t="str">
        <f>HYPERLINK("http://www.jccm.es/sede/tramite/KJP","COMUNICACION DE VARIACION DE DATOS EN EL REGISTRO DE EMPRESAS ACREDITADAS EN EL SECTOR DE LA CONSTRUCCION (REA).")</f>
        <v>COMUNICACION DE VARIACION DE DATOS EN EL REGISTRO DE EMPRESAS ACREDITADAS EN EL SECTOR DE LA CONSTRUCCION (REA).</v>
      </c>
      <c r="I90" s="3" t="s">
        <v>41</v>
      </c>
      <c r="J90" s="3" t="s">
        <v>41</v>
      </c>
      <c r="K90" s="3" t="s">
        <v>42</v>
      </c>
      <c r="L90" s="3" t="s">
        <v>41</v>
      </c>
    </row>
    <row r="91" spans="1:12" ht="129" customHeight="1">
      <c r="A91" s="3" t="s">
        <v>379</v>
      </c>
      <c r="B91" s="3" t="s">
        <v>380</v>
      </c>
      <c r="C91" s="3" t="s">
        <v>374</v>
      </c>
      <c r="D91" s="3" t="s">
        <v>37</v>
      </c>
      <c r="E91" s="3" t="s">
        <v>96</v>
      </c>
      <c r="F91" s="3" t="s">
        <v>113</v>
      </c>
      <c r="G91" s="3" t="s">
        <v>381</v>
      </c>
      <c r="H91" s="3" t="str">
        <f>HYPERLINK("http://www.jccm.es/sede/tramite/KJQ","CANCELACION DE INSCRIPCION EN EL REGISTRO DE EMPRESAS ACREDITADAS EN EL SECTOR DE LA CONSTRUCCION (REA).")</f>
        <v>CANCELACION DE INSCRIPCION EN EL REGISTRO DE EMPRESAS ACREDITADAS EN EL SECTOR DE LA CONSTRUCCION (REA).</v>
      </c>
      <c r="I91" s="3" t="s">
        <v>41</v>
      </c>
      <c r="J91" s="3" t="s">
        <v>41</v>
      </c>
      <c r="K91" s="3" t="s">
        <v>42</v>
      </c>
      <c r="L91" s="3" t="s">
        <v>41</v>
      </c>
    </row>
    <row r="92" spans="1:12" ht="129" customHeight="1">
      <c r="A92" s="3" t="s">
        <v>382</v>
      </c>
      <c r="B92" s="3" t="s">
        <v>383</v>
      </c>
      <c r="C92" s="3" t="s">
        <v>95</v>
      </c>
      <c r="D92" s="3" t="s">
        <v>95</v>
      </c>
      <c r="E92" s="3" t="s">
        <v>96</v>
      </c>
      <c r="F92" s="3" t="s">
        <v>97</v>
      </c>
      <c r="G92" s="3" t="s">
        <v>384</v>
      </c>
      <c r="H92" s="3" t="str">
        <f>HYPERLINK("http://www.jccm.es/sede/tramite/IHW","REGISTRO DE FRANQUICIADORES")</f>
        <v>REGISTRO DE FRANQUICIADORES</v>
      </c>
      <c r="I92" s="3" t="s">
        <v>42</v>
      </c>
      <c r="J92" s="3" t="s">
        <v>41</v>
      </c>
      <c r="K92" s="3" t="s">
        <v>42</v>
      </c>
      <c r="L92" s="3" t="s">
        <v>42</v>
      </c>
    </row>
    <row r="93" spans="1:12" ht="129" customHeight="1">
      <c r="A93" s="3" t="s">
        <v>385</v>
      </c>
      <c r="B93" s="3" t="s">
        <v>386</v>
      </c>
      <c r="C93" s="3" t="s">
        <v>45</v>
      </c>
      <c r="D93" s="3" t="s">
        <v>46</v>
      </c>
      <c r="E93" s="3" t="s">
        <v>96</v>
      </c>
      <c r="F93" s="3" t="s">
        <v>130</v>
      </c>
      <c r="G93" s="3" t="s">
        <v>387</v>
      </c>
      <c r="H93" s="3" t="str">
        <f>HYPERLINK("http://www.jccm.es/sede/tramite/ITX","EXPEDICION DE CERTIFICADO DE PROFESIONALIDAD")</f>
        <v>EXPEDICION DE CERTIFICADO DE PROFESIONALIDAD</v>
      </c>
      <c r="I93" s="3" t="s">
        <v>42</v>
      </c>
      <c r="J93" s="3" t="s">
        <v>41</v>
      </c>
      <c r="K93" s="3" t="s">
        <v>42</v>
      </c>
      <c r="L93" s="3" t="s">
        <v>41</v>
      </c>
    </row>
    <row r="94" spans="1:12" ht="129" customHeight="1">
      <c r="A94" s="3" t="s">
        <v>388</v>
      </c>
      <c r="B94" s="3" t="s">
        <v>389</v>
      </c>
      <c r="C94" s="3" t="s">
        <v>45</v>
      </c>
      <c r="D94" s="3" t="s">
        <v>46</v>
      </c>
      <c r="E94" s="3" t="s">
        <v>96</v>
      </c>
      <c r="F94" s="3" t="s">
        <v>130</v>
      </c>
      <c r="G94" s="3" t="s">
        <v>390</v>
      </c>
      <c r="H94" s="3" t="str">
        <f>HYPERLINK("http://www.jccm.es/sede/tramite/KCK","EXPEDICION DE ACREDITACION DE UNIDADES DE COMPETENCIA")</f>
        <v>EXPEDICION DE ACREDITACION DE UNIDADES DE COMPETENCIA</v>
      </c>
      <c r="I94" s="3" t="s">
        <v>42</v>
      </c>
      <c r="J94" s="3" t="s">
        <v>41</v>
      </c>
      <c r="K94" s="3" t="s">
        <v>42</v>
      </c>
      <c r="L94" s="3" t="s">
        <v>41</v>
      </c>
    </row>
    <row r="95" spans="1:12" ht="129" customHeight="1">
      <c r="A95" s="3" t="s">
        <v>391</v>
      </c>
      <c r="B95" s="3" t="s">
        <v>392</v>
      </c>
      <c r="C95" s="3" t="s">
        <v>95</v>
      </c>
      <c r="D95" s="3" t="s">
        <v>95</v>
      </c>
      <c r="E95" s="3" t="s">
        <v>96</v>
      </c>
      <c r="F95" s="3" t="s">
        <v>113</v>
      </c>
      <c r="G95" s="3" t="s">
        <v>393</v>
      </c>
      <c r="H95" s="3" t="str">
        <f>HYPERLINK("http://www.jccm.es/sede/tramite/KIK","SOLICITUD DE BAJA COMO DEMANDANTE EN LOS SERVICIOS PUBLICOS DE EMPLEO DE CASTILLA LA MANCHA")</f>
        <v>SOLICITUD DE BAJA COMO DEMANDANTE EN LOS SERVICIOS PUBLICOS DE EMPLEO DE CASTILLA LA MANCHA</v>
      </c>
      <c r="I95" s="3" t="s">
        <v>42</v>
      </c>
      <c r="J95" s="3" t="s">
        <v>41</v>
      </c>
      <c r="K95" s="3" t="s">
        <v>42</v>
      </c>
      <c r="L95" s="3" t="s">
        <v>41</v>
      </c>
    </row>
    <row r="96" spans="1:12" ht="129" customHeight="1">
      <c r="A96" s="3" t="s">
        <v>394</v>
      </c>
      <c r="B96" s="3" t="s">
        <v>395</v>
      </c>
      <c r="C96" s="3" t="s">
        <v>95</v>
      </c>
      <c r="D96" s="3" t="s">
        <v>95</v>
      </c>
      <c r="E96" s="3" t="s">
        <v>96</v>
      </c>
      <c r="F96" s="3" t="s">
        <v>113</v>
      </c>
      <c r="G96" s="3" t="s">
        <v>396</v>
      </c>
      <c r="H96" s="3" t="str">
        <f>HYPERLINK("http://www.jccm.es/sede/tramite/KIJ","COMUNICACION DE DESPLAZAMIENTO DE DEMANDANTES INSCRITOS EN LOS SERVICIOS PUBLICOS DE EMPLEO DE CASTILLA LA MANCHA")</f>
        <v>COMUNICACION DE DESPLAZAMIENTO DE DEMANDANTES INSCRITOS EN LOS SERVICIOS PUBLICOS DE EMPLEO DE CASTILLA LA MANCHA</v>
      </c>
      <c r="I96" s="3" t="s">
        <v>42</v>
      </c>
      <c r="J96" s="3" t="s">
        <v>41</v>
      </c>
      <c r="K96" s="3" t="s">
        <v>41</v>
      </c>
      <c r="L96" s="3" t="s">
        <v>41</v>
      </c>
    </row>
    <row r="97" spans="1:12" ht="129" customHeight="1">
      <c r="A97" s="3" t="s">
        <v>397</v>
      </c>
      <c r="B97" s="3" t="s">
        <v>398</v>
      </c>
      <c r="C97" s="3" t="s">
        <v>95</v>
      </c>
      <c r="D97" s="3" t="s">
        <v>95</v>
      </c>
      <c r="E97" s="3" t="s">
        <v>96</v>
      </c>
      <c r="F97" s="3" t="s">
        <v>113</v>
      </c>
      <c r="G97" s="3" t="s">
        <v>399</v>
      </c>
      <c r="H97" s="3" t="str">
        <f>HYPERLINK("http://www.jccm.es/sede/tramite/KII","SOLICITUD DE SUSPENSION DE LA DEMANDA EN LOS SERVICIOS PUBLICOS DE EMPLEO DE CASTILLA LA MANCHA")</f>
        <v>SOLICITUD DE SUSPENSION DE LA DEMANDA EN LOS SERVICIOS PUBLICOS DE EMPLEO DE CASTILLA LA MANCHA</v>
      </c>
      <c r="I97" s="3" t="s">
        <v>42</v>
      </c>
      <c r="J97" s="3" t="s">
        <v>41</v>
      </c>
      <c r="K97" s="3" t="s">
        <v>41</v>
      </c>
      <c r="L97" s="3" t="s">
        <v>41</v>
      </c>
    </row>
    <row r="98" spans="1:12" ht="129" customHeight="1">
      <c r="A98" s="3" t="s">
        <v>400</v>
      </c>
      <c r="B98" s="3" t="s">
        <v>401</v>
      </c>
      <c r="C98" s="3" t="s">
        <v>95</v>
      </c>
      <c r="D98" s="3" t="s">
        <v>95</v>
      </c>
      <c r="E98" s="3" t="s">
        <v>96</v>
      </c>
      <c r="F98" s="3" t="s">
        <v>113</v>
      </c>
      <c r="G98" s="3" t="s">
        <v>402</v>
      </c>
      <c r="H98" s="3" t="str">
        <f>HYPERLINK("http://www.jccm.es/sede/tramite/KIH","SOLICITUD DE RECUPERACION DE PERIODO EN BAJA DE LA DEMANDA")</f>
        <v>SOLICITUD DE RECUPERACION DE PERIODO EN BAJA DE LA DEMANDA</v>
      </c>
      <c r="I98" s="3" t="s">
        <v>42</v>
      </c>
      <c r="J98" s="3" t="s">
        <v>41</v>
      </c>
      <c r="K98" s="3" t="s">
        <v>41</v>
      </c>
      <c r="L98" s="3" t="s">
        <v>41</v>
      </c>
    </row>
    <row r="99" spans="1:12" ht="129" customHeight="1">
      <c r="A99" s="3" t="s">
        <v>403</v>
      </c>
      <c r="B99" s="3" t="s">
        <v>404</v>
      </c>
      <c r="C99" s="3" t="s">
        <v>95</v>
      </c>
      <c r="D99" s="3" t="s">
        <v>95</v>
      </c>
      <c r="E99" s="3" t="s">
        <v>96</v>
      </c>
      <c r="F99" s="3" t="s">
        <v>113</v>
      </c>
      <c r="G99" s="3" t="s">
        <v>405</v>
      </c>
      <c r="H99" s="3" t="str">
        <f>HYPERLINK("http://www.jccm.es/sede/tramite/JNO","INSCRIPCION COMO DEMANDANTE DE PERSONAS TRABAJADORAS EN OFICINAS DE EMPLEO Y EMPRENDEDORES DE LA CONSEJERIA DE EMPLEO Y ECONOMIA, ASI COMO MANTENIMIENTO Y ACTUALIZACION DE LOS DATOS DE SU DEMANDA")</f>
        <v>INSCRIPCION COMO DEMANDANTE DE PERSONAS TRABAJADORAS EN OFICINAS DE EMPLEO Y EMPRENDEDORES DE LA CONSEJERIA DE EMPLEO Y ECONOMIA, ASI COMO MANTENIMIENTO Y ACTUALIZACION DE LOS DATOS DE SU DEMANDA</v>
      </c>
      <c r="I99" s="3" t="s">
        <v>42</v>
      </c>
      <c r="J99" s="3" t="s">
        <v>41</v>
      </c>
      <c r="K99" s="3" t="s">
        <v>42</v>
      </c>
      <c r="L99" s="3" t="s">
        <v>41</v>
      </c>
    </row>
    <row r="100" spans="1:12" ht="129" customHeight="1">
      <c r="A100" s="3" t="s">
        <v>406</v>
      </c>
      <c r="B100" s="3" t="s">
        <v>407</v>
      </c>
      <c r="C100" s="3" t="s">
        <v>95</v>
      </c>
      <c r="D100" s="3" t="s">
        <v>37</v>
      </c>
      <c r="E100" s="3" t="s">
        <v>96</v>
      </c>
      <c r="F100" s="3" t="s">
        <v>97</v>
      </c>
      <c r="G100" s="3" t="s">
        <v>408</v>
      </c>
      <c r="H100" s="3" t="str">
        <f>HYPERLINK("http://www.jccm.es/sede/tramite/KNB","DECLARACION RESPONSABLE DE USO DE LA MARCA  CASTILLA-LA MANCHA")</f>
        <v>DECLARACION RESPONSABLE DE USO DE LA MARCA  CASTILLA-LA MANCHA</v>
      </c>
      <c r="I100" s="3" t="s">
        <v>42</v>
      </c>
      <c r="J100" s="3" t="s">
        <v>41</v>
      </c>
      <c r="K100" s="3" t="s">
        <v>42</v>
      </c>
      <c r="L100" s="3" t="s">
        <v>41</v>
      </c>
    </row>
    <row r="101" spans="1:12" ht="129" customHeight="1">
      <c r="A101" s="3" t="s">
        <v>409</v>
      </c>
      <c r="B101" s="3" t="s">
        <v>410</v>
      </c>
      <c r="C101" s="3" t="s">
        <v>95</v>
      </c>
      <c r="D101" s="3" t="s">
        <v>37</v>
      </c>
      <c r="E101" s="3" t="s">
        <v>96</v>
      </c>
      <c r="F101" s="3" t="s">
        <v>97</v>
      </c>
      <c r="G101" s="3" t="s">
        <v>411</v>
      </c>
      <c r="H101" s="3" t="str">
        <f>HYPERLINK("http://www.jccm.es/sede/tramite/KYC","COMUNICACION DE BAJA VOLUNTARIA EN EL REGISTRO REGIONAL DE USUARIOS DE LA MARCA  CASTILLA-LA MANCHA")</f>
        <v>COMUNICACION DE BAJA VOLUNTARIA EN EL REGISTRO REGIONAL DE USUARIOS DE LA MARCA  CASTILLA-LA MANCHA</v>
      </c>
      <c r="I101" s="3" t="s">
        <v>42</v>
      </c>
      <c r="J101" s="3" t="s">
        <v>41</v>
      </c>
      <c r="K101" s="3" t="s">
        <v>42</v>
      </c>
      <c r="L101" s="3" t="s">
        <v>41</v>
      </c>
    </row>
    <row r="102" spans="1:12" ht="129" customHeight="1">
      <c r="A102" s="3" t="s">
        <v>412</v>
      </c>
      <c r="B102" s="3" t="s">
        <v>413</v>
      </c>
      <c r="C102" s="3" t="s">
        <v>62</v>
      </c>
      <c r="D102" s="3" t="s">
        <v>37</v>
      </c>
      <c r="E102" s="3" t="s">
        <v>96</v>
      </c>
      <c r="F102" s="3" t="s">
        <v>328</v>
      </c>
      <c r="G102" s="3" t="s">
        <v>414</v>
      </c>
      <c r="H102" s="3" t="str">
        <f>HYPERLINK("http://www.jccm.es/sede/tramite/KPY","BAJA DEL REGISTRO DE ENTIDADES HOMOLOGADAS")</f>
        <v>BAJA DEL REGISTRO DE ENTIDADES HOMOLOGADAS</v>
      </c>
      <c r="I102" s="3" t="s">
        <v>41</v>
      </c>
      <c r="J102" s="3" t="s">
        <v>41</v>
      </c>
      <c r="K102" s="3" t="s">
        <v>42</v>
      </c>
      <c r="L102" s="3" t="s">
        <v>41</v>
      </c>
    </row>
    <row r="103" spans="1:12" ht="129" customHeight="1">
      <c r="A103" s="3" t="s">
        <v>415</v>
      </c>
      <c r="B103" s="3" t="s">
        <v>416</v>
      </c>
      <c r="C103" s="3" t="s">
        <v>62</v>
      </c>
      <c r="D103" s="3" t="s">
        <v>37</v>
      </c>
      <c r="E103" s="3" t="s">
        <v>96</v>
      </c>
      <c r="F103" s="3" t="s">
        <v>328</v>
      </c>
      <c r="G103" s="3" t="s">
        <v>417</v>
      </c>
      <c r="H103" s="3" t="str">
        <f>HYPERLINK("http://www.jccm.es/sede/tramite/KPW","HOMOLOGACION DE ENTIDADES PARA LA PRESTACION DE SERVICIOS DE ASESORAMIENTO Y TUTORIZACION A PERSONAS EMPRENDEDORAS Y ALTA EN EL REGISTRO DE ENTIDADES HOMOLOGADAS")</f>
        <v>HOMOLOGACION DE ENTIDADES PARA LA PRESTACION DE SERVICIOS DE ASESORAMIENTO Y TUTORIZACION A PERSONAS EMPRENDEDORAS Y ALTA EN EL REGISTRO DE ENTIDADES HOMOLOGADAS</v>
      </c>
      <c r="I103" s="3" t="s">
        <v>41</v>
      </c>
      <c r="J103" s="3" t="s">
        <v>41</v>
      </c>
      <c r="K103" s="3" t="s">
        <v>42</v>
      </c>
      <c r="L103" s="3" t="s">
        <v>41</v>
      </c>
    </row>
    <row r="104" spans="1:12" ht="129" customHeight="1">
      <c r="A104" s="3" t="s">
        <v>418</v>
      </c>
      <c r="B104" s="3" t="s">
        <v>419</v>
      </c>
      <c r="C104" s="3" t="s">
        <v>62</v>
      </c>
      <c r="D104" s="3" t="s">
        <v>37</v>
      </c>
      <c r="E104" s="3" t="s">
        <v>96</v>
      </c>
      <c r="F104" s="3" t="s">
        <v>328</v>
      </c>
      <c r="G104" s="3" t="s">
        <v>420</v>
      </c>
      <c r="H104" s="3" t="str">
        <f>HYPERLINK("http://www.jccm.es/sede/tramite/KPX","MODIFICACION DE LOS DATOS DEL REGISTRO DE ENTIDADES HOMOLOGADAS")</f>
        <v>MODIFICACION DE LOS DATOS DEL REGISTRO DE ENTIDADES HOMOLOGADAS</v>
      </c>
      <c r="I104" s="3" t="s">
        <v>41</v>
      </c>
      <c r="J104" s="3" t="s">
        <v>41</v>
      </c>
      <c r="K104" s="3" t="s">
        <v>42</v>
      </c>
      <c r="L104" s="3" t="s">
        <v>41</v>
      </c>
    </row>
    <row r="105" spans="1:12" ht="129" customHeight="1">
      <c r="A105" s="3" t="s">
        <v>421</v>
      </c>
      <c r="B105" s="3" t="s">
        <v>422</v>
      </c>
      <c r="C105" s="3" t="s">
        <v>45</v>
      </c>
      <c r="D105" s="3" t="s">
        <v>46</v>
      </c>
      <c r="E105" s="3" t="s">
        <v>96</v>
      </c>
      <c r="F105" s="3" t="s">
        <v>328</v>
      </c>
      <c r="G105" s="3" t="s">
        <v>423</v>
      </c>
      <c r="H105" s="3" t="str">
        <f>HYPERLINK("http://www.jccm.es/sede/tramite/JOW","AYUDAS ESPECIALES DEL DECRETO 312/2011, DE 29 DE DICIEMBRE, DE LAS PERSONAS TRABAJADORAS AFECTADAS POR LOS ERES 76/2000, DE 08/03/2001 Y 25/2001, DE 31/07/2001")</f>
        <v>AYUDAS ESPECIALES DEL DECRETO 312/2011, DE 29 DE DICIEMBRE, DE LAS PERSONAS TRABAJADORAS AFECTADAS POR LOS ERES 76/2000, DE 08/03/2001 Y 25/2001, DE 31/07/2001</v>
      </c>
      <c r="I105" s="3" t="s">
        <v>42</v>
      </c>
      <c r="J105" s="3" t="s">
        <v>41</v>
      </c>
      <c r="K105" s="3" t="s">
        <v>42</v>
      </c>
      <c r="L105" s="3" t="s">
        <v>41</v>
      </c>
    </row>
    <row r="106" spans="1:12" ht="129" customHeight="1">
      <c r="A106" s="3" t="s">
        <v>424</v>
      </c>
      <c r="B106" s="3" t="s">
        <v>425</v>
      </c>
      <c r="C106" s="3" t="s">
        <v>426</v>
      </c>
      <c r="D106" s="3" t="s">
        <v>46</v>
      </c>
      <c r="E106" s="3" t="s">
        <v>96</v>
      </c>
      <c r="F106" s="3" t="s">
        <v>130</v>
      </c>
      <c r="G106" s="3" t="s">
        <v>427</v>
      </c>
      <c r="H106" s="3" t="str">
        <f>HYPERLINK("http://www.jccm.es/sede/tramite/K5F","CONCESION DE BECAS Y/O AYUDAS PARA PERSONAS TRABAJADORAS  DESEMPLEADAS QUE PARTICIPEN EN LAS DIFERENTES MODALIDADES DE FORMACION PROFESIONAL PARA EL EMPLEO EN CASTILLA - MANCHA.")</f>
        <v>CONCESION DE BECAS Y/O AYUDAS PARA PERSONAS TRABAJADORAS  DESEMPLEADAS QUE PARTICIPEN EN LAS DIFERENTES MODALIDADES DE FORMACION PROFESIONAL PARA EL EMPLEO EN CASTILLA - MANCHA.</v>
      </c>
      <c r="I106" s="3" t="s">
        <v>42</v>
      </c>
      <c r="J106" s="3" t="s">
        <v>41</v>
      </c>
      <c r="K106" s="3" t="s">
        <v>42</v>
      </c>
      <c r="L106" s="3" t="s">
        <v>41</v>
      </c>
    </row>
    <row r="107" spans="1:12" ht="129" customHeight="1">
      <c r="A107" s="3" t="s">
        <v>428</v>
      </c>
      <c r="B107" s="3" t="s">
        <v>429</v>
      </c>
      <c r="C107" s="3" t="s">
        <v>95</v>
      </c>
      <c r="D107" s="3" t="s">
        <v>46</v>
      </c>
      <c r="E107" s="3" t="s">
        <v>96</v>
      </c>
      <c r="F107" s="3" t="s">
        <v>130</v>
      </c>
      <c r="G107" s="3" t="s">
        <v>430</v>
      </c>
      <c r="H107" s="3" t="str">
        <f>HYPERLINK("http://www.jccm.es/sede/tramite/K5E","INSCRIPCION PARA LA REALIZACION DE ACCIONES DE FORMACION PROFESIONAL PARA EL EMPLEO.")</f>
        <v>INSCRIPCION PARA LA REALIZACION DE ACCIONES DE FORMACION PROFESIONAL PARA EL EMPLEO.</v>
      </c>
      <c r="I107" s="3" t="s">
        <v>42</v>
      </c>
      <c r="J107" s="3" t="s">
        <v>41</v>
      </c>
      <c r="K107" s="3" t="s">
        <v>42</v>
      </c>
      <c r="L107" s="3" t="s">
        <v>41</v>
      </c>
    </row>
    <row r="108" spans="1:12" ht="129" customHeight="1">
      <c r="A108" s="3" t="s">
        <v>431</v>
      </c>
      <c r="B108" s="3" t="s">
        <v>432</v>
      </c>
      <c r="C108" s="3" t="s">
        <v>45</v>
      </c>
      <c r="D108" s="3" t="s">
        <v>46</v>
      </c>
      <c r="E108" s="3" t="s">
        <v>96</v>
      </c>
      <c r="F108" s="3" t="s">
        <v>328</v>
      </c>
      <c r="G108" s="3" t="s">
        <v>433</v>
      </c>
      <c r="H108" s="3" t="str">
        <f>HYPERLINK("http://www.jccm.es/sede/tramite/KM2","SUBVENCIONES PARA LA REALIZACION DE PROYECTOS DENTRO DEL PROGRAMA GARANTIA +52 AÑOS.")</f>
        <v>SUBVENCIONES PARA LA REALIZACION DE PROYECTOS DENTRO DEL PROGRAMA GARANTIA +52 AÑOS.</v>
      </c>
      <c r="I108" s="3" t="s">
        <v>41</v>
      </c>
      <c r="J108" s="3" t="s">
        <v>41</v>
      </c>
      <c r="K108" s="3" t="s">
        <v>42</v>
      </c>
      <c r="L108" s="3" t="s">
        <v>41</v>
      </c>
    </row>
    <row r="109" spans="1:12" ht="129" customHeight="1">
      <c r="A109" s="3" t="s">
        <v>434</v>
      </c>
      <c r="B109" s="3" t="s">
        <v>435</v>
      </c>
      <c r="C109" s="3" t="s">
        <v>36</v>
      </c>
      <c r="D109" s="3" t="s">
        <v>46</v>
      </c>
      <c r="E109" s="3" t="s">
        <v>96</v>
      </c>
      <c r="F109" s="3" t="s">
        <v>97</v>
      </c>
      <c r="G109" s="3" t="s">
        <v>436</v>
      </c>
      <c r="H109" s="3" t="str">
        <f>HYPERLINK("http://www.jccm.es/sede/tramite/KM6","PREMIOS PERIODISTICOS DE CASTILLA-LA MANCHA.")</f>
        <v>PREMIOS PERIODISTICOS DE CASTILLA-LA MANCHA.</v>
      </c>
      <c r="I109" s="3" t="s">
        <v>41</v>
      </c>
      <c r="J109" s="3" t="s">
        <v>41</v>
      </c>
      <c r="K109" s="3" t="s">
        <v>42</v>
      </c>
      <c r="L109" s="3" t="s">
        <v>41</v>
      </c>
    </row>
    <row r="110" spans="1:12" ht="129" customHeight="1">
      <c r="A110" s="3" t="s">
        <v>437</v>
      </c>
      <c r="B110" s="3" t="s">
        <v>438</v>
      </c>
      <c r="C110" s="3" t="s">
        <v>36</v>
      </c>
      <c r="D110" s="3" t="s">
        <v>46</v>
      </c>
      <c r="E110" s="3" t="s">
        <v>96</v>
      </c>
      <c r="F110" s="3" t="s">
        <v>97</v>
      </c>
      <c r="G110" s="3" t="s">
        <v>439</v>
      </c>
      <c r="H110" s="3" t="str">
        <f>HYPERLINK("http://www.jccm.es/sede/tramite/KM9","PREMIOS RAIZ CULINARIA CASTILLA-LA MANCHA")</f>
        <v>PREMIOS RAIZ CULINARIA CASTILLA-LA MANCHA</v>
      </c>
      <c r="I110" s="3" t="s">
        <v>41</v>
      </c>
      <c r="J110" s="3" t="s">
        <v>41</v>
      </c>
      <c r="K110" s="3" t="s">
        <v>42</v>
      </c>
      <c r="L110" s="3" t="s">
        <v>41</v>
      </c>
    </row>
    <row r="111" spans="1:12" ht="129" customHeight="1">
      <c r="A111" s="3" t="s">
        <v>440</v>
      </c>
      <c r="B111" s="3" t="s">
        <v>441</v>
      </c>
      <c r="C111" s="3" t="s">
        <v>442</v>
      </c>
      <c r="D111" s="3" t="s">
        <v>46</v>
      </c>
      <c r="E111" s="3" t="s">
        <v>96</v>
      </c>
      <c r="F111" s="3" t="s">
        <v>328</v>
      </c>
      <c r="G111" s="3" t="s">
        <v>443</v>
      </c>
      <c r="H111" s="3" t="str">
        <f>HYPERLINK("http://www.jccm.es/sede/tramite/KMA","SUBVENCIONES DESTINADAS A FOMENTAR LA CONTRATACION INDEFINIDA, Y EN ESPECIAL DE PERSONAS MAYORES DE 45 AÑOS, EN CASTILLA-LA MANCHA")</f>
        <v>SUBVENCIONES DESTINADAS A FOMENTAR LA CONTRATACION INDEFINIDA, Y EN ESPECIAL DE PERSONAS MAYORES DE 45 AÑOS, EN CASTILLA-LA MANCHA</v>
      </c>
      <c r="I111" s="3" t="s">
        <v>41</v>
      </c>
      <c r="J111" s="3" t="s">
        <v>41</v>
      </c>
      <c r="K111" s="3" t="s">
        <v>42</v>
      </c>
      <c r="L111" s="3" t="s">
        <v>41</v>
      </c>
    </row>
    <row r="112" spans="1:12" ht="129" customHeight="1">
      <c r="A112" s="3" t="s">
        <v>444</v>
      </c>
      <c r="B112" s="3" t="s">
        <v>445</v>
      </c>
      <c r="C112" s="3" t="s">
        <v>45</v>
      </c>
      <c r="D112" s="3" t="s">
        <v>46</v>
      </c>
      <c r="E112" s="3" t="s">
        <v>96</v>
      </c>
      <c r="F112" s="3" t="s">
        <v>328</v>
      </c>
      <c r="G112" s="3" t="s">
        <v>446</v>
      </c>
      <c r="H112" s="3" t="str">
        <f>HYPERLINK("http://www.jccm.es/sede/tramite/KME","AYUDAS A ENTIDADES LOCALES PARA  LA CONTRATACION DE PERSONAS DESEMPLEADAS, EN EL MARCO DEL PLAN EXTRAORDINARIO POR EL EMPLEO EN CASTILLA LA MANCHA")</f>
        <v>AYUDAS A ENTIDADES LOCALES PARA  LA CONTRATACION DE PERSONAS DESEMPLEADAS, EN EL MARCO DEL PLAN EXTRAORDINARIO POR EL EMPLEO EN CASTILLA LA MANCHA</v>
      </c>
      <c r="I112" s="3" t="s">
        <v>41</v>
      </c>
      <c r="J112" s="3" t="s">
        <v>41</v>
      </c>
      <c r="K112" s="3" t="s">
        <v>42</v>
      </c>
      <c r="L112" s="3" t="s">
        <v>41</v>
      </c>
    </row>
    <row r="113" spans="1:12" ht="129" customHeight="1">
      <c r="A113" s="3" t="s">
        <v>447</v>
      </c>
      <c r="B113" s="3" t="s">
        <v>448</v>
      </c>
      <c r="C113" s="3" t="s">
        <v>95</v>
      </c>
      <c r="D113" s="3" t="s">
        <v>95</v>
      </c>
      <c r="E113" s="3" t="s">
        <v>96</v>
      </c>
      <c r="F113" s="3" t="s">
        <v>113</v>
      </c>
      <c r="G113" s="3" t="s">
        <v>449</v>
      </c>
      <c r="H113" s="3" t="str">
        <f>HYPERLINK("http://www.jccm.es/sede/tramite/KOZ","CONCESION DIRECTA DE SUBVENCIONES A ENTIDADES BENEFICIARIAS DEL PROGRAMA OPERATIVO DE INCLUSION SOCIAL Y ECONOMIA SOCIAL  Y EL PROGRAMA OPERATIVO EMPLEO JUVENIL, FONDO SOCIAL EUROPEO")</f>
        <v>CONCESION DIRECTA DE SUBVENCIONES A ENTIDADES BENEFICIARIAS DEL PROGRAMA OPERATIVO DE INCLUSION SOCIAL Y ECONOMIA SOCIAL  Y EL PROGRAMA OPERATIVO EMPLEO JUVENIL, FONDO SOCIAL EUROPEO</v>
      </c>
      <c r="I113" s="3" t="s">
        <v>41</v>
      </c>
      <c r="J113" s="3" t="s">
        <v>41</v>
      </c>
      <c r="K113" s="3" t="s">
        <v>42</v>
      </c>
      <c r="L113" s="3" t="s">
        <v>41</v>
      </c>
    </row>
    <row r="114" spans="1:12" ht="129" customHeight="1">
      <c r="A114" s="3" t="s">
        <v>450</v>
      </c>
      <c r="B114" s="3" t="s">
        <v>451</v>
      </c>
      <c r="C114" s="3" t="s">
        <v>452</v>
      </c>
      <c r="D114" s="3" t="s">
        <v>95</v>
      </c>
      <c r="E114" s="3" t="s">
        <v>96</v>
      </c>
      <c r="F114" s="3" t="s">
        <v>113</v>
      </c>
      <c r="G114" s="3" t="s">
        <v>453</v>
      </c>
      <c r="H114" s="3" t="str">
        <f>HYPERLINK("http://www.jccm.es/sede/tramite/KU8","LIQUIDACION DE LA SUBVENCION VINCULADA A LA PARTICIPACION INSTITUCIONAL EN EL PLAN DE MEDIDAS EXTRAORDINARIAS PARA LA RECUPERACION ECONOMICA DE CASTILLA-LA MANCHA.")</f>
        <v>LIQUIDACION DE LA SUBVENCION VINCULADA A LA PARTICIPACION INSTITUCIONAL EN EL PLAN DE MEDIDAS EXTRAORDINARIAS PARA LA RECUPERACION ECONOMICA DE CASTILLA-LA MANCHA.</v>
      </c>
      <c r="I114" s="3" t="s">
        <v>41</v>
      </c>
      <c r="J114" s="3" t="s">
        <v>41</v>
      </c>
      <c r="K114" s="3" t="s">
        <v>42</v>
      </c>
      <c r="L114" s="3" t="s">
        <v>41</v>
      </c>
    </row>
    <row r="115" spans="1:12" ht="129" customHeight="1">
      <c r="A115" s="3" t="s">
        <v>454</v>
      </c>
      <c r="B115" s="3" t="s">
        <v>455</v>
      </c>
      <c r="C115" s="3" t="s">
        <v>45</v>
      </c>
      <c r="D115" s="3" t="s">
        <v>46</v>
      </c>
      <c r="E115" s="3" t="s">
        <v>96</v>
      </c>
      <c r="F115" s="3" t="s">
        <v>328</v>
      </c>
      <c r="G115" s="3" t="s">
        <v>456</v>
      </c>
      <c r="H115" s="3" t="str">
        <f>HYPERLINK("http://www.jccm.es/sede/tramite/KU9","LIQUIDACION DE LA SUBVENCION PARA LA DIVULGACION, ASESORAMIENTO Y EL SEGUIMIENTO DE LOS INCENTIVOS A LA CONTRATACION Y DURANTE EL EJERCICIO 2017")</f>
        <v>LIQUIDACION DE LA SUBVENCION PARA LA DIVULGACION, ASESORAMIENTO Y EL SEGUIMIENTO DE LOS INCENTIVOS A LA CONTRATACION Y DURANTE EL EJERCICIO 2017</v>
      </c>
      <c r="I115" s="3" t="s">
        <v>41</v>
      </c>
      <c r="J115" s="3" t="s">
        <v>41</v>
      </c>
      <c r="K115" s="3" t="s">
        <v>42</v>
      </c>
      <c r="L115" s="3" t="s">
        <v>41</v>
      </c>
    </row>
    <row r="116" spans="1:12" ht="129" customHeight="1">
      <c r="A116" s="3" t="s">
        <v>457</v>
      </c>
      <c r="B116" s="3" t="s">
        <v>458</v>
      </c>
      <c r="C116" s="3" t="s">
        <v>459</v>
      </c>
      <c r="D116" s="3" t="s">
        <v>46</v>
      </c>
      <c r="E116" s="3" t="s">
        <v>96</v>
      </c>
      <c r="F116" s="3" t="s">
        <v>460</v>
      </c>
      <c r="G116" s="3" t="s">
        <v>461</v>
      </c>
      <c r="H116" s="3" t="str">
        <f>HYPERLINK("http://www.jccm.es/sede/tramite/KVD","SOLICITUD PRESENTACION CANDIDATURA PREMIOS AL MERITO EMPRESARIAL DE CASTILLA-LA MANCHA (MEEM 2022).")</f>
        <v>SOLICITUD PRESENTACION CANDIDATURA PREMIOS AL MERITO EMPRESARIAL DE CASTILLA-LA MANCHA (MEEM 2022).</v>
      </c>
      <c r="I116" s="3" t="s">
        <v>41</v>
      </c>
      <c r="J116" s="3" t="s">
        <v>41</v>
      </c>
      <c r="K116" s="3" t="s">
        <v>42</v>
      </c>
      <c r="L116" s="3" t="s">
        <v>41</v>
      </c>
    </row>
    <row r="117" spans="1:12" ht="129" customHeight="1">
      <c r="A117" s="3" t="s">
        <v>462</v>
      </c>
      <c r="B117" s="3" t="s">
        <v>463</v>
      </c>
      <c r="C117" s="3" t="s">
        <v>95</v>
      </c>
      <c r="D117" s="3" t="s">
        <v>95</v>
      </c>
      <c r="E117" s="3" t="s">
        <v>96</v>
      </c>
      <c r="F117" s="3" t="s">
        <v>460</v>
      </c>
      <c r="G117" s="3" t="s">
        <v>464</v>
      </c>
      <c r="H117" s="3" t="str">
        <f>HYPERLINK("http://www.jccm.es/sede/tramite/KVI","SUBVENCION  AL CONSEJO DE CAMARAS PARA LA DIFUSION Y SEGUIMIENTO DE AYUDAS DEL PLAN ADELANTE Y DE PROGRAMAS DIRIGIDOS A LAS EMPRESAS DE LA REGION")</f>
        <v>SUBVENCION  AL CONSEJO DE CAMARAS PARA LA DIFUSION Y SEGUIMIENTO DE AYUDAS DEL PLAN ADELANTE Y DE PROGRAMAS DIRIGIDOS A LAS EMPRESAS DE LA REGION</v>
      </c>
      <c r="I117" s="3" t="s">
        <v>41</v>
      </c>
      <c r="J117" s="3" t="s">
        <v>41</v>
      </c>
      <c r="K117" s="3" t="s">
        <v>42</v>
      </c>
      <c r="L117" s="3" t="s">
        <v>41</v>
      </c>
    </row>
    <row r="118" spans="1:12" ht="129" customHeight="1">
      <c r="A118" s="3" t="s">
        <v>465</v>
      </c>
      <c r="B118" s="3" t="s">
        <v>466</v>
      </c>
      <c r="C118" s="3" t="s">
        <v>95</v>
      </c>
      <c r="D118" s="3" t="s">
        <v>46</v>
      </c>
      <c r="E118" s="3" t="s">
        <v>96</v>
      </c>
      <c r="F118" s="3" t="s">
        <v>120</v>
      </c>
      <c r="G118" s="3" t="s">
        <v>467</v>
      </c>
      <c r="H118" s="3" t="str">
        <f>HYPERLINK("http://www.jccm.es/sede/tramite/KWO","JUSTIFICACION DE LA AYUDA A FUNDACION EOI, PARA EL DESARROLLO DE ACCIONES DE FORMACION Y TUTORIZACION EN EL MARCO DE ESPACIOS DE COWORKING")</f>
        <v>JUSTIFICACION DE LA AYUDA A FUNDACION EOI, PARA EL DESARROLLO DE ACCIONES DE FORMACION Y TUTORIZACION EN EL MARCO DE ESPACIOS DE COWORKING</v>
      </c>
      <c r="I118" s="3" t="s">
        <v>41</v>
      </c>
      <c r="J118" s="3" t="s">
        <v>41</v>
      </c>
      <c r="K118" s="3" t="s">
        <v>42</v>
      </c>
      <c r="L118" s="3" t="s">
        <v>41</v>
      </c>
    </row>
    <row r="119" spans="1:12" ht="129" customHeight="1">
      <c r="A119" s="3" t="s">
        <v>468</v>
      </c>
      <c r="B119" s="3" t="s">
        <v>469</v>
      </c>
      <c r="C119" s="3" t="s">
        <v>470</v>
      </c>
      <c r="D119" s="3" t="s">
        <v>46</v>
      </c>
      <c r="E119" s="3" t="s">
        <v>96</v>
      </c>
      <c r="F119" s="3" t="s">
        <v>97</v>
      </c>
      <c r="G119" s="3" t="s">
        <v>471</v>
      </c>
      <c r="H119" s="3" t="str">
        <f>HYPERLINK("http://www.jccm.es/sede/tramite/KYY","SOLICITUD DE AYUDA DE LA CONVOCATORIA DE EXPRESIONES DE INTERES PARA LA SELECCION Y EJECUCION DE PROYECTOS PARA LA PROMOCION, MEJORA E INCREMENTO DE LOS RECURSOS TURISTICOS DE LA REGION.")</f>
        <v>SOLICITUD DE AYUDA DE LA CONVOCATORIA DE EXPRESIONES DE INTERES PARA LA SELECCION Y EJECUCION DE PROYECTOS PARA LA PROMOCION, MEJORA E INCREMENTO DE LOS RECURSOS TURISTICOS DE LA REGION.</v>
      </c>
      <c r="I119" s="3" t="s">
        <v>41</v>
      </c>
      <c r="J119" s="3" t="s">
        <v>41</v>
      </c>
      <c r="K119" s="3" t="s">
        <v>42</v>
      </c>
      <c r="L119" s="3" t="s">
        <v>41</v>
      </c>
    </row>
    <row r="120" spans="1:12" ht="129" customHeight="1">
      <c r="A120" s="3" t="s">
        <v>472</v>
      </c>
      <c r="B120" s="3" t="s">
        <v>473</v>
      </c>
      <c r="C120" s="3" t="s">
        <v>474</v>
      </c>
      <c r="D120" s="3" t="s">
        <v>46</v>
      </c>
      <c r="E120" s="3" t="s">
        <v>96</v>
      </c>
      <c r="F120" s="3" t="s">
        <v>328</v>
      </c>
      <c r="G120" s="3" t="s">
        <v>475</v>
      </c>
      <c r="H120" s="3" t="str">
        <f>HYPERLINK("http://www.jccm.es/sede/tramite/KZ7","AYUDAS PARA FOMENTAR LA INSERCION LABORAL DE PERSONAS EN EXCLUSION SOCIAL A TRAVES DE EMPRESAS DE INSERCION.")</f>
        <v>AYUDAS PARA FOMENTAR LA INSERCION LABORAL DE PERSONAS EN EXCLUSION SOCIAL A TRAVES DE EMPRESAS DE INSERCION.</v>
      </c>
      <c r="I120" s="3" t="s">
        <v>41</v>
      </c>
      <c r="J120" s="3" t="s">
        <v>41</v>
      </c>
      <c r="K120" s="3" t="s">
        <v>42</v>
      </c>
      <c r="L120" s="3" t="s">
        <v>41</v>
      </c>
    </row>
    <row r="121" spans="1:12" ht="129" customHeight="1">
      <c r="A121" s="3" t="s">
        <v>476</v>
      </c>
      <c r="B121" s="3" t="s">
        <v>477</v>
      </c>
      <c r="C121" s="3" t="s">
        <v>192</v>
      </c>
      <c r="D121" s="3" t="s">
        <v>46</v>
      </c>
      <c r="E121" s="3" t="s">
        <v>96</v>
      </c>
      <c r="F121" s="3" t="s">
        <v>328</v>
      </c>
      <c r="G121" s="3" t="s">
        <v>478</v>
      </c>
      <c r="H121" s="3" t="str">
        <f>HYPERLINK("http://www.jccm.es/sede/tramite/L10","SUBVENCIONES DESTINADAS A ESTIMULAR EL MERCADO DE TRABAJO Y FOMENTAR EL EMPLEO ESTABLE Y DE CALIDAD.")</f>
        <v>SUBVENCIONES DESTINADAS A ESTIMULAR EL MERCADO DE TRABAJO Y FOMENTAR EL EMPLEO ESTABLE Y DE CALIDAD.</v>
      </c>
      <c r="I121" s="3" t="s">
        <v>41</v>
      </c>
      <c r="J121" s="3" t="s">
        <v>41</v>
      </c>
      <c r="K121" s="3" t="s">
        <v>42</v>
      </c>
      <c r="L121" s="3" t="s">
        <v>41</v>
      </c>
    </row>
    <row r="122" spans="1:12" ht="129" customHeight="1">
      <c r="A122" s="3" t="s">
        <v>479</v>
      </c>
      <c r="B122" s="3" t="s">
        <v>480</v>
      </c>
      <c r="C122" s="3" t="s">
        <v>95</v>
      </c>
      <c r="D122" s="3" t="s">
        <v>95</v>
      </c>
      <c r="E122" s="3" t="s">
        <v>96</v>
      </c>
      <c r="F122" s="3" t="s">
        <v>97</v>
      </c>
      <c r="G122" s="3" t="s">
        <v>481</v>
      </c>
      <c r="H122" s="3" t="str">
        <f>HYPERLINK("http://www.jccm.es/sede/tramite/L21","PREMIOS REGIONALES DE TURISMO DE CASTILLA-LA MANCHA.")</f>
        <v>PREMIOS REGIONALES DE TURISMO DE CASTILLA-LA MANCHA.</v>
      </c>
      <c r="I122" s="3" t="s">
        <v>41</v>
      </c>
      <c r="J122" s="3" t="s">
        <v>41</v>
      </c>
      <c r="K122" s="3" t="s">
        <v>42</v>
      </c>
      <c r="L122" s="3" t="s">
        <v>41</v>
      </c>
    </row>
    <row r="123" spans="1:12" ht="129" customHeight="1">
      <c r="A123" s="3" t="s">
        <v>482</v>
      </c>
      <c r="B123" s="3" t="s">
        <v>483</v>
      </c>
      <c r="C123" s="3" t="s">
        <v>484</v>
      </c>
      <c r="D123" s="3" t="s">
        <v>46</v>
      </c>
      <c r="E123" s="3" t="s">
        <v>96</v>
      </c>
      <c r="F123" s="3" t="s">
        <v>328</v>
      </c>
      <c r="G123" s="3" t="s">
        <v>485</v>
      </c>
      <c r="H123" s="3" t="str">
        <f>HYPERLINK("http://www.jccm.es/sede/tramite/L2T","SUBVENCIONES PARA FINANCIAR PROYECTOS PARA EL EMPLEO DE PERSONAS JOVENES CUALIFICADAS INSCRITAS EN EL SISTEMA NACIONAL DE GARANTIA JUVENIL, COFINANCIADA POR EL PROGRAMA OPERATIVO DE EMPLEO JUVENIL.")</f>
        <v>SUBVENCIONES PARA FINANCIAR PROYECTOS PARA EL EMPLEO DE PERSONAS JOVENES CUALIFICADAS INSCRITAS EN EL SISTEMA NACIONAL DE GARANTIA JUVENIL, COFINANCIADA POR EL PROGRAMA OPERATIVO DE EMPLEO JUVENIL.</v>
      </c>
      <c r="I123" s="3" t="s">
        <v>41</v>
      </c>
      <c r="J123" s="3" t="s">
        <v>41</v>
      </c>
      <c r="K123" s="3" t="s">
        <v>42</v>
      </c>
      <c r="L123" s="3" t="s">
        <v>41</v>
      </c>
    </row>
    <row r="124" spans="1:12" ht="129" customHeight="1">
      <c r="A124" s="3" t="s">
        <v>486</v>
      </c>
      <c r="B124" s="3" t="s">
        <v>487</v>
      </c>
      <c r="C124" s="3" t="s">
        <v>95</v>
      </c>
      <c r="D124" s="3" t="s">
        <v>95</v>
      </c>
      <c r="E124" s="3" t="s">
        <v>96</v>
      </c>
      <c r="F124" s="3" t="s">
        <v>328</v>
      </c>
      <c r="G124" s="3" t="s">
        <v>488</v>
      </c>
      <c r="H124" s="3" t="str">
        <f>HYPERLINK("http://www.jccm.es/sede/tramite/L41","JUSTIFICACION DE LA SUBVENCION DE CONCESION DIRECTA AL CONSEJO DE CAMARAS OFICIALES DE COMERCIO, INDUSTRIA Y SERVICIOS DE CASTILLA-LA MANCHA")</f>
        <v>JUSTIFICACION DE LA SUBVENCION DE CONCESION DIRECTA AL CONSEJO DE CAMARAS OFICIALES DE COMERCIO, INDUSTRIA Y SERVICIOS DE CASTILLA-LA MANCHA</v>
      </c>
      <c r="I124" s="3" t="s">
        <v>41</v>
      </c>
      <c r="J124" s="3" t="s">
        <v>41</v>
      </c>
      <c r="K124" s="3" t="s">
        <v>42</v>
      </c>
      <c r="L124" s="3" t="s">
        <v>41</v>
      </c>
    </row>
    <row r="125" spans="1:12" ht="129" customHeight="1">
      <c r="A125" s="3" t="s">
        <v>489</v>
      </c>
      <c r="B125" s="3" t="s">
        <v>490</v>
      </c>
      <c r="C125" s="3" t="s">
        <v>51</v>
      </c>
      <c r="D125" s="3" t="s">
        <v>46</v>
      </c>
      <c r="E125" s="3" t="s">
        <v>96</v>
      </c>
      <c r="F125" s="3" t="s">
        <v>328</v>
      </c>
      <c r="G125" s="3" t="s">
        <v>491</v>
      </c>
      <c r="H125" s="3" t="str">
        <f>HYPERLINK("http://www.jccm.es/sede/tramite/L5W","SUBVENCIONES DESTINADAS A INCENTIVAR LA CONTRATACION EN EL MARCO DEL PROGRAMA  CHEQUE TRANSICION .")</f>
        <v>SUBVENCIONES DESTINADAS A INCENTIVAR LA CONTRATACION EN EL MARCO DEL PROGRAMA  CHEQUE TRANSICION .</v>
      </c>
      <c r="I125" s="3" t="s">
        <v>41</v>
      </c>
      <c r="J125" s="3" t="s">
        <v>41</v>
      </c>
      <c r="K125" s="3" t="s">
        <v>42</v>
      </c>
      <c r="L125" s="3" t="s">
        <v>41</v>
      </c>
    </row>
    <row r="126" spans="1:12" ht="129" customHeight="1">
      <c r="A126" s="3" t="s">
        <v>492</v>
      </c>
      <c r="B126" s="3" t="s">
        <v>493</v>
      </c>
      <c r="C126" s="3" t="s">
        <v>494</v>
      </c>
      <c r="D126" s="3" t="s">
        <v>46</v>
      </c>
      <c r="E126" s="3" t="s">
        <v>96</v>
      </c>
      <c r="F126" s="3" t="s">
        <v>130</v>
      </c>
      <c r="G126" s="3" t="s">
        <v>495</v>
      </c>
      <c r="H126" s="3" t="str">
        <f>HYPERLINK("http://www.jccm.es/sede/tramite/L89","INSCRIPCION PARA LA REALIZACION DE ACCIONES DE FORMACION PROFESIONAL PARA EL EMPLEO.")</f>
        <v>INSCRIPCION PARA LA REALIZACION DE ACCIONES DE FORMACION PROFESIONAL PARA EL EMPLEO.</v>
      </c>
      <c r="I126" s="3" t="s">
        <v>42</v>
      </c>
      <c r="J126" s="3" t="s">
        <v>41</v>
      </c>
      <c r="K126" s="3" t="s">
        <v>42</v>
      </c>
      <c r="L126" s="3" t="s">
        <v>41</v>
      </c>
    </row>
    <row r="127" spans="1:12" ht="129" customHeight="1">
      <c r="A127" s="3" t="s">
        <v>496</v>
      </c>
      <c r="B127" s="3" t="s">
        <v>425</v>
      </c>
      <c r="C127" s="3" t="s">
        <v>426</v>
      </c>
      <c r="D127" s="3" t="s">
        <v>46</v>
      </c>
      <c r="E127" s="3" t="s">
        <v>96</v>
      </c>
      <c r="F127" s="3" t="s">
        <v>130</v>
      </c>
      <c r="G127" s="3" t="s">
        <v>497</v>
      </c>
      <c r="H127" s="3" t="str">
        <f>HYPERLINK("http://www.jccm.es/sede/tramite/L8B","CONCESION DE BECAS Y/O AYUDAS PARA PERSONAS TRABAJADORAS  DESEMPLEADAS QUE PARTICIPEN EN LAS DIFERENTES MODALIDADES DE FORMACION PROFESIONAL PARA EL EMPLEO EN CASTILLA - MANCHA.")</f>
        <v>CONCESION DE BECAS Y/O AYUDAS PARA PERSONAS TRABAJADORAS  DESEMPLEADAS QUE PARTICIPEN EN LAS DIFERENTES MODALIDADES DE FORMACION PROFESIONAL PARA EL EMPLEO EN CASTILLA - MANCHA.</v>
      </c>
      <c r="I127" s="3" t="s">
        <v>42</v>
      </c>
      <c r="J127" s="3" t="s">
        <v>41</v>
      </c>
      <c r="K127" s="3" t="s">
        <v>42</v>
      </c>
      <c r="L127" s="3" t="s">
        <v>41</v>
      </c>
    </row>
    <row r="128" spans="1:12" ht="129" customHeight="1">
      <c r="A128" s="3" t="s">
        <v>498</v>
      </c>
      <c r="B128" s="3" t="s">
        <v>499</v>
      </c>
      <c r="C128" s="3" t="s">
        <v>500</v>
      </c>
      <c r="D128" s="3" t="s">
        <v>46</v>
      </c>
      <c r="E128" s="3" t="s">
        <v>96</v>
      </c>
      <c r="F128" s="3" t="s">
        <v>130</v>
      </c>
      <c r="G128" s="3" t="s">
        <v>501</v>
      </c>
      <c r="H128" s="3" t="str">
        <f>HYPERLINK("http://www.jccm.es/sede/tramite/L8P","CONCESION DIRECTA DE SUBVENCIONES A LAS ENTIDADES BENEFICIARIAS DE PROGRAMAS DE FORMACION Y EMPLEO")</f>
        <v>CONCESION DIRECTA DE SUBVENCIONES A LAS ENTIDADES BENEFICIARIAS DE PROGRAMAS DE FORMACION Y EMPLEO</v>
      </c>
      <c r="I128" s="3" t="s">
        <v>41</v>
      </c>
      <c r="J128" s="3" t="s">
        <v>41</v>
      </c>
      <c r="K128" s="3" t="s">
        <v>42</v>
      </c>
      <c r="L128" s="3" t="s">
        <v>41</v>
      </c>
    </row>
    <row r="129" spans="1:12" ht="129" customHeight="1">
      <c r="A129" s="3" t="s">
        <v>502</v>
      </c>
      <c r="B129" s="3" t="s">
        <v>503</v>
      </c>
      <c r="C129" s="3" t="s">
        <v>192</v>
      </c>
      <c r="D129" s="3" t="s">
        <v>46</v>
      </c>
      <c r="E129" s="3" t="s">
        <v>96</v>
      </c>
      <c r="F129" s="3" t="s">
        <v>120</v>
      </c>
      <c r="G129" s="3" t="s">
        <v>504</v>
      </c>
      <c r="H129" s="3" t="str">
        <f>HYPERLINK("http://www.jccm.es/sede/tramite/L98","SERVICIOS DE ASESORAMIENTO Y TUTORIZACION A LAS PERSONAS EMPRENDEDORAS, EN EL MARCO DEL PLAN REGIONAL DE AUTOEMPLEO, CREACION DE EMPRESAS Y EMPRENDIMIENTO.")</f>
        <v>SERVICIOS DE ASESORAMIENTO Y TUTORIZACION A LAS PERSONAS EMPRENDEDORAS, EN EL MARCO DEL PLAN REGIONAL DE AUTOEMPLEO, CREACION DE EMPRESAS Y EMPRENDIMIENTO.</v>
      </c>
      <c r="I129" s="3" t="s">
        <v>41</v>
      </c>
      <c r="J129" s="3" t="s">
        <v>41</v>
      </c>
      <c r="K129" s="3" t="s">
        <v>42</v>
      </c>
      <c r="L129" s="3" t="s">
        <v>41</v>
      </c>
    </row>
    <row r="130" spans="1:12" ht="129" customHeight="1">
      <c r="A130" s="3" t="s">
        <v>505</v>
      </c>
      <c r="B130" s="3" t="s">
        <v>506</v>
      </c>
      <c r="C130" s="3" t="s">
        <v>95</v>
      </c>
      <c r="D130" s="3" t="s">
        <v>95</v>
      </c>
      <c r="E130" s="3" t="s">
        <v>96</v>
      </c>
      <c r="F130" s="3" t="s">
        <v>460</v>
      </c>
      <c r="G130" s="3" t="s">
        <v>507</v>
      </c>
      <c r="H130" s="3" t="str">
        <f>HYPERLINK("http://www.jccm.es/sede/tramite/LAG","JUSTIFICACION DE LA SUBVENCION DIRECTA A LA FUNDACION ESCUELA DE ORGANIZACION INDUSTRIAL (EOI), PARA EL DESARROLLO DEL PROGRAMA DE FORMACION CAMPUS ADELANTE-SOY DIGITAL CLM.")</f>
        <v>JUSTIFICACION DE LA SUBVENCION DIRECTA A LA FUNDACION ESCUELA DE ORGANIZACION INDUSTRIAL (EOI), PARA EL DESARROLLO DEL PROGRAMA DE FORMACION CAMPUS ADELANTE-SOY DIGITAL CLM.</v>
      </c>
      <c r="I130" s="3" t="s">
        <v>41</v>
      </c>
      <c r="J130" s="3" t="s">
        <v>41</v>
      </c>
      <c r="K130" s="3" t="s">
        <v>42</v>
      </c>
      <c r="L130" s="3" t="s">
        <v>41</v>
      </c>
    </row>
    <row r="131" spans="1:12" ht="129" customHeight="1">
      <c r="A131" s="3" t="s">
        <v>508</v>
      </c>
      <c r="B131" s="3" t="s">
        <v>509</v>
      </c>
      <c r="C131" s="3" t="s">
        <v>95</v>
      </c>
      <c r="D131" s="3" t="s">
        <v>95</v>
      </c>
      <c r="E131" s="3" t="s">
        <v>96</v>
      </c>
      <c r="F131" s="3" t="s">
        <v>97</v>
      </c>
      <c r="G131" s="3" t="s">
        <v>510</v>
      </c>
      <c r="H131" s="3" t="str">
        <f>HYPERLINK("http://www.jccm.es/sede/tramite/LAR","JUSTIFICACION DE LA SUBVENCION DIRECTA  AL AYUNTAMIENTO DE YUNCOS POR LA CELEBRACION DEL XVI CONGRESO NACIONAL DEL TORO DE CUERDA.")</f>
        <v>JUSTIFICACION DE LA SUBVENCION DIRECTA  AL AYUNTAMIENTO DE YUNCOS POR LA CELEBRACION DEL XVI CONGRESO NACIONAL DEL TORO DE CUERDA.</v>
      </c>
      <c r="I131" s="3" t="s">
        <v>41</v>
      </c>
      <c r="J131" s="3" t="s">
        <v>41</v>
      </c>
      <c r="K131" s="3" t="s">
        <v>42</v>
      </c>
      <c r="L131" s="3" t="s">
        <v>41</v>
      </c>
    </row>
    <row r="132" spans="1:12" ht="129" customHeight="1">
      <c r="A132" s="3" t="s">
        <v>511</v>
      </c>
      <c r="B132" s="3" t="s">
        <v>512</v>
      </c>
      <c r="C132" s="3" t="s">
        <v>513</v>
      </c>
      <c r="D132" s="3" t="s">
        <v>46</v>
      </c>
      <c r="E132" s="3" t="s">
        <v>96</v>
      </c>
      <c r="F132" s="3" t="s">
        <v>328</v>
      </c>
      <c r="G132" s="3" t="s">
        <v>514</v>
      </c>
      <c r="H132" s="3" t="str">
        <f>HYPERLINK("http://www.jccm.es/sede/tramite/LAW","AYUDAS A ENTIDADES LOCALES, EMPRESAS Y ENTIDADES SIN ANIMO DE LUCRO, PARA  LA CONTRATACION DE MUJERES VICTIMAS DE VIOLENCIA DE GENERO Y DE MUJERES EN SITUACION DE ESPECIAL VULNERABILIDAD.")</f>
        <v>AYUDAS A ENTIDADES LOCALES, EMPRESAS Y ENTIDADES SIN ANIMO DE LUCRO, PARA  LA CONTRATACION DE MUJERES VICTIMAS DE VIOLENCIA DE GENERO Y DE MUJERES EN SITUACION DE ESPECIAL VULNERABILIDAD.</v>
      </c>
      <c r="I132" s="3" t="s">
        <v>41</v>
      </c>
      <c r="J132" s="3" t="s">
        <v>41</v>
      </c>
      <c r="K132" s="3" t="s">
        <v>42</v>
      </c>
      <c r="L132" s="3" t="s">
        <v>41</v>
      </c>
    </row>
    <row r="133" spans="1:12" ht="129" customHeight="1">
      <c r="A133" s="3" t="s">
        <v>515</v>
      </c>
      <c r="B133" s="3" t="s">
        <v>516</v>
      </c>
      <c r="C133" s="3" t="s">
        <v>62</v>
      </c>
      <c r="D133" s="3" t="s">
        <v>46</v>
      </c>
      <c r="E133" s="3" t="s">
        <v>96</v>
      </c>
      <c r="F133" s="3" t="s">
        <v>120</v>
      </c>
      <c r="G133" s="3" t="s">
        <v>517</v>
      </c>
      <c r="H133" s="3" t="str">
        <f>HYPERLINK("http://www.jccm.es/sede/tramite/LD6","AYUDAS DIRECTAS AFECTADOS COVID19 (AUTONOMOS Y MICROEMPRESAS)")</f>
        <v>AYUDAS DIRECTAS AFECTADOS COVID19 (AUTONOMOS Y MICROEMPRESAS)</v>
      </c>
      <c r="I133" s="3" t="s">
        <v>41</v>
      </c>
      <c r="J133" s="3" t="s">
        <v>41</v>
      </c>
      <c r="K133" s="3" t="s">
        <v>42</v>
      </c>
      <c r="L133" s="3" t="s">
        <v>41</v>
      </c>
    </row>
    <row r="134" spans="1:12" ht="129" customHeight="1">
      <c r="A134" s="3" t="s">
        <v>518</v>
      </c>
      <c r="B134" s="3" t="s">
        <v>519</v>
      </c>
      <c r="C134" s="3" t="s">
        <v>62</v>
      </c>
      <c r="D134" s="3" t="s">
        <v>46</v>
      </c>
      <c r="E134" s="3" t="s">
        <v>96</v>
      </c>
      <c r="F134" s="3" t="s">
        <v>97</v>
      </c>
      <c r="G134" s="3" t="s">
        <v>520</v>
      </c>
      <c r="H134" s="3" t="str">
        <f>HYPERLINK("http://www.jccm.es/sede/tramite/LDI","SOLICITUD DE SUBVENCIONES PARA LA ADQUISICION DE ELEMENTOS DE PROTECCION SANITARIA EN LOS ESTABLECIMIENTOS DE COMERCIO, HOSTELERIA Y RESTAURACION DE CASTILLA-LA MANCHA")</f>
        <v>SOLICITUD DE SUBVENCIONES PARA LA ADQUISICION DE ELEMENTOS DE PROTECCION SANITARIA EN LOS ESTABLECIMIENTOS DE COMERCIO, HOSTELERIA Y RESTAURACION DE CASTILLA-LA MANCHA</v>
      </c>
      <c r="I134" s="3" t="s">
        <v>41</v>
      </c>
      <c r="J134" s="3" t="s">
        <v>41</v>
      </c>
      <c r="K134" s="3" t="s">
        <v>42</v>
      </c>
      <c r="L134" s="3" t="s">
        <v>41</v>
      </c>
    </row>
    <row r="135" spans="1:12" ht="129" customHeight="1">
      <c r="A135" s="3" t="s">
        <v>521</v>
      </c>
      <c r="B135" s="3" t="s">
        <v>522</v>
      </c>
      <c r="C135" s="3" t="s">
        <v>51</v>
      </c>
      <c r="D135" s="3" t="s">
        <v>46</v>
      </c>
      <c r="E135" s="3" t="s">
        <v>96</v>
      </c>
      <c r="F135" s="3" t="s">
        <v>328</v>
      </c>
      <c r="G135" s="3" t="s">
        <v>523</v>
      </c>
      <c r="H135" s="3" t="str">
        <f>HYPERLINK("http://www.jccm.es/sede/tramite/LDK","AYUDAS DESTINADAS A FAVORECER EL EMPLEO EN LAS CAMPAÑAS AGRARIAS DE CASTILLA-LA MANCHA.")</f>
        <v>AYUDAS DESTINADAS A FAVORECER EL EMPLEO EN LAS CAMPAÑAS AGRARIAS DE CASTILLA-LA MANCHA.</v>
      </c>
      <c r="I135" s="3" t="s">
        <v>42</v>
      </c>
      <c r="J135" s="3" t="s">
        <v>41</v>
      </c>
      <c r="K135" s="3" t="s">
        <v>42</v>
      </c>
      <c r="L135" s="3" t="s">
        <v>41</v>
      </c>
    </row>
    <row r="136" spans="1:12" ht="129" customHeight="1">
      <c r="A136" s="3" t="s">
        <v>524</v>
      </c>
      <c r="B136" s="3" t="s">
        <v>525</v>
      </c>
      <c r="C136" s="3" t="s">
        <v>62</v>
      </c>
      <c r="D136" s="3" t="s">
        <v>46</v>
      </c>
      <c r="E136" s="3" t="s">
        <v>96</v>
      </c>
      <c r="F136" s="3" t="s">
        <v>120</v>
      </c>
      <c r="G136" s="3" t="s">
        <v>526</v>
      </c>
      <c r="H136" s="3" t="str">
        <f>HYPERLINK("http://www.jccm.es/sede/tramite/LEJ","CONCESION DIRECTA DE AYUDAS DIRIGIDAS A COOPERATIVAS Y SOCIEDADES LABORALES AFECTADAS POR COVID-19,  PARA LA REACTIVACION DE LA ACTIVIDAD ECONOMICA Y EL EMPLEO EN CASTILLA-LA MANCHA")</f>
        <v>CONCESION DIRECTA DE AYUDAS DIRIGIDAS A COOPERATIVAS Y SOCIEDADES LABORALES AFECTADAS POR COVID-19,  PARA LA REACTIVACION DE LA ACTIVIDAD ECONOMICA Y EL EMPLEO EN CASTILLA-LA MANCHA</v>
      </c>
      <c r="I136" s="3" t="s">
        <v>41</v>
      </c>
      <c r="J136" s="3" t="s">
        <v>41</v>
      </c>
      <c r="K136" s="3" t="s">
        <v>42</v>
      </c>
      <c r="L136" s="3" t="s">
        <v>41</v>
      </c>
    </row>
    <row r="137" spans="1:12" ht="129" customHeight="1">
      <c r="A137" s="3" t="s">
        <v>527</v>
      </c>
      <c r="B137" s="3" t="s">
        <v>528</v>
      </c>
      <c r="C137" s="3" t="s">
        <v>51</v>
      </c>
      <c r="D137" s="3" t="s">
        <v>46</v>
      </c>
      <c r="E137" s="3" t="s">
        <v>96</v>
      </c>
      <c r="F137" s="3" t="s">
        <v>328</v>
      </c>
      <c r="G137" s="3" t="s">
        <v>529</v>
      </c>
      <c r="H137" s="3" t="str">
        <f>HYPERLINK("http://www.jccm.es/sede/tramite/LEP","SUBVENCIONES PARA LA CONCILIACION DE LA VIDA FAMILIAR Y LABORAL COMO MEDIDA DE FOMENTO DE LA CONCILIACION.")</f>
        <v>SUBVENCIONES PARA LA CONCILIACION DE LA VIDA FAMILIAR Y LABORAL COMO MEDIDA DE FOMENTO DE LA CONCILIACION.</v>
      </c>
      <c r="I137" s="3" t="s">
        <v>42</v>
      </c>
      <c r="J137" s="3" t="s">
        <v>41</v>
      </c>
      <c r="K137" s="3" t="s">
        <v>42</v>
      </c>
      <c r="L137" s="3" t="s">
        <v>41</v>
      </c>
    </row>
    <row r="138" spans="1:12" ht="129" customHeight="1">
      <c r="A138" s="3" t="s">
        <v>530</v>
      </c>
      <c r="B138" s="3" t="s">
        <v>531</v>
      </c>
      <c r="C138" s="3" t="s">
        <v>532</v>
      </c>
      <c r="D138" s="3" t="s">
        <v>46</v>
      </c>
      <c r="E138" s="3" t="s">
        <v>96</v>
      </c>
      <c r="F138" s="3" t="s">
        <v>328</v>
      </c>
      <c r="G138" s="3" t="s">
        <v>533</v>
      </c>
      <c r="H138" s="3" t="str">
        <f>HYPERLINK("http://www.jccm.es/sede/tramite/LEU","SUBVENCION PARA CONTRATOS TEMPORALES O INDEFINIDOS A TIEMPO PARCIAL CON PERSONAS CUYOS CONTRATOS DE TRABAJO SE HAN EXTINGUIDO  COMO CONSECUENCIA DE LA CRISIS PROVOCADA POR EL COVID-19.")</f>
        <v>SUBVENCION PARA CONTRATOS TEMPORALES O INDEFINIDOS A TIEMPO PARCIAL CON PERSONAS CUYOS CONTRATOS DE TRABAJO SE HAN EXTINGUIDO  COMO CONSECUENCIA DE LA CRISIS PROVOCADA POR EL COVID-19.</v>
      </c>
      <c r="I138" s="3" t="s">
        <v>41</v>
      </c>
      <c r="J138" s="3" t="s">
        <v>41</v>
      </c>
      <c r="K138" s="3" t="s">
        <v>42</v>
      </c>
      <c r="L138" s="3" t="s">
        <v>41</v>
      </c>
    </row>
    <row r="139" spans="1:12" ht="129" customHeight="1">
      <c r="A139" s="3" t="s">
        <v>534</v>
      </c>
      <c r="B139" s="3" t="s">
        <v>535</v>
      </c>
      <c r="C139" s="3" t="s">
        <v>62</v>
      </c>
      <c r="D139" s="3" t="s">
        <v>46</v>
      </c>
      <c r="E139" s="3" t="s">
        <v>96</v>
      </c>
      <c r="F139" s="3" t="s">
        <v>120</v>
      </c>
      <c r="G139" s="3" t="s">
        <v>536</v>
      </c>
      <c r="H139" s="3" t="str">
        <f>HYPERLINK("http://www.jccm.es/sede/tramite/LFM","CONCESION DIRECTA DE SUBVENCIONES DIRIGIDAS A PERSONAS TRABAJADORAS AUTONOMAS Y PYMES PARA FOMENTO DEL TRABAJO A DISTANCIA COMO MODALIDAD DE ORGANIZACION LABORAL, CON MOTIVO DEL COVID-19.")</f>
        <v>CONCESION DIRECTA DE SUBVENCIONES DIRIGIDAS A PERSONAS TRABAJADORAS AUTONOMAS Y PYMES PARA FOMENTO DEL TRABAJO A DISTANCIA COMO MODALIDAD DE ORGANIZACION LABORAL, CON MOTIVO DEL COVID-19.</v>
      </c>
      <c r="I139" s="3" t="s">
        <v>41</v>
      </c>
      <c r="J139" s="3" t="s">
        <v>41</v>
      </c>
      <c r="K139" s="3" t="s">
        <v>42</v>
      </c>
      <c r="L139" s="3" t="s">
        <v>41</v>
      </c>
    </row>
    <row r="140" spans="1:12" ht="129" customHeight="1">
      <c r="A140" s="3" t="s">
        <v>537</v>
      </c>
      <c r="B140" s="3" t="s">
        <v>538</v>
      </c>
      <c r="C140" s="3" t="s">
        <v>539</v>
      </c>
      <c r="D140" s="3" t="s">
        <v>46</v>
      </c>
      <c r="E140" s="3" t="s">
        <v>96</v>
      </c>
      <c r="F140" s="3" t="s">
        <v>328</v>
      </c>
      <c r="G140" s="3" t="s">
        <v>540</v>
      </c>
      <c r="H140" s="3" t="str">
        <f>HYPERLINK("http://www.jccm.es/sede/tramite/LHG","AYUDAS A ENTIDADES SIN ANIMO DE LUCRO, PARA  LA CONTRATACION DE PERSONAS DESEMPLEADAS Y EN SITUACION DE EXCLUSION SOCIAL, CON MOTIVO DE LA CRISIS DEL COVID-19.")</f>
        <v>AYUDAS A ENTIDADES SIN ANIMO DE LUCRO, PARA  LA CONTRATACION DE PERSONAS DESEMPLEADAS Y EN SITUACION DE EXCLUSION SOCIAL, CON MOTIVO DE LA CRISIS DEL COVID-19.</v>
      </c>
      <c r="I140" s="3" t="s">
        <v>41</v>
      </c>
      <c r="J140" s="3" t="s">
        <v>41</v>
      </c>
      <c r="K140" s="3" t="s">
        <v>42</v>
      </c>
      <c r="L140" s="3" t="s">
        <v>41</v>
      </c>
    </row>
    <row r="141" spans="1:12" ht="129" customHeight="1">
      <c r="A141" s="3" t="s">
        <v>541</v>
      </c>
      <c r="B141" s="3" t="s">
        <v>542</v>
      </c>
      <c r="C141" s="3" t="s">
        <v>51</v>
      </c>
      <c r="D141" s="3" t="s">
        <v>46</v>
      </c>
      <c r="E141" s="3" t="s">
        <v>96</v>
      </c>
      <c r="F141" s="3" t="s">
        <v>328</v>
      </c>
      <c r="G141" s="3" t="s">
        <v>543</v>
      </c>
      <c r="H141" s="3" t="str">
        <f>HYPERLINK("http://www.jccm.es/sede/tramite/LHK","CONCESION DIRECTA DE SUBVENCIONES DESTINADAS A LA INSERCION  DE PERSONAS JOVENES EN EL MERCADO LABORAL EN SECTORES DE ACTIVIDAD DENTRO DE LA ESTRATEGIA DE CRECIMIENTO SOSTENIBLE")</f>
        <v>CONCESION DIRECTA DE SUBVENCIONES DESTINADAS A LA INSERCION  DE PERSONAS JOVENES EN EL MERCADO LABORAL EN SECTORES DE ACTIVIDAD DENTRO DE LA ESTRATEGIA DE CRECIMIENTO SOSTENIBLE</v>
      </c>
      <c r="I141" s="3" t="s">
        <v>41</v>
      </c>
      <c r="J141" s="3" t="s">
        <v>41</v>
      </c>
      <c r="K141" s="3" t="s">
        <v>42</v>
      </c>
      <c r="L141" s="3" t="s">
        <v>41</v>
      </c>
    </row>
    <row r="142" spans="1:12" ht="129" customHeight="1">
      <c r="A142" s="3" t="s">
        <v>544</v>
      </c>
      <c r="B142" s="3" t="s">
        <v>545</v>
      </c>
      <c r="C142" s="3" t="s">
        <v>546</v>
      </c>
      <c r="D142" s="3" t="s">
        <v>46</v>
      </c>
      <c r="E142" s="3" t="s">
        <v>96</v>
      </c>
      <c r="F142" s="3" t="s">
        <v>120</v>
      </c>
      <c r="G142" s="3" t="s">
        <v>547</v>
      </c>
      <c r="H142" s="3" t="str">
        <f>HYPERLINK("http://www.jccm.es/sede/tramite/LHS","AYUDAS PARA EL INICIO Y MANTENIMIENTO DE LA ACTIVIDAD DE LAS PERSONAS TRABAJADORAS AUTONOMAS Y DEL FAMILIAR COLABORADOR AFECTADAS POR EL COVID-19.")</f>
        <v>AYUDAS PARA EL INICIO Y MANTENIMIENTO DE LA ACTIVIDAD DE LAS PERSONAS TRABAJADORAS AUTONOMAS Y DEL FAMILIAR COLABORADOR AFECTADAS POR EL COVID-19.</v>
      </c>
      <c r="I142" s="3" t="s">
        <v>41</v>
      </c>
      <c r="J142" s="3" t="s">
        <v>41</v>
      </c>
      <c r="K142" s="3" t="s">
        <v>42</v>
      </c>
      <c r="L142" s="3" t="s">
        <v>41</v>
      </c>
    </row>
    <row r="143" spans="1:12" ht="129" customHeight="1">
      <c r="A143" s="3" t="s">
        <v>548</v>
      </c>
      <c r="B143" s="3" t="s">
        <v>549</v>
      </c>
      <c r="C143" s="3" t="s">
        <v>51</v>
      </c>
      <c r="D143" s="3" t="s">
        <v>46</v>
      </c>
      <c r="E143" s="3" t="s">
        <v>96</v>
      </c>
      <c r="F143" s="3" t="s">
        <v>460</v>
      </c>
      <c r="G143" s="3" t="s">
        <v>550</v>
      </c>
      <c r="H143" s="3" t="str">
        <f>HYPERLINK("http://www.jccm.es/sede/tramite/LIE","AYUDAS DIRECTAS MANTENIMIENTO ACTIVIDAD DE LOS SECTORES MAS AFECTADOS DERIVADO DEL COVID19 (AUTONOMOS Y PYMES)")</f>
        <v>AYUDAS DIRECTAS MANTENIMIENTO ACTIVIDAD DE LOS SECTORES MAS AFECTADOS DERIVADO DEL COVID19 (AUTONOMOS Y PYMES)</v>
      </c>
      <c r="I143" s="3" t="s">
        <v>41</v>
      </c>
      <c r="J143" s="3" t="s">
        <v>41</v>
      </c>
      <c r="K143" s="3" t="s">
        <v>42</v>
      </c>
      <c r="L143" s="3" t="s">
        <v>41</v>
      </c>
    </row>
    <row r="144" spans="1:12" ht="129" customHeight="1">
      <c r="A144" s="3" t="s">
        <v>551</v>
      </c>
      <c r="B144" s="3" t="s">
        <v>552</v>
      </c>
      <c r="C144" s="3" t="s">
        <v>45</v>
      </c>
      <c r="D144" s="3" t="s">
        <v>46</v>
      </c>
      <c r="E144" s="3" t="s">
        <v>96</v>
      </c>
      <c r="F144" s="3" t="s">
        <v>328</v>
      </c>
      <c r="G144" s="3" t="s">
        <v>553</v>
      </c>
      <c r="H144" s="3" t="str">
        <f>HYPERLINK("http://www.jccm.es/sede/tramite/LIK","AYUDA ADICIONAL DEL 5% DEL SMI, PARA LAS PERSONAS TRABAJADORAS CON DISCAPACIDAD SEVERA DE LOS CENTROS ESPECIALES DE EMPLEO")</f>
        <v>AYUDA ADICIONAL DEL 5% DEL SMI, PARA LAS PERSONAS TRABAJADORAS CON DISCAPACIDAD SEVERA DE LOS CENTROS ESPECIALES DE EMPLEO</v>
      </c>
      <c r="I144" s="3" t="s">
        <v>41</v>
      </c>
      <c r="J144" s="3" t="s">
        <v>41</v>
      </c>
      <c r="K144" s="3" t="s">
        <v>42</v>
      </c>
      <c r="L144" s="3" t="s">
        <v>41</v>
      </c>
    </row>
    <row r="145" spans="1:12" ht="129" customHeight="1">
      <c r="A145" s="3" t="s">
        <v>554</v>
      </c>
      <c r="B145" s="3" t="s">
        <v>555</v>
      </c>
      <c r="C145" s="3" t="s">
        <v>556</v>
      </c>
      <c r="D145" s="3" t="s">
        <v>46</v>
      </c>
      <c r="E145" s="3" t="s">
        <v>96</v>
      </c>
      <c r="F145" s="3" t="s">
        <v>460</v>
      </c>
      <c r="G145" s="3" t="s">
        <v>557</v>
      </c>
      <c r="H145" s="3" t="str">
        <f>HYPERLINK("http://www.jccm.es/sede/tramite/LJK","PROGRAMA DE APOYO A LA INNOVACION: INNOVA-ADELANTE")</f>
        <v>PROGRAMA DE APOYO A LA INNOVACION: INNOVA-ADELANTE</v>
      </c>
      <c r="I145" s="3" t="s">
        <v>41</v>
      </c>
      <c r="J145" s="3" t="s">
        <v>41</v>
      </c>
      <c r="K145" s="3" t="s">
        <v>42</v>
      </c>
      <c r="L145" s="3" t="s">
        <v>41</v>
      </c>
    </row>
    <row r="146" spans="1:12" ht="129" customHeight="1">
      <c r="A146" s="3" t="s">
        <v>558</v>
      </c>
      <c r="B146" s="3" t="s">
        <v>559</v>
      </c>
      <c r="C146" s="3" t="s">
        <v>62</v>
      </c>
      <c r="D146" s="3" t="s">
        <v>46</v>
      </c>
      <c r="E146" s="3" t="s">
        <v>96</v>
      </c>
      <c r="F146" s="3" t="s">
        <v>120</v>
      </c>
      <c r="G146" s="3" t="s">
        <v>560</v>
      </c>
      <c r="H146" s="3" t="str">
        <f>HYPERLINK("http://www.jccm.es/sede/tramite/LKS","SUBVENCIONES A PERSONAS TRABAJADORAS AUTONOMAS Y PYMES DE CASTILLA-LA MANCHA DESTINADAS A FOMENTAR EL TRABAJO A DISTANCIA. EJERCICIO 2022.")</f>
        <v>SUBVENCIONES A PERSONAS TRABAJADORAS AUTONOMAS Y PYMES DE CASTILLA-LA MANCHA DESTINADAS A FOMENTAR EL TRABAJO A DISTANCIA. EJERCICIO 2022.</v>
      </c>
      <c r="I146" s="3" t="s">
        <v>41</v>
      </c>
      <c r="J146" s="3" t="s">
        <v>41</v>
      </c>
      <c r="K146" s="3" t="s">
        <v>42</v>
      </c>
      <c r="L146" s="3" t="s">
        <v>41</v>
      </c>
    </row>
    <row r="147" spans="1:12" ht="129" customHeight="1">
      <c r="A147" s="3" t="s">
        <v>561</v>
      </c>
      <c r="B147" s="3" t="s">
        <v>562</v>
      </c>
      <c r="C147" s="3" t="s">
        <v>51</v>
      </c>
      <c r="D147" s="3" t="s">
        <v>46</v>
      </c>
      <c r="E147" s="3" t="s">
        <v>96</v>
      </c>
      <c r="F147" s="3" t="s">
        <v>328</v>
      </c>
      <c r="G147" s="3" t="s">
        <v>563</v>
      </c>
      <c r="H147" s="3" t="str">
        <f>HYPERLINK("http://www.jccm.es/sede/tramite/LLT","AYUDAS DESTINADAS A PERSONAS AFECTADAS POR UN ERTE CON MOTIVO DEL COVID-19 Y QUE HAN PERDIDO SU PUESTO DE TRABAJO CON POSTERIORIDAD A SU FINALIZACION.")</f>
        <v>AYUDAS DESTINADAS A PERSONAS AFECTADAS POR UN ERTE CON MOTIVO DEL COVID-19 Y QUE HAN PERDIDO SU PUESTO DE TRABAJO CON POSTERIORIDAD A SU FINALIZACION.</v>
      </c>
      <c r="I147" s="3" t="s">
        <v>42</v>
      </c>
      <c r="J147" s="3" t="s">
        <v>41</v>
      </c>
      <c r="K147" s="3" t="s">
        <v>42</v>
      </c>
      <c r="L147" s="3" t="s">
        <v>41</v>
      </c>
    </row>
    <row r="148" spans="1:12" ht="129" customHeight="1">
      <c r="A148" s="3" t="s">
        <v>564</v>
      </c>
      <c r="B148" s="3" t="s">
        <v>565</v>
      </c>
      <c r="C148" s="3" t="s">
        <v>192</v>
      </c>
      <c r="D148" s="3" t="s">
        <v>46</v>
      </c>
      <c r="E148" s="3" t="s">
        <v>96</v>
      </c>
      <c r="F148" s="3" t="s">
        <v>460</v>
      </c>
      <c r="G148" s="3" t="s">
        <v>566</v>
      </c>
      <c r="H148" s="3" t="str">
        <f>HYPERLINK("http://www.jccm.es/sede/tramite/LM1","SUBVENCIONES PARA EL APOYO A LA SOLVENCIA EMPRESARIAL EN RESPUESTA A LA PANDEMIA DE LA COVID-19")</f>
        <v>SUBVENCIONES PARA EL APOYO A LA SOLVENCIA EMPRESARIAL EN RESPUESTA A LA PANDEMIA DE LA COVID-19</v>
      </c>
      <c r="I148" s="3" t="s">
        <v>41</v>
      </c>
      <c r="J148" s="3" t="s">
        <v>41</v>
      </c>
      <c r="K148" s="3" t="s">
        <v>42</v>
      </c>
      <c r="L148" s="3" t="s">
        <v>41</v>
      </c>
    </row>
    <row r="149" spans="1:12" ht="129" customHeight="1">
      <c r="A149" s="3" t="s">
        <v>567</v>
      </c>
      <c r="B149" s="3" t="s">
        <v>568</v>
      </c>
      <c r="C149" s="3" t="s">
        <v>95</v>
      </c>
      <c r="D149" s="3" t="s">
        <v>95</v>
      </c>
      <c r="E149" s="3" t="s">
        <v>96</v>
      </c>
      <c r="F149" s="3" t="s">
        <v>97</v>
      </c>
      <c r="G149" s="3" t="s">
        <v>569</v>
      </c>
      <c r="H149" s="3" t="str">
        <f>HYPERLINK("http://www.jccm.es/sede/tramite/LNU","JUSTIFICACION DE LA AYUDA NOMINATIVA GENERAL A FAVOR DE LA ASOCIACION RUTA DEL VINO DE LA MANCHA.")</f>
        <v>JUSTIFICACION DE LA AYUDA NOMINATIVA GENERAL A FAVOR DE LA ASOCIACION RUTA DEL VINO DE LA MANCHA.</v>
      </c>
      <c r="I149" s="3" t="s">
        <v>41</v>
      </c>
      <c r="J149" s="3" t="s">
        <v>41</v>
      </c>
      <c r="K149" s="3" t="s">
        <v>42</v>
      </c>
      <c r="L149" s="3" t="s">
        <v>41</v>
      </c>
    </row>
    <row r="150" spans="1:12" ht="129" customHeight="1">
      <c r="A150" s="3" t="s">
        <v>570</v>
      </c>
      <c r="B150" s="3" t="s">
        <v>571</v>
      </c>
      <c r="C150" s="3" t="s">
        <v>95</v>
      </c>
      <c r="D150" s="3" t="s">
        <v>95</v>
      </c>
      <c r="E150" s="3" t="s">
        <v>96</v>
      </c>
      <c r="F150" s="3" t="s">
        <v>97</v>
      </c>
      <c r="G150" s="3" t="s">
        <v>572</v>
      </c>
      <c r="H150" s="3" t="str">
        <f>HYPERLINK("http://www.jccm.es/sede/tramite/LNT","JUSTIFICACION DE UNA SUBVENCION A FAVOR DE LA ASOCIACIACION RUTA DEL VINO DE LA MANCHUELA.")</f>
        <v>JUSTIFICACION DE UNA SUBVENCION A FAVOR DE LA ASOCIACIACION RUTA DEL VINO DE LA MANCHUELA.</v>
      </c>
      <c r="I150" s="3" t="s">
        <v>41</v>
      </c>
      <c r="J150" s="3" t="s">
        <v>41</v>
      </c>
      <c r="K150" s="3" t="s">
        <v>42</v>
      </c>
      <c r="L150" s="3" t="s">
        <v>41</v>
      </c>
    </row>
    <row r="151" spans="1:12" ht="129" customHeight="1">
      <c r="A151" s="3" t="s">
        <v>573</v>
      </c>
      <c r="B151" s="3" t="s">
        <v>574</v>
      </c>
      <c r="C151" s="3" t="s">
        <v>95</v>
      </c>
      <c r="D151" s="3" t="s">
        <v>95</v>
      </c>
      <c r="E151" s="3" t="s">
        <v>96</v>
      </c>
      <c r="F151" s="3" t="s">
        <v>97</v>
      </c>
      <c r="G151" s="3" t="s">
        <v>575</v>
      </c>
      <c r="H151" s="3" t="str">
        <f>HYPERLINK("http://www.jccm.es/sede/tramite/LNV","JUSTIFICACION DE UNA SUBVENCION A FAVOR DE LA ASOCIACIACION RUTA DEL VINO DE VALDEPEÑAS")</f>
        <v>JUSTIFICACION DE UNA SUBVENCION A FAVOR DE LA ASOCIACIACION RUTA DEL VINO DE VALDEPEÑAS</v>
      </c>
      <c r="I151" s="3" t="s">
        <v>41</v>
      </c>
      <c r="J151" s="3" t="s">
        <v>41</v>
      </c>
      <c r="K151" s="3" t="s">
        <v>42</v>
      </c>
      <c r="L151" s="3" t="s">
        <v>41</v>
      </c>
    </row>
    <row r="152" spans="1:12" ht="129" customHeight="1">
      <c r="A152" s="3" t="s">
        <v>576</v>
      </c>
      <c r="B152" s="3" t="s">
        <v>577</v>
      </c>
      <c r="C152" s="3" t="s">
        <v>578</v>
      </c>
      <c r="D152" s="3" t="s">
        <v>95</v>
      </c>
      <c r="E152" s="3" t="s">
        <v>96</v>
      </c>
      <c r="F152" s="3" t="s">
        <v>97</v>
      </c>
      <c r="G152" s="3" t="s">
        <v>579</v>
      </c>
      <c r="H152" s="3" t="str">
        <f>HYPERLINK("http://www.jccm.es/sede/tramite/LQE","JUSTIFICACION DE LA AYUDA DIRECTA AL AYUNTAMIENTO DE CAMPO DE CRIPTANA PARA LA EJECUCION DEL PLAN DE MEJORA DE LOS RECURSOS TURISTICOS DE CAMPO DE CRIPTANA.")</f>
        <v>JUSTIFICACION DE LA AYUDA DIRECTA AL AYUNTAMIENTO DE CAMPO DE CRIPTANA PARA LA EJECUCION DEL PLAN DE MEJORA DE LOS RECURSOS TURISTICOS DE CAMPO DE CRIPTANA.</v>
      </c>
      <c r="I152" s="3" t="s">
        <v>41</v>
      </c>
      <c r="J152" s="3" t="s">
        <v>41</v>
      </c>
      <c r="K152" s="3" t="s">
        <v>42</v>
      </c>
      <c r="L152" s="3" t="s">
        <v>41</v>
      </c>
    </row>
    <row r="153" spans="1:12" ht="129" customHeight="1">
      <c r="A153" s="3" t="s">
        <v>580</v>
      </c>
      <c r="B153" s="3" t="s">
        <v>581</v>
      </c>
      <c r="C153" s="3" t="s">
        <v>578</v>
      </c>
      <c r="D153" s="3" t="s">
        <v>95</v>
      </c>
      <c r="E153" s="3" t="s">
        <v>96</v>
      </c>
      <c r="F153" s="3" t="s">
        <v>97</v>
      </c>
      <c r="G153" s="3" t="s">
        <v>582</v>
      </c>
      <c r="H153" s="3" t="str">
        <f>HYPERLINK("http://www.jccm.es/sede/tramite/LQL","JUSTIFICACION DE LA AYUDA DIRECTA AL AYUNTAMIENTO DE CMOLINA DE ARAGON PARA LA EJECUCION DEL PLAN DE RECONVERSION DE ZONAS TURISTICAS.")</f>
        <v>JUSTIFICACION DE LA AYUDA DIRECTA AL AYUNTAMIENTO DE CMOLINA DE ARAGON PARA LA EJECUCION DEL PLAN DE RECONVERSION DE ZONAS TURISTICAS.</v>
      </c>
      <c r="I153" s="3" t="s">
        <v>41</v>
      </c>
      <c r="J153" s="3" t="s">
        <v>41</v>
      </c>
      <c r="K153" s="3" t="s">
        <v>42</v>
      </c>
      <c r="L153" s="3" t="s">
        <v>41</v>
      </c>
    </row>
    <row r="154" spans="1:12" ht="129" customHeight="1">
      <c r="A154" s="3" t="s">
        <v>583</v>
      </c>
      <c r="B154" s="3" t="s">
        <v>584</v>
      </c>
      <c r="C154" s="3" t="s">
        <v>578</v>
      </c>
      <c r="D154" s="3" t="s">
        <v>95</v>
      </c>
      <c r="E154" s="3" t="s">
        <v>96</v>
      </c>
      <c r="F154" s="3" t="s">
        <v>97</v>
      </c>
      <c r="G154" s="3" t="s">
        <v>585</v>
      </c>
      <c r="H154" s="3" t="str">
        <f>HYPERLINK("http://www.jccm.es/sede/tramite/LQM","JUSTIFICACION DE LA AYUDA DIRECTA AL AYTO. DE ELCHE DE LA SIERRA PARA LA EJECUCION DE DETERMINADAS ACTUACIONES EN EL PROYECTO MUSEOLOGICO Y DE CONTENIDOS DEL MUSEO DE LAS ALFOMBRAS DE SERRIN")</f>
        <v>JUSTIFICACION DE LA AYUDA DIRECTA AL AYTO. DE ELCHE DE LA SIERRA PARA LA EJECUCION DE DETERMINADAS ACTUACIONES EN EL PROYECTO MUSEOLOGICO Y DE CONTENIDOS DEL MUSEO DE LAS ALFOMBRAS DE SERRIN</v>
      </c>
      <c r="I154" s="3" t="s">
        <v>41</v>
      </c>
      <c r="J154" s="3" t="s">
        <v>41</v>
      </c>
      <c r="K154" s="3" t="s">
        <v>42</v>
      </c>
      <c r="L154" s="3" t="s">
        <v>41</v>
      </c>
    </row>
    <row r="155" spans="1:12" ht="129" customHeight="1">
      <c r="A155" s="3" t="s">
        <v>586</v>
      </c>
      <c r="B155" s="3" t="s">
        <v>587</v>
      </c>
      <c r="C155" s="3" t="s">
        <v>232</v>
      </c>
      <c r="D155" s="3" t="s">
        <v>46</v>
      </c>
      <c r="E155" s="3" t="s">
        <v>96</v>
      </c>
      <c r="F155" s="3" t="s">
        <v>460</v>
      </c>
      <c r="G155" s="3" t="s">
        <v>588</v>
      </c>
      <c r="H155" s="3" t="str">
        <f>HYPERLINK("http://www.jccm.es/sede/tramite/LQR","SOLICITUD DE SUBVENCION DEL PROGRAMA ADELANTE DIGITALIZACION, PARA LA TRANSFORMACION DIGITAL DE LAS PYMES DE CASTILLA-LA MANCHA. (DISP 9.7 RESOL. 14/10/2021, CONV 2021)")</f>
        <v>SOLICITUD DE SUBVENCION DEL PROGRAMA ADELANTE DIGITALIZACION, PARA LA TRANSFORMACION DIGITAL DE LAS PYMES DE CASTILLA-LA MANCHA. (DISP 9.7 RESOL. 14/10/2021, CONV 2021)</v>
      </c>
      <c r="I155" s="3" t="s">
        <v>41</v>
      </c>
      <c r="J155" s="3" t="s">
        <v>41</v>
      </c>
      <c r="K155" s="3" t="s">
        <v>42</v>
      </c>
      <c r="L155" s="3" t="s">
        <v>41</v>
      </c>
    </row>
    <row r="156" spans="1:12" ht="129" customHeight="1">
      <c r="A156" s="3" t="s">
        <v>589</v>
      </c>
      <c r="B156" s="3" t="s">
        <v>590</v>
      </c>
      <c r="C156" s="3" t="s">
        <v>51</v>
      </c>
      <c r="D156" s="3" t="s">
        <v>46</v>
      </c>
      <c r="E156" s="3" t="s">
        <v>96</v>
      </c>
      <c r="F156" s="3" t="s">
        <v>328</v>
      </c>
      <c r="G156" s="3" t="s">
        <v>591</v>
      </c>
      <c r="H156" s="3" t="str">
        <f>HYPERLINK("http://www.jccm.es/sede/tramite/LR1","SUBVENCIONES DESTINADAS A FINANCIAR EL PROGRAMA DE PRIMERA EXPERIENCIA PROFESIONAL EN LAS ADMINISTRACIONES PUBLICAS, PLAN DE RECUPERACION, TRANSFORMACION Y RESILIENCIA  NEXT-GERENATION EU.")</f>
        <v>SUBVENCIONES DESTINADAS A FINANCIAR EL PROGRAMA DE PRIMERA EXPERIENCIA PROFESIONAL EN LAS ADMINISTRACIONES PUBLICAS, PLAN DE RECUPERACION, TRANSFORMACION Y RESILIENCIA  NEXT-GERENATION EU.</v>
      </c>
      <c r="I156" s="3" t="s">
        <v>41</v>
      </c>
      <c r="J156" s="3" t="s">
        <v>41</v>
      </c>
      <c r="K156" s="3" t="s">
        <v>42</v>
      </c>
      <c r="L156" s="3" t="s">
        <v>41</v>
      </c>
    </row>
    <row r="157" spans="1:12" ht="129" customHeight="1">
      <c r="A157" s="3" t="s">
        <v>592</v>
      </c>
      <c r="B157" s="3" t="s">
        <v>593</v>
      </c>
      <c r="C157" s="3" t="s">
        <v>51</v>
      </c>
      <c r="D157" s="3" t="s">
        <v>46</v>
      </c>
      <c r="E157" s="3" t="s">
        <v>96</v>
      </c>
      <c r="F157" s="3" t="s">
        <v>328</v>
      </c>
      <c r="G157" s="3" t="s">
        <v>594</v>
      </c>
      <c r="H157" s="3" t="str">
        <f>HYPERLINK("http://www.jccm.es/sede/tramite/LR2","SUBVENCIONES DESTINADAS A FINANCIAR EL PROGRAMA INVESTIGO EN  EL MARCO DEL PLAN DE RECUPERACION, TRANSFORMACION Y RESILIENCIA  FINANCIADO POR LA UNION EUROPEA-NEXTGERENATION EU.")</f>
        <v>SUBVENCIONES DESTINADAS A FINANCIAR EL PROGRAMA INVESTIGO EN  EL MARCO DEL PLAN DE RECUPERACION, TRANSFORMACION Y RESILIENCIA  FINANCIADO POR LA UNION EUROPEA-NEXTGERENATION EU.</v>
      </c>
      <c r="I157" s="3" t="s">
        <v>41</v>
      </c>
      <c r="J157" s="3" t="s">
        <v>41</v>
      </c>
      <c r="K157" s="3" t="s">
        <v>42</v>
      </c>
      <c r="L157" s="3" t="s">
        <v>41</v>
      </c>
    </row>
    <row r="158" spans="1:12" ht="129" customHeight="1">
      <c r="A158" s="3" t="s">
        <v>595</v>
      </c>
      <c r="B158" s="3" t="s">
        <v>596</v>
      </c>
      <c r="C158" s="3" t="s">
        <v>95</v>
      </c>
      <c r="D158" s="3" t="s">
        <v>95</v>
      </c>
      <c r="E158" s="3" t="s">
        <v>96</v>
      </c>
      <c r="F158" s="3" t="s">
        <v>120</v>
      </c>
      <c r="G158" s="3" t="s">
        <v>597</v>
      </c>
      <c r="H158" s="3" t="str">
        <f>HYPERLINK("http://www.jccm.es/sede/tramite/LTU","CONCESION DIRECTA DE SUBVENCIONES A LOS AYUNTAMIENTOS DE RIOPAR, ALMADEN, QUINTANAR DEL REY, MOLINA DE ARAGON Y BELVIS DE LA JARA, PARA LA PUESTA EN MARCHA DE UN ESPACIO COWORKING")</f>
        <v>CONCESION DIRECTA DE SUBVENCIONES A LOS AYUNTAMIENTOS DE RIOPAR, ALMADEN, QUINTANAR DEL REY, MOLINA DE ARAGON Y BELVIS DE LA JARA, PARA LA PUESTA EN MARCHA DE UN ESPACIO COWORKING</v>
      </c>
      <c r="I158" s="3" t="s">
        <v>41</v>
      </c>
      <c r="J158" s="3" t="s">
        <v>41</v>
      </c>
      <c r="K158" s="3" t="s">
        <v>42</v>
      </c>
      <c r="L158" s="3" t="s">
        <v>41</v>
      </c>
    </row>
    <row r="159" spans="1:12" ht="129" customHeight="1">
      <c r="A159" s="3" t="s">
        <v>598</v>
      </c>
      <c r="B159" s="3" t="s">
        <v>599</v>
      </c>
      <c r="C159" s="3" t="s">
        <v>36</v>
      </c>
      <c r="D159" s="3" t="s">
        <v>46</v>
      </c>
      <c r="E159" s="3" t="s">
        <v>96</v>
      </c>
      <c r="F159" s="3" t="s">
        <v>96</v>
      </c>
      <c r="G159" s="3" t="s">
        <v>600</v>
      </c>
      <c r="H159" s="3" t="str">
        <f>HYPERLINK("http://www.jccm.es/sede/tramite/LU9","SOLICITUD LINEA 2. PROGRAMA CLM MAS SEGURA.")</f>
        <v>SOLICITUD LINEA 2. PROGRAMA CLM MAS SEGURA.</v>
      </c>
      <c r="I159" s="3" t="s">
        <v>41</v>
      </c>
      <c r="J159" s="3" t="s">
        <v>41</v>
      </c>
      <c r="K159" s="3" t="s">
        <v>42</v>
      </c>
      <c r="L159" s="3" t="s">
        <v>41</v>
      </c>
    </row>
    <row r="160" spans="1:12" ht="129" customHeight="1">
      <c r="A160" s="3" t="s">
        <v>601</v>
      </c>
      <c r="B160" s="3" t="s">
        <v>602</v>
      </c>
      <c r="C160" s="3" t="s">
        <v>36</v>
      </c>
      <c r="D160" s="3" t="s">
        <v>46</v>
      </c>
      <c r="E160" s="3" t="s">
        <v>96</v>
      </c>
      <c r="F160" s="3" t="s">
        <v>96</v>
      </c>
      <c r="G160" s="3" t="s">
        <v>603</v>
      </c>
      <c r="H160" s="3" t="str">
        <f>HYPERLINK("http://www.jccm.es/sede/tramite/LUA","SOLICITUD LINEA 3. PROGRAMA CLM MAS SEGURA.")</f>
        <v>SOLICITUD LINEA 3. PROGRAMA CLM MAS SEGURA.</v>
      </c>
      <c r="I160" s="3" t="s">
        <v>41</v>
      </c>
      <c r="J160" s="3" t="s">
        <v>41</v>
      </c>
      <c r="K160" s="3" t="s">
        <v>42</v>
      </c>
      <c r="L160" s="3" t="s">
        <v>41</v>
      </c>
    </row>
    <row r="161" spans="1:12" ht="129" customHeight="1">
      <c r="A161" s="3" t="s">
        <v>604</v>
      </c>
      <c r="B161" s="3" t="s">
        <v>605</v>
      </c>
      <c r="C161" s="3" t="s">
        <v>36</v>
      </c>
      <c r="D161" s="3" t="s">
        <v>46</v>
      </c>
      <c r="E161" s="3" t="s">
        <v>96</v>
      </c>
      <c r="F161" s="3" t="s">
        <v>113</v>
      </c>
      <c r="G161" s="3" t="s">
        <v>606</v>
      </c>
      <c r="H161" s="3" t="str">
        <f>HYPERLINK("http://www.jccm.es/sede/tramite/LUB","SOLICITUD LINEA 4. PROGRAMA CLM MAS SEGURA.")</f>
        <v>SOLICITUD LINEA 4. PROGRAMA CLM MAS SEGURA.</v>
      </c>
      <c r="I161" s="3" t="s">
        <v>41</v>
      </c>
      <c r="J161" s="3" t="s">
        <v>41</v>
      </c>
      <c r="K161" s="3" t="s">
        <v>42</v>
      </c>
      <c r="L161" s="3" t="s">
        <v>41</v>
      </c>
    </row>
    <row r="162" spans="1:12" ht="129" customHeight="1">
      <c r="A162" s="3" t="s">
        <v>607</v>
      </c>
      <c r="B162" s="3" t="s">
        <v>608</v>
      </c>
      <c r="C162" s="3" t="s">
        <v>95</v>
      </c>
      <c r="D162" s="3" t="s">
        <v>95</v>
      </c>
      <c r="E162" s="3" t="s">
        <v>96</v>
      </c>
      <c r="F162" s="3" t="s">
        <v>97</v>
      </c>
      <c r="G162" s="3" t="s">
        <v>609</v>
      </c>
      <c r="H162" s="3" t="str">
        <f>HYPERLINK("http://www.jccm.es/sede/tramite/LV6","SUBVENCION  A FAVOR DE LA ASOCIACION RUTA DEL VINO DE ALMANSA.")</f>
        <v>SUBVENCION  A FAVOR DE LA ASOCIACION RUTA DEL VINO DE ALMANSA.</v>
      </c>
      <c r="I162" s="3" t="s">
        <v>41</v>
      </c>
      <c r="J162" s="3" t="s">
        <v>41</v>
      </c>
      <c r="K162" s="3" t="s">
        <v>42</v>
      </c>
      <c r="L162" s="3" t="s">
        <v>41</v>
      </c>
    </row>
    <row r="163" spans="1:12" ht="129" customHeight="1">
      <c r="A163" s="3" t="s">
        <v>610</v>
      </c>
      <c r="B163" s="3" t="s">
        <v>611</v>
      </c>
      <c r="C163" s="3" t="s">
        <v>45</v>
      </c>
      <c r="D163" s="3" t="s">
        <v>46</v>
      </c>
      <c r="E163" s="3" t="s">
        <v>96</v>
      </c>
      <c r="F163" s="3" t="s">
        <v>96</v>
      </c>
      <c r="G163" s="3" t="s">
        <v>612</v>
      </c>
      <c r="H163" s="3" t="str">
        <f>HYPERLINK("http://www.jccm.es/sede/tramite/LW7","SOLICITUD DE INCREMENTO DEL SALARIO MINIMO INTERPROFESIONAL DE LA LINEA 2 DE COSTES SALARIALES  DE LAS PERSONAS CON DISCAPACIDAD")</f>
        <v>SOLICITUD DE INCREMENTO DEL SALARIO MINIMO INTERPROFESIONAL DE LA LINEA 2 DE COSTES SALARIALES  DE LAS PERSONAS CON DISCAPACIDAD</v>
      </c>
      <c r="I163" s="3" t="s">
        <v>41</v>
      </c>
      <c r="J163" s="3" t="s">
        <v>41</v>
      </c>
      <c r="K163" s="3" t="s">
        <v>42</v>
      </c>
      <c r="L163" s="3" t="s">
        <v>41</v>
      </c>
    </row>
    <row r="164" spans="1:12" ht="129" customHeight="1">
      <c r="A164" s="3" t="s">
        <v>613</v>
      </c>
      <c r="B164" s="3" t="s">
        <v>614</v>
      </c>
      <c r="C164" s="3" t="s">
        <v>45</v>
      </c>
      <c r="D164" s="3" t="s">
        <v>46</v>
      </c>
      <c r="E164" s="3" t="s">
        <v>96</v>
      </c>
      <c r="F164" s="3" t="s">
        <v>96</v>
      </c>
      <c r="G164" s="3" t="s">
        <v>615</v>
      </c>
      <c r="H164" s="3" t="str">
        <f>HYPERLINK("http://www.jccm.es/sede/tramite/LW8","SUBVENCIONES DEL PROGRAMA DE INCLUSION LABORAL DE PERSONAS CON DISCAPACIDAD EN EL MERCADO PROTEGIDO DE CASTILLA-LA MANCHA-LINEA 3-ADAPTACION DE PUESTOS DE TRABAJO")</f>
        <v>SUBVENCIONES DEL PROGRAMA DE INCLUSION LABORAL DE PERSONAS CON DISCAPACIDAD EN EL MERCADO PROTEGIDO DE CASTILLA-LA MANCHA-LINEA 3-ADAPTACION DE PUESTOS DE TRABAJO</v>
      </c>
      <c r="I164" s="3" t="s">
        <v>41</v>
      </c>
      <c r="J164" s="3" t="s">
        <v>41</v>
      </c>
      <c r="K164" s="3" t="s">
        <v>42</v>
      </c>
      <c r="L164" s="3" t="s">
        <v>41</v>
      </c>
    </row>
    <row r="165" spans="1:12" ht="129" customHeight="1">
      <c r="A165" s="3" t="s">
        <v>616</v>
      </c>
      <c r="B165" s="3" t="s">
        <v>617</v>
      </c>
      <c r="C165" s="3" t="s">
        <v>618</v>
      </c>
      <c r="D165" s="3" t="s">
        <v>46</v>
      </c>
      <c r="E165" s="3" t="s">
        <v>96</v>
      </c>
      <c r="F165" s="3" t="s">
        <v>96</v>
      </c>
      <c r="G165" s="3" t="s">
        <v>619</v>
      </c>
      <c r="H165" s="3" t="str">
        <f>HYPERLINK("http://www.jccm.es/sede/tramite/LWH","LINEA 2. SUBVENCION PARA LA INCORPORACION, CON CARACTER INDEFINIDO, DE PERSONAS SOCIAS TRABAJADORAS O SOCIAS DE TRABAJO A COOPERATIVAS Y SOCIEDADES LABORALES")</f>
        <v>LINEA 2. SUBVENCION PARA LA INCORPORACION, CON CARACTER INDEFINIDO, DE PERSONAS SOCIAS TRABAJADORAS O SOCIAS DE TRABAJO A COOPERATIVAS Y SOCIEDADES LABORALES</v>
      </c>
      <c r="I165" s="3" t="s">
        <v>41</v>
      </c>
      <c r="J165" s="3" t="s">
        <v>41</v>
      </c>
      <c r="K165" s="3" t="s">
        <v>42</v>
      </c>
      <c r="L165" s="3" t="s">
        <v>41</v>
      </c>
    </row>
    <row r="166" spans="1:12" ht="129" customHeight="1">
      <c r="A166" s="3" t="s">
        <v>620</v>
      </c>
      <c r="B166" s="3" t="s">
        <v>621</v>
      </c>
      <c r="C166" s="3" t="s">
        <v>618</v>
      </c>
      <c r="D166" s="3" t="s">
        <v>46</v>
      </c>
      <c r="E166" s="3" t="s">
        <v>96</v>
      </c>
      <c r="F166" s="3" t="s">
        <v>96</v>
      </c>
      <c r="G166" s="3" t="s">
        <v>622</v>
      </c>
      <c r="H166" s="3" t="str">
        <f>HYPERLINK("http://www.jccm.es/sede/tramite/LWI","LINEA 3. SUBVENCION PARA LA REALIZACION DE ACTIVIDADES DE FORMACION, DIFUSION Y FOMENTO DE LA ECONOMIA SOCIAL VINCULADAS DIRECTAMENTE AL FOMENTO DEL EMPLEO.")</f>
        <v>LINEA 3. SUBVENCION PARA LA REALIZACION DE ACTIVIDADES DE FORMACION, DIFUSION Y FOMENTO DE LA ECONOMIA SOCIAL VINCULADAS DIRECTAMENTE AL FOMENTO DEL EMPLEO.</v>
      </c>
      <c r="I166" s="3" t="s">
        <v>41</v>
      </c>
      <c r="J166" s="3" t="s">
        <v>41</v>
      </c>
      <c r="K166" s="3" t="s">
        <v>42</v>
      </c>
      <c r="L166" s="3" t="s">
        <v>41</v>
      </c>
    </row>
    <row r="167" spans="1:12" ht="129" customHeight="1">
      <c r="A167" s="3" t="s">
        <v>623</v>
      </c>
      <c r="B167" s="3" t="s">
        <v>624</v>
      </c>
      <c r="C167" s="3" t="s">
        <v>625</v>
      </c>
      <c r="D167" s="3" t="s">
        <v>46</v>
      </c>
      <c r="E167" s="3" t="s">
        <v>96</v>
      </c>
      <c r="F167" s="3" t="s">
        <v>96</v>
      </c>
      <c r="G167" s="3" t="s">
        <v>626</v>
      </c>
      <c r="H167" s="3" t="str">
        <f>HYPERLINK("http://www.jccm.es/sede/tramite/LWJ","LINEA 4. SUBVENCION PARA LA PRESTACION DE ASISTENCIA TECNICA")</f>
        <v>LINEA 4. SUBVENCION PARA LA PRESTACION DE ASISTENCIA TECNICA</v>
      </c>
      <c r="I167" s="3" t="s">
        <v>41</v>
      </c>
      <c r="J167" s="3" t="s">
        <v>41</v>
      </c>
      <c r="K167" s="3" t="s">
        <v>42</v>
      </c>
      <c r="L167" s="3" t="s">
        <v>41</v>
      </c>
    </row>
    <row r="168" spans="1:12" ht="129" customHeight="1">
      <c r="A168" s="3" t="s">
        <v>627</v>
      </c>
      <c r="B168" s="3" t="s">
        <v>628</v>
      </c>
      <c r="C168" s="3" t="s">
        <v>95</v>
      </c>
      <c r="D168" s="3" t="s">
        <v>95</v>
      </c>
      <c r="E168" s="3" t="s">
        <v>96</v>
      </c>
      <c r="F168" s="3" t="s">
        <v>96</v>
      </c>
      <c r="G168" s="3" t="s">
        <v>629</v>
      </c>
      <c r="H168" s="3" t="str">
        <f>HYPERLINK("http://www.jccm.es/sede/tramite/LWT","SUBVENCION  A FAVOR DE LA ASOCIACION RUTA DEL VINO DE MENTRIDA-TOLEDO.")</f>
        <v>SUBVENCION  A FAVOR DE LA ASOCIACION RUTA DEL VINO DE MENTRIDA-TOLEDO.</v>
      </c>
      <c r="I168" s="3" t="s">
        <v>41</v>
      </c>
      <c r="J168" s="3" t="s">
        <v>41</v>
      </c>
      <c r="K168" s="3" t="s">
        <v>42</v>
      </c>
      <c r="L168" s="3" t="s">
        <v>41</v>
      </c>
    </row>
    <row r="169" spans="1:12" ht="129" customHeight="1">
      <c r="A169" s="3" t="s">
        <v>630</v>
      </c>
      <c r="B169" s="3" t="s">
        <v>631</v>
      </c>
      <c r="C169" s="3" t="s">
        <v>632</v>
      </c>
      <c r="D169" s="3" t="s">
        <v>46</v>
      </c>
      <c r="E169" s="3" t="s">
        <v>96</v>
      </c>
      <c r="F169" s="3" t="s">
        <v>328</v>
      </c>
      <c r="G169" s="3" t="s">
        <v>633</v>
      </c>
      <c r="H169" s="3" t="str">
        <f>HYPERLINK("http://www.jccm.es/sede/tramite/LXG","AYUDAS PARA LA ADAPTACION DE LOS PUESTOS DE TRABAJO DE PERSONAS TRABAJADORAS CON DISCAPACIDAD.")</f>
        <v>AYUDAS PARA LA ADAPTACION DE LOS PUESTOS DE TRABAJO DE PERSONAS TRABAJADORAS CON DISCAPACIDAD.</v>
      </c>
      <c r="I169" s="3" t="s">
        <v>41</v>
      </c>
      <c r="J169" s="3" t="s">
        <v>41</v>
      </c>
      <c r="K169" s="3" t="s">
        <v>42</v>
      </c>
      <c r="L169" s="3" t="s">
        <v>41</v>
      </c>
    </row>
    <row r="170" spans="1:12" ht="129" customHeight="1">
      <c r="A170" s="3" t="s">
        <v>634</v>
      </c>
      <c r="B170" s="3" t="s">
        <v>635</v>
      </c>
      <c r="C170" s="3" t="s">
        <v>632</v>
      </c>
      <c r="D170" s="3" t="s">
        <v>46</v>
      </c>
      <c r="E170" s="3" t="s">
        <v>96</v>
      </c>
      <c r="F170" s="3" t="s">
        <v>328</v>
      </c>
      <c r="G170" s="3" t="s">
        <v>636</v>
      </c>
      <c r="H170" s="3" t="str">
        <f>HYPERLINK("http://www.jccm.es/sede/tramite/LXH","AYUDAS PARA LA CONTRATACION INDEFINIDA DE TRABAJADORES CON DISCAPACIDAD, QUE PRESENTAN ESPECIALES DIFICULTADES PARA EL ACCESO AL MERCADO ORDINARIO DE TRABAJO, PROCEDENTES DE ENCLAVES LABORALES.")</f>
        <v>AYUDAS PARA LA CONTRATACION INDEFINIDA DE TRABAJADORES CON DISCAPACIDAD, QUE PRESENTAN ESPECIALES DIFICULTADES PARA EL ACCESO AL MERCADO ORDINARIO DE TRABAJO, PROCEDENTES DE ENCLAVES LABORALES.</v>
      </c>
      <c r="I170" s="3" t="s">
        <v>41</v>
      </c>
      <c r="J170" s="3" t="s">
        <v>41</v>
      </c>
      <c r="K170" s="3" t="s">
        <v>42</v>
      </c>
      <c r="L170" s="3" t="s">
        <v>41</v>
      </c>
    </row>
    <row r="171" spans="1:12" ht="129" customHeight="1">
      <c r="A171" s="3" t="s">
        <v>637</v>
      </c>
      <c r="B171" s="3" t="s">
        <v>638</v>
      </c>
      <c r="C171" s="3" t="s">
        <v>632</v>
      </c>
      <c r="D171" s="3" t="s">
        <v>46</v>
      </c>
      <c r="E171" s="3" t="s">
        <v>96</v>
      </c>
      <c r="F171" s="3" t="s">
        <v>328</v>
      </c>
      <c r="G171" s="3" t="s">
        <v>639</v>
      </c>
      <c r="H171" s="3" t="str">
        <f>HYPERLINK("http://www.jccm.es/sede/tramite/LXI","AYUDAS COSTES SALARIALES Y DE SEG. SOCIAL DEL PREPARADOR LABORAL. SUBVENCIONES PARA INSERCION LABORAL DE PERSONAS CON DISCAPACIDAD EN EL MERCADO ORDINARIO DE TRABAJO.")</f>
        <v>AYUDAS COSTES SALARIALES Y DE SEG. SOCIAL DEL PREPARADOR LABORAL. SUBVENCIONES PARA INSERCION LABORAL DE PERSONAS CON DISCAPACIDAD EN EL MERCADO ORDINARIO DE TRABAJO.</v>
      </c>
      <c r="I171" s="3" t="s">
        <v>41</v>
      </c>
      <c r="J171" s="3" t="s">
        <v>41</v>
      </c>
      <c r="K171" s="3" t="s">
        <v>42</v>
      </c>
      <c r="L171" s="3" t="s">
        <v>41</v>
      </c>
    </row>
    <row r="172" spans="1:12" ht="129" customHeight="1">
      <c r="A172" s="3" t="s">
        <v>640</v>
      </c>
      <c r="B172" s="3" t="s">
        <v>641</v>
      </c>
      <c r="C172" s="3" t="s">
        <v>45</v>
      </c>
      <c r="D172" s="3" t="s">
        <v>46</v>
      </c>
      <c r="E172" s="3" t="s">
        <v>96</v>
      </c>
      <c r="F172" s="3" t="s">
        <v>328</v>
      </c>
      <c r="G172" s="3" t="s">
        <v>642</v>
      </c>
      <c r="H172" s="3" t="str">
        <f>HYPERLINK("http://www.jccm.es/sede/tramite/LY1","LINEA 2 : AYUDAS PARA INCENTIVAR LA CONTRATACION FIJA-DISCONTINUA.")</f>
        <v>LINEA 2 : AYUDAS PARA INCENTIVAR LA CONTRATACION FIJA-DISCONTINUA.</v>
      </c>
      <c r="I172" s="3" t="s">
        <v>41</v>
      </c>
      <c r="J172" s="3" t="s">
        <v>41</v>
      </c>
      <c r="K172" s="3" t="s">
        <v>42</v>
      </c>
      <c r="L172" s="3" t="s">
        <v>41</v>
      </c>
    </row>
    <row r="173" spans="1:12" ht="129" customHeight="1">
      <c r="A173" s="3" t="s">
        <v>643</v>
      </c>
      <c r="B173" s="3" t="s">
        <v>644</v>
      </c>
      <c r="C173" s="3" t="s">
        <v>45</v>
      </c>
      <c r="D173" s="3" t="s">
        <v>46</v>
      </c>
      <c r="E173" s="3" t="s">
        <v>96</v>
      </c>
      <c r="F173" s="3" t="s">
        <v>328</v>
      </c>
      <c r="G173" s="3" t="s">
        <v>645</v>
      </c>
      <c r="H173" s="3" t="str">
        <f>HYPERLINK("http://www.jccm.es/sede/tramite/LY2","LINEA 1: AYUDAS PARA INCENTIVAR LA CONTRATACION INDEFINIDA.")</f>
        <v>LINEA 1: AYUDAS PARA INCENTIVAR LA CONTRATACION INDEFINIDA.</v>
      </c>
      <c r="I173" s="3" t="s">
        <v>41</v>
      </c>
      <c r="J173" s="3" t="s">
        <v>41</v>
      </c>
      <c r="K173" s="3" t="s">
        <v>42</v>
      </c>
      <c r="L173" s="3" t="s">
        <v>41</v>
      </c>
    </row>
    <row r="174" spans="1:12" ht="129" customHeight="1">
      <c r="A174" s="3" t="s">
        <v>646</v>
      </c>
      <c r="B174" s="3" t="s">
        <v>647</v>
      </c>
      <c r="C174" s="3" t="s">
        <v>45</v>
      </c>
      <c r="D174" s="3" t="s">
        <v>46</v>
      </c>
      <c r="E174" s="3" t="s">
        <v>96</v>
      </c>
      <c r="F174" s="3" t="s">
        <v>96</v>
      </c>
      <c r="G174" s="3" t="s">
        <v>648</v>
      </c>
      <c r="H174" s="3" t="str">
        <f>HYPERLINK("http://www.jccm.es/sede/tramite/LY3","LINEA 3; AYUDA PROGRAMA  CHEQUE TRANSICION .")</f>
        <v>LINEA 3; AYUDA PROGRAMA  CHEQUE TRANSICION .</v>
      </c>
      <c r="I174" s="3" t="s">
        <v>41</v>
      </c>
      <c r="J174" s="3" t="s">
        <v>41</v>
      </c>
      <c r="K174" s="3" t="s">
        <v>42</v>
      </c>
      <c r="L174" s="3" t="s">
        <v>41</v>
      </c>
    </row>
    <row r="175" spans="1:12" ht="129" customHeight="1">
      <c r="A175" s="3" t="s">
        <v>649</v>
      </c>
      <c r="B175" s="3" t="s">
        <v>650</v>
      </c>
      <c r="C175" s="3" t="s">
        <v>45</v>
      </c>
      <c r="D175" s="3" t="s">
        <v>46</v>
      </c>
      <c r="E175" s="3" t="s">
        <v>96</v>
      </c>
      <c r="F175" s="3" t="s">
        <v>328</v>
      </c>
      <c r="G175" s="3" t="s">
        <v>651</v>
      </c>
      <c r="H175" s="3" t="str">
        <f>HYPERLINK("http://www.jccm.es/sede/tramite/LY4","LINEA V:AYUDAS PARA LA CONVERSION EN CONTRATOS INDEFINIDOS DE CONTRATOS TEMPORALES CELEBRADOS ANTES DEL 31 DE DICIEMBRE DE 2021.")</f>
        <v>LINEA V:AYUDAS PARA LA CONVERSION EN CONTRATOS INDEFINIDOS DE CONTRATOS TEMPORALES CELEBRADOS ANTES DEL 31 DE DICIEMBRE DE 2021.</v>
      </c>
      <c r="I175" s="3" t="s">
        <v>41</v>
      </c>
      <c r="J175" s="3" t="s">
        <v>41</v>
      </c>
      <c r="K175" s="3" t="s">
        <v>42</v>
      </c>
      <c r="L175" s="3" t="s">
        <v>41</v>
      </c>
    </row>
    <row r="176" spans="1:12" ht="129" customHeight="1">
      <c r="A176" s="3" t="s">
        <v>652</v>
      </c>
      <c r="B176" s="3" t="s">
        <v>653</v>
      </c>
      <c r="C176" s="3" t="s">
        <v>45</v>
      </c>
      <c r="D176" s="3" t="s">
        <v>46</v>
      </c>
      <c r="E176" s="3" t="s">
        <v>96</v>
      </c>
      <c r="F176" s="3" t="s">
        <v>328</v>
      </c>
      <c r="G176" s="3" t="s">
        <v>654</v>
      </c>
      <c r="H176" s="3" t="str">
        <f>HYPERLINK("http://www.jccm.es/sede/tramite/LY5","LINEA IV; AYUDAS PARA LA CONVERSION DE CONTRATOS INDEFINIDOS A TIEMPO PARCIAL EN CONTRATOS INDEFINIDOS A JORNADA COMPLETA.")</f>
        <v>LINEA IV; AYUDAS PARA LA CONVERSION DE CONTRATOS INDEFINIDOS A TIEMPO PARCIAL EN CONTRATOS INDEFINIDOS A JORNADA COMPLETA.</v>
      </c>
      <c r="I176" s="3" t="s">
        <v>41</v>
      </c>
      <c r="J176" s="3" t="s">
        <v>41</v>
      </c>
      <c r="K176" s="3" t="s">
        <v>42</v>
      </c>
      <c r="L176" s="3" t="s">
        <v>41</v>
      </c>
    </row>
    <row r="177" spans="1:12" ht="129" customHeight="1">
      <c r="A177" s="3" t="s">
        <v>655</v>
      </c>
      <c r="B177" s="3" t="s">
        <v>656</v>
      </c>
      <c r="C177" s="3" t="s">
        <v>45</v>
      </c>
      <c r="D177" s="3" t="s">
        <v>46</v>
      </c>
      <c r="E177" s="3" t="s">
        <v>96</v>
      </c>
      <c r="F177" s="3" t="s">
        <v>130</v>
      </c>
      <c r="G177" s="3" t="s">
        <v>657</v>
      </c>
      <c r="H177" s="3" t="str">
        <f>HYPERLINK("http://www.jccm.es/sede/tramite/LYM","BECAS PARA LAS PARTICIPANTES EN LOS PROGRAMAS PERSONALIZADOS DE INSERCION SOCIOLABORAL CON COMPROMISO DE CONTRATACION PARA MUJERES VICTIMAS DE VIOLENCIA DE GENERO O DE TRATA Y EXPLOTACION SEXUAL")</f>
        <v>BECAS PARA LAS PARTICIPANTES EN LOS PROGRAMAS PERSONALIZADOS DE INSERCION SOCIOLABORAL CON COMPROMISO DE CONTRATACION PARA MUJERES VICTIMAS DE VIOLENCIA DE GENERO O DE TRATA Y EXPLOTACION SEXUAL</v>
      </c>
      <c r="I177" s="3" t="s">
        <v>42</v>
      </c>
      <c r="J177" s="3" t="s">
        <v>41</v>
      </c>
      <c r="K177" s="3" t="s">
        <v>42</v>
      </c>
      <c r="L177" s="3" t="s">
        <v>41</v>
      </c>
    </row>
    <row r="178" spans="1:12" ht="129" customHeight="1">
      <c r="A178" s="3" t="s">
        <v>658</v>
      </c>
      <c r="B178" s="3" t="s">
        <v>659</v>
      </c>
      <c r="C178" s="3" t="s">
        <v>660</v>
      </c>
      <c r="D178" s="3" t="s">
        <v>46</v>
      </c>
      <c r="E178" s="3" t="s">
        <v>96</v>
      </c>
      <c r="F178" s="3" t="s">
        <v>130</v>
      </c>
      <c r="G178" s="3" t="s">
        <v>661</v>
      </c>
      <c r="H178" s="3" t="str">
        <f>HYPERLINK("http://www.jccm.es/sede/tramite/LZ3","SUBVENCIONES PARA LA REALIZACION DE ACCIONES DE  FORMACION MODULAR PARA LA CUALIFICACION Y RECUALIFICACION DE LA POBLACION ACTIVA  (PLAN DE TRANSFORMACION, RECUPERACION Y RESILIENCIA)")</f>
        <v>SUBVENCIONES PARA LA REALIZACION DE ACCIONES DE  FORMACION MODULAR PARA LA CUALIFICACION Y RECUALIFICACION DE LA POBLACION ACTIVA  (PLAN DE TRANSFORMACION, RECUPERACION Y RESILIENCIA)</v>
      </c>
      <c r="I178" s="3" t="s">
        <v>41</v>
      </c>
      <c r="J178" s="3" t="s">
        <v>41</v>
      </c>
      <c r="K178" s="3" t="s">
        <v>42</v>
      </c>
      <c r="L178" s="3" t="s">
        <v>41</v>
      </c>
    </row>
    <row r="179" spans="1:12" ht="129" customHeight="1">
      <c r="A179" s="3" t="s">
        <v>662</v>
      </c>
      <c r="B179" s="3" t="s">
        <v>663</v>
      </c>
      <c r="C179" s="3" t="s">
        <v>95</v>
      </c>
      <c r="D179" s="3" t="s">
        <v>46</v>
      </c>
      <c r="E179" s="3" t="s">
        <v>96</v>
      </c>
      <c r="F179" s="3" t="s">
        <v>130</v>
      </c>
      <c r="G179" s="3" t="s">
        <v>664</v>
      </c>
      <c r="H179" s="3" t="str">
        <f>HYPERLINK("http://www.jccm.es/sede/tramite/LZ4","INSCRIPCION PARA LA REALIZACION DE ACCIONES DE FORMACION MODULAR PARA LA CUALIFICACION Y RECUALIFICACION (PLAN DE RECUPERACION,TRANSFORMACION Y RESILIENCIA- NEXT GENERATION-EU)")</f>
        <v>INSCRIPCION PARA LA REALIZACION DE ACCIONES DE FORMACION MODULAR PARA LA CUALIFICACION Y RECUALIFICACION (PLAN DE RECUPERACION,TRANSFORMACION Y RESILIENCIA- NEXT GENERATION-EU)</v>
      </c>
      <c r="I179" s="3" t="s">
        <v>42</v>
      </c>
      <c r="J179" s="3" t="s">
        <v>41</v>
      </c>
      <c r="K179" s="3" t="s">
        <v>42</v>
      </c>
      <c r="L179" s="3" t="s">
        <v>41</v>
      </c>
    </row>
    <row r="180" spans="1:12" ht="129" customHeight="1">
      <c r="A180" s="3" t="s">
        <v>665</v>
      </c>
      <c r="B180" s="3" t="s">
        <v>666</v>
      </c>
      <c r="C180" s="3" t="s">
        <v>45</v>
      </c>
      <c r="D180" s="3" t="s">
        <v>46</v>
      </c>
      <c r="E180" s="3" t="s">
        <v>96</v>
      </c>
      <c r="F180" s="3" t="s">
        <v>120</v>
      </c>
      <c r="G180" s="3" t="s">
        <v>667</v>
      </c>
      <c r="H180" s="3" t="str">
        <f>HYPERLINK("http://www.jccm.es/sede/tramite/IJE","AYUDAS PARA LA ELABORACION Y DESARROLLO DE ACTIVIDADES DE ACCION Y/O FORMACION SINDICAL CON CARGO AL FONDO DE AYUDA SINDICAL. SOLICITUD")</f>
        <v>AYUDAS PARA LA ELABORACION Y DESARROLLO DE ACTIVIDADES DE ACCION Y/O FORMACION SINDICAL CON CARGO AL FONDO DE AYUDA SINDICAL. SOLICITUD</v>
      </c>
      <c r="I180" s="3" t="s">
        <v>41</v>
      </c>
      <c r="J180" s="3" t="s">
        <v>41</v>
      </c>
      <c r="K180" s="3" t="s">
        <v>42</v>
      </c>
      <c r="L180" s="3" t="s">
        <v>41</v>
      </c>
    </row>
    <row r="181" spans="1:12" ht="129" customHeight="1">
      <c r="A181" s="3" t="s">
        <v>668</v>
      </c>
      <c r="B181" s="3" t="s">
        <v>669</v>
      </c>
      <c r="C181" s="3" t="s">
        <v>45</v>
      </c>
      <c r="D181" s="3" t="s">
        <v>46</v>
      </c>
      <c r="E181" s="3" t="s">
        <v>96</v>
      </c>
      <c r="F181" s="3" t="s">
        <v>120</v>
      </c>
      <c r="G181" s="3" t="s">
        <v>670</v>
      </c>
      <c r="H181" s="3" t="str">
        <f>HYPERLINK("http://www.jccm.es/sede/tramite/KMD","AYUDAS PARA LA ELABORACION Y DESARROLLO DE ACTIVIDADES DE ACCION Y/O FORMACION SINDICAL CON CARGO AL FONDO DE AYUDA SINDICAL. JUSTIFICACION")</f>
        <v>AYUDAS PARA LA ELABORACION Y DESARROLLO DE ACTIVIDADES DE ACCION Y/O FORMACION SINDICAL CON CARGO AL FONDO DE AYUDA SINDICAL. JUSTIFICACION</v>
      </c>
      <c r="I181" s="3" t="s">
        <v>41</v>
      </c>
      <c r="J181" s="3" t="s">
        <v>41</v>
      </c>
      <c r="K181" s="3" t="s">
        <v>42</v>
      </c>
      <c r="L181" s="3" t="s">
        <v>41</v>
      </c>
    </row>
    <row r="182" spans="1:12" ht="129" customHeight="1">
      <c r="A182" s="3" t="s">
        <v>671</v>
      </c>
      <c r="B182" s="3" t="s">
        <v>672</v>
      </c>
      <c r="C182" s="3" t="s">
        <v>70</v>
      </c>
      <c r="D182" s="3" t="s">
        <v>46</v>
      </c>
      <c r="E182" s="3" t="s">
        <v>96</v>
      </c>
      <c r="F182" s="3" t="s">
        <v>328</v>
      </c>
      <c r="G182" s="3" t="s">
        <v>673</v>
      </c>
      <c r="H182" s="3" t="str">
        <f>HYPERLINK("http://www.jccm.es/sede/tramite/KMM","JUSTIFICACION MENSUAL Y SOLICITUD DE ABONO DE AYUDA PARA EL MANTENIMIENTO DE PUESTOS DE TRABAJO DE PERSONAS CON DISCAPACIDAD: SUBVENCION DE COSTES SALARIALES")</f>
        <v>JUSTIFICACION MENSUAL Y SOLICITUD DE ABONO DE AYUDA PARA EL MANTENIMIENTO DE PUESTOS DE TRABAJO DE PERSONAS CON DISCAPACIDAD: SUBVENCION DE COSTES SALARIALES</v>
      </c>
      <c r="I182" s="3" t="s">
        <v>41</v>
      </c>
      <c r="J182" s="3" t="s">
        <v>41</v>
      </c>
      <c r="K182" s="3" t="s">
        <v>42</v>
      </c>
      <c r="L182" s="3" t="s">
        <v>41</v>
      </c>
    </row>
    <row r="183" spans="1:12" ht="129" customHeight="1">
      <c r="A183" s="3" t="s">
        <v>674</v>
      </c>
      <c r="B183" s="3" t="s">
        <v>675</v>
      </c>
      <c r="C183" s="3" t="s">
        <v>70</v>
      </c>
      <c r="D183" s="3" t="s">
        <v>46</v>
      </c>
      <c r="E183" s="3" t="s">
        <v>96</v>
      </c>
      <c r="F183" s="3" t="s">
        <v>328</v>
      </c>
      <c r="G183" s="3" t="s">
        <v>676</v>
      </c>
      <c r="H183" s="3" t="str">
        <f>HYPERLINK("http://www.jccm.es/sede/tramite/KML","SOLICITUD DE AYUDA PARA EL MANTENIMIENTO DE PUESTOS DE TRABAJO DE PERSONAS CON DISCAPACIDAD. SUBVENCION DE COSTES SALARIALES (SEGUNDO SEMESTRE)")</f>
        <v>SOLICITUD DE AYUDA PARA EL MANTENIMIENTO DE PUESTOS DE TRABAJO DE PERSONAS CON DISCAPACIDAD. SUBVENCION DE COSTES SALARIALES (SEGUNDO SEMESTRE)</v>
      </c>
      <c r="I183" s="3" t="s">
        <v>41</v>
      </c>
      <c r="J183" s="3" t="s">
        <v>41</v>
      </c>
      <c r="K183" s="3" t="s">
        <v>42</v>
      </c>
      <c r="L183" s="3" t="s">
        <v>41</v>
      </c>
    </row>
    <row r="184" spans="1:12" ht="129" customHeight="1">
      <c r="A184" s="3" t="s">
        <v>677</v>
      </c>
      <c r="B184" s="3" t="s">
        <v>678</v>
      </c>
      <c r="C184" s="3" t="s">
        <v>70</v>
      </c>
      <c r="D184" s="3" t="s">
        <v>46</v>
      </c>
      <c r="E184" s="3" t="s">
        <v>96</v>
      </c>
      <c r="F184" s="3" t="s">
        <v>328</v>
      </c>
      <c r="G184" s="3" t="s">
        <v>679</v>
      </c>
      <c r="H184" s="3" t="str">
        <f>HYPERLINK("http://www.jccm.es/sede/tramite/KMK","JUSTIFICACION DE AYUDAS A PROYECTOS GENERADORES DE EMPLEO MODALIDAD INVERSION EN ACTIVOS FIJOS")</f>
        <v>JUSTIFICACION DE AYUDAS A PROYECTOS GENERADORES DE EMPLEO MODALIDAD INVERSION EN ACTIVOS FIJOS</v>
      </c>
      <c r="I184" s="3" t="s">
        <v>41</v>
      </c>
      <c r="J184" s="3" t="s">
        <v>41</v>
      </c>
      <c r="K184" s="3" t="s">
        <v>42</v>
      </c>
      <c r="L184" s="3" t="s">
        <v>41</v>
      </c>
    </row>
    <row r="185" spans="1:12" ht="129" customHeight="1">
      <c r="A185" s="3" t="s">
        <v>680</v>
      </c>
      <c r="B185" s="3" t="s">
        <v>681</v>
      </c>
      <c r="C185" s="3" t="s">
        <v>70</v>
      </c>
      <c r="D185" s="3" t="s">
        <v>46</v>
      </c>
      <c r="E185" s="3" t="s">
        <v>96</v>
      </c>
      <c r="F185" s="3" t="s">
        <v>328</v>
      </c>
      <c r="G185" s="3" t="s">
        <v>682</v>
      </c>
      <c r="H185" s="3" t="str">
        <f>HYPERLINK("http://www.jccm.es/sede/tramite/JI6","SOLICITUD DE AYUDA PARA EL MANTENIMIENTO DE PUESTOS DE TRABAJO DE PERSONAS CON DISCAPACIDAD. SUBVENCION DE COSTES SALARIALES")</f>
        <v>SOLICITUD DE AYUDA PARA EL MANTENIMIENTO DE PUESTOS DE TRABAJO DE PERSONAS CON DISCAPACIDAD. SUBVENCION DE COSTES SALARIALES</v>
      </c>
      <c r="I185" s="3" t="s">
        <v>41</v>
      </c>
      <c r="J185" s="3" t="s">
        <v>41</v>
      </c>
      <c r="K185" s="3" t="s">
        <v>42</v>
      </c>
      <c r="L185" s="3" t="s">
        <v>41</v>
      </c>
    </row>
    <row r="186" spans="1:12" ht="129" customHeight="1">
      <c r="A186" s="3" t="s">
        <v>683</v>
      </c>
      <c r="B186" s="3" t="s">
        <v>684</v>
      </c>
      <c r="C186" s="3" t="s">
        <v>70</v>
      </c>
      <c r="D186" s="3" t="s">
        <v>46</v>
      </c>
      <c r="E186" s="3" t="s">
        <v>96</v>
      </c>
      <c r="F186" s="3" t="s">
        <v>328</v>
      </c>
      <c r="G186" s="3" t="s">
        <v>685</v>
      </c>
      <c r="H186" s="3" t="str">
        <f>HYPERLINK("http://www.jccm.es/sede/tramite/IY8","SUBVENCIONES DEL PROGRAMA DE INCLUSION LABORAL DE PERSONAS CON DISCAPACIDAD EN EL MERCADO PROTEGIDO DE CASTILLA-LA MANCHA-LINEA 1-INVERSION FIJA GENERADORA DE EMPLEO")</f>
        <v>SUBVENCIONES DEL PROGRAMA DE INCLUSION LABORAL DE PERSONAS CON DISCAPACIDAD EN EL MERCADO PROTEGIDO DE CASTILLA-LA MANCHA-LINEA 1-INVERSION FIJA GENERADORA DE EMPLEO</v>
      </c>
      <c r="I186" s="3" t="s">
        <v>41</v>
      </c>
      <c r="J186" s="3" t="s">
        <v>41</v>
      </c>
      <c r="K186" s="3" t="s">
        <v>42</v>
      </c>
      <c r="L186" s="3" t="s">
        <v>41</v>
      </c>
    </row>
    <row r="187" spans="1:12" ht="129" customHeight="1">
      <c r="A187" s="3" t="s">
        <v>686</v>
      </c>
      <c r="B187" s="3" t="s">
        <v>687</v>
      </c>
      <c r="C187" s="3" t="s">
        <v>36</v>
      </c>
      <c r="D187" s="3" t="s">
        <v>46</v>
      </c>
      <c r="E187" s="3" t="s">
        <v>96</v>
      </c>
      <c r="F187" s="3" t="s">
        <v>130</v>
      </c>
      <c r="G187" s="3" t="s">
        <v>688</v>
      </c>
      <c r="H187" s="3" t="str">
        <f>HYPERLINK("http://www.jccm.es/sede/tramite/JL0","CONVOCATORIA DE TALLERES DE EMPLEO")</f>
        <v>CONVOCATORIA DE TALLERES DE EMPLEO</v>
      </c>
      <c r="I187" s="3" t="s">
        <v>41</v>
      </c>
      <c r="J187" s="3" t="s">
        <v>41</v>
      </c>
      <c r="K187" s="3" t="s">
        <v>42</v>
      </c>
      <c r="L187" s="3" t="s">
        <v>41</v>
      </c>
    </row>
    <row r="188" spans="1:12" ht="129" customHeight="1">
      <c r="A188" s="3" t="s">
        <v>689</v>
      </c>
      <c r="B188" s="3" t="s">
        <v>690</v>
      </c>
      <c r="C188" s="3" t="s">
        <v>232</v>
      </c>
      <c r="D188" s="3" t="s">
        <v>46</v>
      </c>
      <c r="E188" s="3" t="s">
        <v>96</v>
      </c>
      <c r="F188" s="3" t="s">
        <v>130</v>
      </c>
      <c r="G188" s="3" t="s">
        <v>691</v>
      </c>
      <c r="H188" s="3" t="str">
        <f>HYPERLINK("http://www.jccm.es/sede/tramite/K0U","FORMACION DE OFERTA QUE SE IMPARTE EN LOS CENTROS DEPENDIENTES DE LA ADMINISTRACION AUTONOMICA (MODADALIDAD V)")</f>
        <v>FORMACION DE OFERTA QUE SE IMPARTE EN LOS CENTROS DEPENDIENTES DE LA ADMINISTRACION AUTONOMICA (MODADALIDAD V)</v>
      </c>
      <c r="I188" s="3" t="s">
        <v>41</v>
      </c>
      <c r="J188" s="3" t="s">
        <v>41</v>
      </c>
      <c r="K188" s="3" t="s">
        <v>42</v>
      </c>
      <c r="L188" s="3" t="s">
        <v>41</v>
      </c>
    </row>
    <row r="189" spans="1:12" ht="129" customHeight="1">
      <c r="A189" s="3" t="s">
        <v>692</v>
      </c>
      <c r="B189" s="3" t="s">
        <v>693</v>
      </c>
      <c r="C189" s="3" t="s">
        <v>232</v>
      </c>
      <c r="D189" s="3" t="s">
        <v>46</v>
      </c>
      <c r="E189" s="3" t="s">
        <v>96</v>
      </c>
      <c r="F189" s="3" t="s">
        <v>130</v>
      </c>
      <c r="G189" s="3" t="s">
        <v>694</v>
      </c>
      <c r="H189" s="3" t="str">
        <f>HYPERLINK("http://www.jccm.es/sede/tramite/J2N","SUBVENCIONES PARA LA REALIZACION DE ACCIONES DE FORMACION PROFESIONAL PARA EL EMPLEO, DIRIGIDAS A PERSONAS TRABAJADORAS DESEMPLEADAS (MODALIDAD II).")</f>
        <v>SUBVENCIONES PARA LA REALIZACION DE ACCIONES DE FORMACION PROFESIONAL PARA EL EMPLEO, DIRIGIDAS A PERSONAS TRABAJADORAS DESEMPLEADAS (MODALIDAD II).</v>
      </c>
      <c r="I189" s="3" t="s">
        <v>41</v>
      </c>
      <c r="J189" s="3" t="s">
        <v>41</v>
      </c>
      <c r="K189" s="3" t="s">
        <v>42</v>
      </c>
      <c r="L189" s="3" t="s">
        <v>41</v>
      </c>
    </row>
    <row r="190" spans="1:12" ht="129" customHeight="1">
      <c r="A190" s="3" t="s">
        <v>695</v>
      </c>
      <c r="B190" s="3" t="s">
        <v>696</v>
      </c>
      <c r="C190" s="3" t="s">
        <v>232</v>
      </c>
      <c r="D190" s="3" t="s">
        <v>46</v>
      </c>
      <c r="E190" s="3" t="s">
        <v>96</v>
      </c>
      <c r="F190" s="3" t="s">
        <v>130</v>
      </c>
      <c r="G190" s="3" t="s">
        <v>697</v>
      </c>
      <c r="H190" s="3" t="str">
        <f>HYPERLINK("http://www.jccm.es/sede/tramite/J2G","SUBVENCIONES PARA LA REALIZACION DE ACCIONES DE FORMACION PROFESIONAL PARA EL EMPLEO, DIRIGIDAS A PERSONAS TRABAJADORAS OCUPADAS (MODALIDAD I).")</f>
        <v>SUBVENCIONES PARA LA REALIZACION DE ACCIONES DE FORMACION PROFESIONAL PARA EL EMPLEO, DIRIGIDAS A PERSONAS TRABAJADORAS OCUPADAS (MODALIDAD I).</v>
      </c>
      <c r="I190" s="3" t="s">
        <v>41</v>
      </c>
      <c r="J190" s="3" t="s">
        <v>41</v>
      </c>
      <c r="K190" s="3" t="s">
        <v>42</v>
      </c>
      <c r="L190" s="3" t="s">
        <v>41</v>
      </c>
    </row>
    <row r="191" spans="1:12" ht="129" customHeight="1">
      <c r="A191" s="3" t="s">
        <v>698</v>
      </c>
      <c r="B191" s="3" t="s">
        <v>699</v>
      </c>
      <c r="C191" s="3" t="s">
        <v>700</v>
      </c>
      <c r="D191" s="3" t="s">
        <v>46</v>
      </c>
      <c r="E191" s="3" t="s">
        <v>96</v>
      </c>
      <c r="F191" s="3" t="s">
        <v>328</v>
      </c>
      <c r="G191" s="3" t="s">
        <v>701</v>
      </c>
      <c r="H191" s="3" t="str">
        <f>HYPERLINK("http://www.jccm.es/sede/tramite/K9I","SUBVENCIONES TRIMESTRALES DE ABONO DE CUOTAS A LA SEGURIDAD SOCIAL DE LOS PERCEPTORES DE LA PRESTACION POR DESEMPLEO EN SU MODALIDAD DE PAGO UNICO.")</f>
        <v>SUBVENCIONES TRIMESTRALES DE ABONO DE CUOTAS A LA SEGURIDAD SOCIAL DE LOS PERCEPTORES DE LA PRESTACION POR DESEMPLEO EN SU MODALIDAD DE PAGO UNICO.</v>
      </c>
      <c r="I191" s="3" t="s">
        <v>42</v>
      </c>
      <c r="J191" s="3" t="s">
        <v>41</v>
      </c>
      <c r="K191" s="3" t="s">
        <v>42</v>
      </c>
      <c r="L191" s="3" t="s">
        <v>41</v>
      </c>
    </row>
    <row r="192" spans="1:12" ht="129" customHeight="1">
      <c r="A192" s="3" t="s">
        <v>702</v>
      </c>
      <c r="B192" s="3" t="s">
        <v>703</v>
      </c>
      <c r="C192" s="3" t="s">
        <v>45</v>
      </c>
      <c r="D192" s="3" t="s">
        <v>46</v>
      </c>
      <c r="E192" s="3" t="s">
        <v>96</v>
      </c>
      <c r="F192" s="3" t="s">
        <v>113</v>
      </c>
      <c r="G192" s="3" t="s">
        <v>704</v>
      </c>
      <c r="H192" s="3" t="str">
        <f>HYPERLINK("http://www.jccm.es/sede/tramite/LEW","SOLICITUD. PROYECTOS DE PREVENCION Y PROTECCION FRENTE AL RIESGO BIOLOGICO DE CONTAGIO POR COVID-19 (MODALIDAD 3)")</f>
        <v>SOLICITUD. PROYECTOS DE PREVENCION Y PROTECCION FRENTE AL RIESGO BIOLOGICO DE CONTAGIO POR COVID-19 (MODALIDAD 3)</v>
      </c>
      <c r="I192" s="3" t="s">
        <v>41</v>
      </c>
      <c r="J192" s="3" t="s">
        <v>41</v>
      </c>
      <c r="K192" s="3" t="s">
        <v>42</v>
      </c>
      <c r="L192" s="3" t="s">
        <v>41</v>
      </c>
    </row>
    <row r="193" spans="1:12" ht="129" customHeight="1">
      <c r="A193" s="3" t="s">
        <v>705</v>
      </c>
      <c r="B193" s="3" t="s">
        <v>706</v>
      </c>
      <c r="C193" s="3" t="s">
        <v>45</v>
      </c>
      <c r="D193" s="3" t="s">
        <v>46</v>
      </c>
      <c r="E193" s="3" t="s">
        <v>96</v>
      </c>
      <c r="F193" s="3" t="s">
        <v>113</v>
      </c>
      <c r="G193" s="3" t="s">
        <v>707</v>
      </c>
      <c r="H193" s="3" t="str">
        <f>HYPERLINK("http://www.jccm.es/sede/tramite/K7W","MEMORIA JUSTIFICATIVA DE PROYECTOS DE INVERSION EN INSTALACIONES Y EQUIPOS QUE REDUNDEN EN LA MEJORA DE LAS CONDICIONES DE SEGURIDAD Y SALUD EN EMPRESAS Y CENTROS DE TRABAJO (MODALIDAD 2).")</f>
        <v>MEMORIA JUSTIFICATIVA DE PROYECTOS DE INVERSION EN INSTALACIONES Y EQUIPOS QUE REDUNDEN EN LA MEJORA DE LAS CONDICIONES DE SEGURIDAD Y SALUD EN EMPRESAS Y CENTROS DE TRABAJO (MODALIDAD 2).</v>
      </c>
      <c r="I193" s="3" t="s">
        <v>41</v>
      </c>
      <c r="J193" s="3" t="s">
        <v>41</v>
      </c>
      <c r="K193" s="3" t="s">
        <v>42</v>
      </c>
      <c r="L193" s="3" t="s">
        <v>41</v>
      </c>
    </row>
    <row r="194" spans="1:12" ht="129" customHeight="1">
      <c r="A194" s="3" t="s">
        <v>708</v>
      </c>
      <c r="B194" s="3" t="s">
        <v>709</v>
      </c>
      <c r="C194" s="3" t="s">
        <v>45</v>
      </c>
      <c r="D194" s="3" t="s">
        <v>46</v>
      </c>
      <c r="E194" s="3" t="s">
        <v>96</v>
      </c>
      <c r="F194" s="3" t="s">
        <v>113</v>
      </c>
      <c r="G194" s="3" t="s">
        <v>710</v>
      </c>
      <c r="H194" s="3" t="str">
        <f>HYPERLINK("http://www.jccm.es/sede/tramite/K07","SOLICITUD. PROYECTOS DE INVERSION EN INSTALACIONES Y EQUIPOS QUE REDUNDEN EN LA MEJORA DE LAS CONDICIONES DE SEGURIDAD Y SALUD EN EMPRESAS Y CENTROS DE TRABAJO (MODALIDAD 2)")</f>
        <v>SOLICITUD. PROYECTOS DE INVERSION EN INSTALACIONES Y EQUIPOS QUE REDUNDEN EN LA MEJORA DE LAS CONDICIONES DE SEGURIDAD Y SALUD EN EMPRESAS Y CENTROS DE TRABAJO (MODALIDAD 2)</v>
      </c>
      <c r="I194" s="3" t="s">
        <v>41</v>
      </c>
      <c r="J194" s="3" t="s">
        <v>41</v>
      </c>
      <c r="K194" s="3" t="s">
        <v>42</v>
      </c>
      <c r="L194" s="3" t="s">
        <v>41</v>
      </c>
    </row>
    <row r="195" spans="1:12" ht="129" customHeight="1">
      <c r="A195" s="3" t="s">
        <v>711</v>
      </c>
      <c r="B195" s="3" t="s">
        <v>712</v>
      </c>
      <c r="C195" s="3" t="s">
        <v>45</v>
      </c>
      <c r="D195" s="3" t="s">
        <v>46</v>
      </c>
      <c r="E195" s="3" t="s">
        <v>96</v>
      </c>
      <c r="F195" s="3" t="s">
        <v>113</v>
      </c>
      <c r="G195" s="3" t="s">
        <v>713</v>
      </c>
      <c r="H195" s="3" t="str">
        <f>HYPERLINK("http://www.jccm.es/sede/tramite/LEX","MEMORIA JUSTIFICATIVA DE LOS PROYECTOS DE PREVENCION Y PROTECCION FRENTE AL RIESGO BIOLOGICO DE CONTAGIO POR COVID-19 (MODALIDAD 3)")</f>
        <v>MEMORIA JUSTIFICATIVA DE LOS PROYECTOS DE PREVENCION Y PROTECCION FRENTE AL RIESGO BIOLOGICO DE CONTAGIO POR COVID-19 (MODALIDAD 3)</v>
      </c>
      <c r="I195" s="3" t="s">
        <v>41</v>
      </c>
      <c r="J195" s="3" t="s">
        <v>41</v>
      </c>
      <c r="K195" s="3" t="s">
        <v>42</v>
      </c>
      <c r="L195" s="3" t="s">
        <v>41</v>
      </c>
    </row>
    <row r="196" spans="1:12" ht="129" customHeight="1">
      <c r="A196" s="3" t="s">
        <v>714</v>
      </c>
      <c r="B196" s="3" t="s">
        <v>715</v>
      </c>
      <c r="C196" s="3" t="s">
        <v>632</v>
      </c>
      <c r="D196" s="3" t="s">
        <v>46</v>
      </c>
      <c r="E196" s="3" t="s">
        <v>96</v>
      </c>
      <c r="F196" s="3" t="s">
        <v>328</v>
      </c>
      <c r="G196" s="3" t="s">
        <v>716</v>
      </c>
      <c r="H196" s="3" t="str">
        <f>HYPERLINK("http://www.jccm.es/sede/tramite/K2D","AYUDAS PARA LA CONTRATACION INICIAL INDEFINIDA Y PARA LA TRANSFORMACION EN CONTRATOS POR TIEMPO INDEFINIDO DE CONTRATOS TEMPORALES DE PERSONAS TRABAJADORAS CON DISCAPACIDAD.")</f>
        <v>AYUDAS PARA LA CONTRATACION INICIAL INDEFINIDA Y PARA LA TRANSFORMACION EN CONTRATOS POR TIEMPO INDEFINIDO DE CONTRATOS TEMPORALES DE PERSONAS TRABAJADORAS CON DISCAPACIDAD.</v>
      </c>
      <c r="I196" s="3" t="s">
        <v>41</v>
      </c>
      <c r="J196" s="3" t="s">
        <v>41</v>
      </c>
      <c r="K196" s="3" t="s">
        <v>42</v>
      </c>
      <c r="L196" s="3" t="s">
        <v>41</v>
      </c>
    </row>
    <row r="197" spans="1:12" ht="129" customHeight="1">
      <c r="A197" s="3" t="s">
        <v>717</v>
      </c>
      <c r="B197" s="3" t="s">
        <v>718</v>
      </c>
      <c r="C197" s="3" t="s">
        <v>51</v>
      </c>
      <c r="D197" s="3" t="s">
        <v>46</v>
      </c>
      <c r="E197" s="3" t="s">
        <v>96</v>
      </c>
      <c r="F197" s="3" t="s">
        <v>113</v>
      </c>
      <c r="G197" s="3" t="s">
        <v>719</v>
      </c>
      <c r="H197" s="3" t="str">
        <f>HYPERLINK("http://www.jccm.es/sede/tramite/KB7","SUBVENCIONES PARA FOMENTAR EL DESARROLLO DE ACTIVIDADES DE ASESORAMIENTO, DIVULGACION Y DIFUSION EN MATERIA DE PREVENCION DE RIESGOS LABORALES.")</f>
        <v>SUBVENCIONES PARA FOMENTAR EL DESARROLLO DE ACTIVIDADES DE ASESORAMIENTO, DIVULGACION Y DIFUSION EN MATERIA DE PREVENCION DE RIESGOS LABORALES.</v>
      </c>
      <c r="I197" s="3" t="s">
        <v>41</v>
      </c>
      <c r="J197" s="3" t="s">
        <v>41</v>
      </c>
      <c r="K197" s="3" t="s">
        <v>42</v>
      </c>
      <c r="L197" s="3" t="s">
        <v>41</v>
      </c>
    </row>
    <row r="198" spans="1:12" ht="129" customHeight="1">
      <c r="A198" s="3" t="s">
        <v>720</v>
      </c>
      <c r="B198" s="3" t="s">
        <v>721</v>
      </c>
      <c r="C198" s="3" t="s">
        <v>51</v>
      </c>
      <c r="D198" s="3" t="s">
        <v>46</v>
      </c>
      <c r="E198" s="3" t="s">
        <v>96</v>
      </c>
      <c r="F198" s="3" t="s">
        <v>113</v>
      </c>
      <c r="G198" s="3" t="s">
        <v>722</v>
      </c>
      <c r="H198" s="3" t="str">
        <f>HYPERLINK("http://www.jccm.es/sede/tramite/KL1","JUSTIFICACION DE LOS PROGRAMAS. SUBVENCIONES PARA FOMENTAR EL DESARROLLO DE ACTIVIDADES DE ASESORAMIENTO, DIVULGACION Y DIFUSION EN MATERIA DE PREVENCION DE RIESGOS LABORALES.")</f>
        <v>JUSTIFICACION DE LOS PROGRAMAS. SUBVENCIONES PARA FOMENTAR EL DESARROLLO DE ACTIVIDADES DE ASESORAMIENTO, DIVULGACION Y DIFUSION EN MATERIA DE PREVENCION DE RIESGOS LABORALES.</v>
      </c>
      <c r="I198" s="3" t="s">
        <v>41</v>
      </c>
      <c r="J198" s="3" t="s">
        <v>41</v>
      </c>
      <c r="K198" s="3" t="s">
        <v>42</v>
      </c>
      <c r="L198" s="3" t="s">
        <v>41</v>
      </c>
    </row>
    <row r="199" spans="1:12" ht="129" customHeight="1">
      <c r="A199" s="3" t="s">
        <v>723</v>
      </c>
      <c r="B199" s="3" t="s">
        <v>724</v>
      </c>
      <c r="C199" s="3" t="s">
        <v>51</v>
      </c>
      <c r="D199" s="3" t="s">
        <v>46</v>
      </c>
      <c r="E199" s="3" t="s">
        <v>96</v>
      </c>
      <c r="F199" s="3" t="s">
        <v>460</v>
      </c>
      <c r="G199" s="3" t="s">
        <v>725</v>
      </c>
      <c r="H199" s="3" t="str">
        <f>HYPERLINK("http://www.jccm.es/sede/tramite/KHC","JUSTIFICACION FOMENTO DEL EMPRENDIMIENTO INNOVADOR")</f>
        <v>JUSTIFICACION FOMENTO DEL EMPRENDIMIENTO INNOVADOR</v>
      </c>
      <c r="I199" s="3" t="s">
        <v>41</v>
      </c>
      <c r="J199" s="3" t="s">
        <v>41</v>
      </c>
      <c r="K199" s="3" t="s">
        <v>42</v>
      </c>
      <c r="L199" s="3" t="s">
        <v>41</v>
      </c>
    </row>
    <row r="200" spans="1:12" ht="129" customHeight="1">
      <c r="A200" s="3" t="s">
        <v>726</v>
      </c>
      <c r="B200" s="3" t="s">
        <v>727</v>
      </c>
      <c r="C200" s="3" t="s">
        <v>51</v>
      </c>
      <c r="D200" s="3" t="s">
        <v>46</v>
      </c>
      <c r="E200" s="3" t="s">
        <v>96</v>
      </c>
      <c r="F200" s="3" t="s">
        <v>460</v>
      </c>
      <c r="G200" s="3" t="s">
        <v>728</v>
      </c>
      <c r="H200" s="3" t="str">
        <f>HYPERLINK("http://www.jccm.es/sede/tramite/KHB","FOMENTO DEL EMPRENDIMIENTO INNOVADOR")</f>
        <v>FOMENTO DEL EMPRENDIMIENTO INNOVADOR</v>
      </c>
      <c r="I200" s="3" t="s">
        <v>41</v>
      </c>
      <c r="J200" s="3" t="s">
        <v>41</v>
      </c>
      <c r="K200" s="3" t="s">
        <v>42</v>
      </c>
      <c r="L200" s="3" t="s">
        <v>41</v>
      </c>
    </row>
    <row r="201" spans="1:12" ht="129" customHeight="1">
      <c r="A201" s="3" t="s">
        <v>729</v>
      </c>
      <c r="B201" s="3" t="s">
        <v>730</v>
      </c>
      <c r="C201" s="3" t="s">
        <v>36</v>
      </c>
      <c r="D201" s="3" t="s">
        <v>46</v>
      </c>
      <c r="E201" s="3" t="s">
        <v>96</v>
      </c>
      <c r="F201" s="3" t="s">
        <v>460</v>
      </c>
      <c r="G201" s="3" t="s">
        <v>731</v>
      </c>
      <c r="H201" s="3" t="str">
        <f>HYPERLINK("http://www.jccm.es/sede/tramite/KIA","ABONO DE LAS SUBVENCIONES PARA EL FOMENTO DE LA INVERSION Y LA MEJORA DE LA PRODUCTIVIDAD EMPRESARIAL EN CASTILLA-LA MANCHA")</f>
        <v>ABONO DE LAS SUBVENCIONES PARA EL FOMENTO DE LA INVERSION Y LA MEJORA DE LA PRODUCTIVIDAD EMPRESARIAL EN CASTILLA-LA MANCHA</v>
      </c>
      <c r="I201" s="3" t="s">
        <v>41</v>
      </c>
      <c r="J201" s="3" t="s">
        <v>41</v>
      </c>
      <c r="K201" s="3" t="s">
        <v>42</v>
      </c>
      <c r="L201" s="3" t="s">
        <v>41</v>
      </c>
    </row>
    <row r="202" spans="1:12" ht="129" customHeight="1">
      <c r="A202" s="3" t="s">
        <v>732</v>
      </c>
      <c r="B202" s="3" t="s">
        <v>733</v>
      </c>
      <c r="C202" s="3" t="s">
        <v>36</v>
      </c>
      <c r="D202" s="3" t="s">
        <v>46</v>
      </c>
      <c r="E202" s="3" t="s">
        <v>96</v>
      </c>
      <c r="F202" s="3" t="s">
        <v>460</v>
      </c>
      <c r="G202" s="3" t="s">
        <v>734</v>
      </c>
      <c r="H202" s="3" t="str">
        <f>HYPERLINK("http://www.jccm.es/sede/tramite/KI9","SUBVENCIONES PARA EL FOMENTO DE LA INVERSION Y LA MEJORA DE LA PRODUCTIVIDAD EMPRESARIAL EN CASTILLA-LA MANCHA")</f>
        <v>SUBVENCIONES PARA EL FOMENTO DE LA INVERSION Y LA MEJORA DE LA PRODUCTIVIDAD EMPRESARIAL EN CASTILLA-LA MANCHA</v>
      </c>
      <c r="I202" s="3" t="s">
        <v>41</v>
      </c>
      <c r="J202" s="3" t="s">
        <v>41</v>
      </c>
      <c r="K202" s="3" t="s">
        <v>42</v>
      </c>
      <c r="L202" s="3" t="s">
        <v>41</v>
      </c>
    </row>
    <row r="203" spans="1:12" ht="129" customHeight="1">
      <c r="A203" s="3" t="s">
        <v>735</v>
      </c>
      <c r="B203" s="3" t="s">
        <v>736</v>
      </c>
      <c r="C203" s="3" t="s">
        <v>45</v>
      </c>
      <c r="D203" s="3" t="s">
        <v>46</v>
      </c>
      <c r="E203" s="3" t="s">
        <v>96</v>
      </c>
      <c r="F203" s="3" t="s">
        <v>97</v>
      </c>
      <c r="G203" s="3" t="s">
        <v>737</v>
      </c>
      <c r="H203" s="3" t="str">
        <f>HYPERLINK("http://www.jccm.es/sede/tramite/KIM","JUSTIFICACION DE LAS AYUDAS DESTINADAS A LA RECUPERACION Y FORTALECIMIENTO DEL COMERCIO MINORISTA DE CASTILLA-LA MANCHA ANTE LA CRISIS SANITARIA OCASIONADA POR EL COVID-19.")</f>
        <v>JUSTIFICACION DE LAS AYUDAS DESTINADAS A LA RECUPERACION Y FORTALECIMIENTO DEL COMERCIO MINORISTA DE CASTILLA-LA MANCHA ANTE LA CRISIS SANITARIA OCASIONADA POR EL COVID-19.</v>
      </c>
      <c r="I203" s="3" t="s">
        <v>41</v>
      </c>
      <c r="J203" s="3" t="s">
        <v>41</v>
      </c>
      <c r="K203" s="3" t="s">
        <v>42</v>
      </c>
      <c r="L203" s="3" t="s">
        <v>41</v>
      </c>
    </row>
    <row r="204" spans="1:12" ht="129" customHeight="1">
      <c r="A204" s="3" t="s">
        <v>738</v>
      </c>
      <c r="B204" s="3" t="s">
        <v>739</v>
      </c>
      <c r="C204" s="3" t="s">
        <v>442</v>
      </c>
      <c r="D204" s="3" t="s">
        <v>46</v>
      </c>
      <c r="E204" s="3" t="s">
        <v>96</v>
      </c>
      <c r="F204" s="3" t="s">
        <v>328</v>
      </c>
      <c r="G204" s="3" t="s">
        <v>740</v>
      </c>
      <c r="H204" s="3" t="str">
        <f>HYPERLINK("http://www.jccm.es/sede/tramite/KJ6","SUBVENCION POR LA FORMALIZACION DE CONTRATOS DE FORMACION EN ALTERNANCIA.")</f>
        <v>SUBVENCION POR LA FORMALIZACION DE CONTRATOS DE FORMACION EN ALTERNANCIA.</v>
      </c>
      <c r="I204" s="3" t="s">
        <v>41</v>
      </c>
      <c r="J204" s="3" t="s">
        <v>41</v>
      </c>
      <c r="K204" s="3" t="s">
        <v>42</v>
      </c>
      <c r="L204" s="3" t="s">
        <v>41</v>
      </c>
    </row>
    <row r="205" spans="1:12" ht="129" customHeight="1">
      <c r="A205" s="3" t="s">
        <v>741</v>
      </c>
      <c r="B205" s="3" t="s">
        <v>742</v>
      </c>
      <c r="C205" s="3" t="s">
        <v>442</v>
      </c>
      <c r="D205" s="3" t="s">
        <v>46</v>
      </c>
      <c r="E205" s="3" t="s">
        <v>96</v>
      </c>
      <c r="F205" s="3" t="s">
        <v>328</v>
      </c>
      <c r="G205" s="3" t="s">
        <v>743</v>
      </c>
      <c r="H205" s="3" t="str">
        <f>HYPERLINK("http://www.jccm.es/sede/tramite/KJ7","SUBVENCION POR LA FORMALIZACION DE CONTRATOS DE FORMACION PARA LA OBTENCION DE LA PRACTICA PROFESIONAL.")</f>
        <v>SUBVENCION POR LA FORMALIZACION DE CONTRATOS DE FORMACION PARA LA OBTENCION DE LA PRACTICA PROFESIONAL.</v>
      </c>
      <c r="I205" s="3" t="s">
        <v>41</v>
      </c>
      <c r="J205" s="3" t="s">
        <v>41</v>
      </c>
      <c r="K205" s="3" t="s">
        <v>42</v>
      </c>
      <c r="L205" s="3" t="s">
        <v>41</v>
      </c>
    </row>
    <row r="206" spans="1:12" ht="129" customHeight="1">
      <c r="A206" s="3" t="s">
        <v>744</v>
      </c>
      <c r="B206" s="3" t="s">
        <v>745</v>
      </c>
      <c r="C206" s="3" t="s">
        <v>442</v>
      </c>
      <c r="D206" s="3" t="s">
        <v>46</v>
      </c>
      <c r="E206" s="3" t="s">
        <v>96</v>
      </c>
      <c r="F206" s="3" t="s">
        <v>328</v>
      </c>
      <c r="G206" s="3" t="s">
        <v>746</v>
      </c>
      <c r="H206" s="3" t="str">
        <f>HYPERLINK("http://www.jccm.es/sede/tramite/KOV","SUBVENCION POR LA FORMALIZACION DE CONTRATOS DE RELEVO.")</f>
        <v>SUBVENCION POR LA FORMALIZACION DE CONTRATOS DE RELEVO.</v>
      </c>
      <c r="I206" s="3" t="s">
        <v>41</v>
      </c>
      <c r="J206" s="3" t="s">
        <v>41</v>
      </c>
      <c r="K206" s="3" t="s">
        <v>42</v>
      </c>
      <c r="L206" s="3" t="s">
        <v>41</v>
      </c>
    </row>
    <row r="207" spans="1:12" ht="129" customHeight="1">
      <c r="A207" s="3" t="s">
        <v>747</v>
      </c>
      <c r="B207" s="3" t="s">
        <v>748</v>
      </c>
      <c r="C207" s="3" t="s">
        <v>442</v>
      </c>
      <c r="D207" s="3" t="s">
        <v>46</v>
      </c>
      <c r="E207" s="3" t="s">
        <v>96</v>
      </c>
      <c r="F207" s="3" t="s">
        <v>328</v>
      </c>
      <c r="G207" s="3" t="s">
        <v>749</v>
      </c>
      <c r="H207" s="3" t="str">
        <f>HYPERLINK("http://www.jccm.es/sede/tramite/KJ8","SUBV TRANSFORMACION EN INDEFINIDOS DE CONTRATOS FORMATIVOS Y DE RELEVO Y CONTRATACION INDEFINIDA DE PERSONAS QUE HAYAN FINALIZADO UN CONTRATO FORMATIVO O DE RELEVO EN LOS 6 MESES ANTERIORES")</f>
        <v>SUBV TRANSFORMACION EN INDEFINIDOS DE CONTRATOS FORMATIVOS Y DE RELEVO Y CONTRATACION INDEFINIDA DE PERSONAS QUE HAYAN FINALIZADO UN CONTRATO FORMATIVO O DE RELEVO EN LOS 6 MESES ANTERIORES</v>
      </c>
      <c r="I207" s="3" t="s">
        <v>41</v>
      </c>
      <c r="J207" s="3" t="s">
        <v>41</v>
      </c>
      <c r="K207" s="3" t="s">
        <v>42</v>
      </c>
      <c r="L207" s="3" t="s">
        <v>41</v>
      </c>
    </row>
    <row r="208" spans="1:12" ht="129" customHeight="1">
      <c r="A208" s="3" t="s">
        <v>750</v>
      </c>
      <c r="B208" s="3" t="s">
        <v>751</v>
      </c>
      <c r="C208" s="3" t="s">
        <v>45</v>
      </c>
      <c r="D208" s="3" t="s">
        <v>46</v>
      </c>
      <c r="E208" s="3" t="s">
        <v>96</v>
      </c>
      <c r="F208" s="3" t="s">
        <v>328</v>
      </c>
      <c r="G208" s="3" t="s">
        <v>752</v>
      </c>
      <c r="H208" s="3" t="str">
        <f>HYPERLINK("http://www.jccm.es/sede/tramite/L6R","AYUDAS PARA SUFRAGAR EL SOBRECOSTE DE LOS CONTRATOS DEL PLAN DE EMPLEO 2018, CON MOTIVO DEL INCREMENTO DEL SALARIO MINIMO INTERPROFESIONAL PARA 2019.")</f>
        <v>AYUDAS PARA SUFRAGAR EL SOBRECOSTE DE LOS CONTRATOS DEL PLAN DE EMPLEO 2018, CON MOTIVO DEL INCREMENTO DEL SALARIO MINIMO INTERPROFESIONAL PARA 2019.</v>
      </c>
      <c r="I208" s="3" t="s">
        <v>41</v>
      </c>
      <c r="J208" s="3" t="s">
        <v>41</v>
      </c>
      <c r="K208" s="3" t="s">
        <v>42</v>
      </c>
      <c r="L208" s="3" t="s">
        <v>41</v>
      </c>
    </row>
    <row r="209" spans="1:12" ht="129" customHeight="1">
      <c r="A209" s="3" t="s">
        <v>753</v>
      </c>
      <c r="B209" s="3" t="s">
        <v>754</v>
      </c>
      <c r="C209" s="3" t="s">
        <v>45</v>
      </c>
      <c r="D209" s="3" t="s">
        <v>46</v>
      </c>
      <c r="E209" s="3" t="s">
        <v>96</v>
      </c>
      <c r="F209" s="3" t="s">
        <v>328</v>
      </c>
      <c r="G209" s="3" t="s">
        <v>755</v>
      </c>
      <c r="H209" s="3" t="str">
        <f>HYPERLINK("http://www.jccm.es/sede/tramite/KJC","AYUDAS A ENTIDADES LOCALES PARA  LA CONTRATACION DE PERSONAS DESEMPLEADAS Y EN SITUACION DE EXCLUSION SOCIAL, COFINANCIADA POR EL FONDO SOCIAL EUROPEO.")</f>
        <v>AYUDAS A ENTIDADES LOCALES PARA  LA CONTRATACION DE PERSONAS DESEMPLEADAS Y EN SITUACION DE EXCLUSION SOCIAL, COFINANCIADA POR EL FONDO SOCIAL EUROPEO.</v>
      </c>
      <c r="I209" s="3" t="s">
        <v>41</v>
      </c>
      <c r="J209" s="3" t="s">
        <v>41</v>
      </c>
      <c r="K209" s="3" t="s">
        <v>42</v>
      </c>
      <c r="L209" s="3" t="s">
        <v>41</v>
      </c>
    </row>
    <row r="210" spans="1:12" ht="129" customHeight="1">
      <c r="A210" s="3" t="s">
        <v>756</v>
      </c>
      <c r="B210" s="3" t="s">
        <v>757</v>
      </c>
      <c r="C210" s="3" t="s">
        <v>758</v>
      </c>
      <c r="D210" s="3" t="s">
        <v>46</v>
      </c>
      <c r="E210" s="3" t="s">
        <v>96</v>
      </c>
      <c r="F210" s="3" t="s">
        <v>97</v>
      </c>
      <c r="G210" s="3" t="s">
        <v>759</v>
      </c>
      <c r="H210" s="3" t="str">
        <f>HYPERLINK("http://www.jccm.es/sede/tramite/KLG","PREMIOS REGIONALES DE ARTESANIA DE CASTILLA-LA MANCHA PARA 2022.")</f>
        <v>PREMIOS REGIONALES DE ARTESANIA DE CASTILLA-LA MANCHA PARA 2022.</v>
      </c>
      <c r="I210" s="3" t="s">
        <v>41</v>
      </c>
      <c r="J210" s="3" t="s">
        <v>41</v>
      </c>
      <c r="K210" s="3" t="s">
        <v>42</v>
      </c>
      <c r="L210" s="3" t="s">
        <v>41</v>
      </c>
    </row>
    <row r="211" spans="1:12" ht="129" customHeight="1">
      <c r="A211" s="3" t="s">
        <v>760</v>
      </c>
      <c r="B211" s="3" t="s">
        <v>761</v>
      </c>
      <c r="C211" s="3" t="s">
        <v>556</v>
      </c>
      <c r="D211" s="3" t="s">
        <v>46</v>
      </c>
      <c r="E211" s="3" t="s">
        <v>96</v>
      </c>
      <c r="F211" s="3" t="s">
        <v>113</v>
      </c>
      <c r="G211" s="3" t="s">
        <v>762</v>
      </c>
      <c r="H211" s="3" t="str">
        <f>HYPERLINK("http://www.jccm.es/sede/tramite/KLQ","SUBVENCIONES PARA PROMOVER INVERSIONES DESTINADAS A MEJORAR LAS CONDICIONES DE SEGURIDAD LABORAL EN EL SECTOR DE LA CONSTRUCCION.")</f>
        <v>SUBVENCIONES PARA PROMOVER INVERSIONES DESTINADAS A MEJORAR LAS CONDICIONES DE SEGURIDAD LABORAL EN EL SECTOR DE LA CONSTRUCCION.</v>
      </c>
      <c r="I211" s="3" t="s">
        <v>41</v>
      </c>
      <c r="J211" s="3" t="s">
        <v>41</v>
      </c>
      <c r="K211" s="3" t="s">
        <v>42</v>
      </c>
      <c r="L211" s="3" t="s">
        <v>41</v>
      </c>
    </row>
    <row r="212" spans="1:12" ht="129" customHeight="1">
      <c r="A212" s="3" t="s">
        <v>763</v>
      </c>
      <c r="B212" s="3" t="s">
        <v>764</v>
      </c>
      <c r="C212" s="3" t="s">
        <v>556</v>
      </c>
      <c r="D212" s="3" t="s">
        <v>46</v>
      </c>
      <c r="E212" s="3" t="s">
        <v>96</v>
      </c>
      <c r="F212" s="3" t="s">
        <v>113</v>
      </c>
      <c r="G212" s="3" t="s">
        <v>765</v>
      </c>
      <c r="H212" s="3" t="str">
        <f>HYPERLINK("http://www.jccm.es/sede/tramite/KLR","MEMORIA JUSTIFICATIVA DE LAS INVERSIONES DESTINADAS A MEJORAR LAS CONDICIONES DE SEGURIDAD LABORAL EN EL SECTOR DE LA CONSTRUCCION.")</f>
        <v>MEMORIA JUSTIFICATIVA DE LAS INVERSIONES DESTINADAS A MEJORAR LAS CONDICIONES DE SEGURIDAD LABORAL EN EL SECTOR DE LA CONSTRUCCION.</v>
      </c>
      <c r="I212" s="3" t="s">
        <v>41</v>
      </c>
      <c r="J212" s="3" t="s">
        <v>41</v>
      </c>
      <c r="K212" s="3" t="s">
        <v>42</v>
      </c>
      <c r="L212" s="3" t="s">
        <v>41</v>
      </c>
    </row>
    <row r="213" spans="1:12" ht="129" customHeight="1">
      <c r="A213" s="3" t="s">
        <v>766</v>
      </c>
      <c r="B213" s="3" t="s">
        <v>767</v>
      </c>
      <c r="C213" s="3" t="s">
        <v>45</v>
      </c>
      <c r="D213" s="3" t="s">
        <v>46</v>
      </c>
      <c r="E213" s="3" t="s">
        <v>96</v>
      </c>
      <c r="F213" s="3" t="s">
        <v>97</v>
      </c>
      <c r="G213" s="3" t="s">
        <v>768</v>
      </c>
      <c r="H213" s="3" t="str">
        <f>HYPERLINK("http://www.jccm.es/sede/tramite/KLT","JUSTIFICACION DE LAS AYUDAS DESTINADAS A LA PROMOCION DE LA ACTIVIDAD PRODUCTIVA Y COMERCIAL Y A LA DIGITALIZACION DEL SECTOR ARTESANO ANTE LA CRISIS DE LA COVID-19.")</f>
        <v>JUSTIFICACION DE LAS AYUDAS DESTINADAS A LA PROMOCION DE LA ACTIVIDAD PRODUCTIVA Y COMERCIAL Y A LA DIGITALIZACION DEL SECTOR ARTESANO ANTE LA CRISIS DE LA COVID-19.</v>
      </c>
      <c r="I213" s="3" t="s">
        <v>41</v>
      </c>
      <c r="J213" s="3" t="s">
        <v>41</v>
      </c>
      <c r="K213" s="3" t="s">
        <v>42</v>
      </c>
      <c r="L213" s="3" t="s">
        <v>41</v>
      </c>
    </row>
    <row r="214" spans="1:12" ht="129" customHeight="1">
      <c r="A214" s="3" t="s">
        <v>769</v>
      </c>
      <c r="B214" s="3" t="s">
        <v>770</v>
      </c>
      <c r="C214" s="3" t="s">
        <v>45</v>
      </c>
      <c r="D214" s="3" t="s">
        <v>46</v>
      </c>
      <c r="E214" s="3" t="s">
        <v>96</v>
      </c>
      <c r="F214" s="3" t="s">
        <v>97</v>
      </c>
      <c r="G214" s="3" t="s">
        <v>771</v>
      </c>
      <c r="H214" s="3" t="str">
        <f>HYPERLINK("http://www.jccm.es/sede/tramite/KLS","AYUDAS DESTINADAS A LA DIGITALIZACION Y A LA PROMOCION DE LA ACTIVIDAD COMERCIAL Y PRODUCTIVA DEL SECTOR ARTESANO DE CASTILLA-LA MANCHA, PARA EL EJERCICIO 2022.")</f>
        <v>AYUDAS DESTINADAS A LA DIGITALIZACION Y A LA PROMOCION DE LA ACTIVIDAD COMERCIAL Y PRODUCTIVA DEL SECTOR ARTESANO DE CASTILLA-LA MANCHA, PARA EL EJERCICIO 2022.</v>
      </c>
      <c r="I214" s="3" t="s">
        <v>41</v>
      </c>
      <c r="J214" s="3" t="s">
        <v>41</v>
      </c>
      <c r="K214" s="3" t="s">
        <v>42</v>
      </c>
      <c r="L214" s="3" t="s">
        <v>41</v>
      </c>
    </row>
    <row r="215" spans="1:12" ht="129" customHeight="1">
      <c r="A215" s="3" t="s">
        <v>772</v>
      </c>
      <c r="B215" s="3" t="s">
        <v>773</v>
      </c>
      <c r="C215" s="3" t="s">
        <v>556</v>
      </c>
      <c r="D215" s="3" t="s">
        <v>46</v>
      </c>
      <c r="E215" s="3" t="s">
        <v>96</v>
      </c>
      <c r="F215" s="3" t="s">
        <v>460</v>
      </c>
      <c r="G215" s="3" t="s">
        <v>774</v>
      </c>
      <c r="H215" s="3" t="str">
        <f>HYPERLINK("http://www.jccm.es/sede/tramite/KMJ","JUSTIFICACION PROGRAMA DE APOYO A LA INNOVACION: INNOVA-ADELANTE.")</f>
        <v>JUSTIFICACION PROGRAMA DE APOYO A LA INNOVACION: INNOVA-ADELANTE.</v>
      </c>
      <c r="I215" s="3" t="s">
        <v>41</v>
      </c>
      <c r="J215" s="3" t="s">
        <v>41</v>
      </c>
      <c r="K215" s="3" t="s">
        <v>42</v>
      </c>
      <c r="L215" s="3" t="s">
        <v>41</v>
      </c>
    </row>
    <row r="216" spans="1:12" ht="129" customHeight="1">
      <c r="A216" s="3" t="s">
        <v>775</v>
      </c>
      <c r="B216" s="3" t="s">
        <v>776</v>
      </c>
      <c r="C216" s="3" t="s">
        <v>777</v>
      </c>
      <c r="D216" s="3" t="s">
        <v>46</v>
      </c>
      <c r="E216" s="3" t="s">
        <v>96</v>
      </c>
      <c r="F216" s="3" t="s">
        <v>460</v>
      </c>
      <c r="G216" s="3" t="s">
        <v>778</v>
      </c>
      <c r="H216" s="3" t="str">
        <f>HYPERLINK("http://www.jccm.es/sede/tramite/KOD","SOLICITUD DE ABONO DE LA SUBVENCION DEL PROGRAMA ADELANTE DIGITALIZACION, PARA LA TRANSFORMACION DIGITAL DE LAS PYMES DE CASTILLA-LA MANCHA.")</f>
        <v>SOLICITUD DE ABONO DE LA SUBVENCION DEL PROGRAMA ADELANTE DIGITALIZACION, PARA LA TRANSFORMACION DIGITAL DE LAS PYMES DE CASTILLA-LA MANCHA.</v>
      </c>
      <c r="I216" s="3" t="s">
        <v>41</v>
      </c>
      <c r="J216" s="3" t="s">
        <v>41</v>
      </c>
      <c r="K216" s="3" t="s">
        <v>42</v>
      </c>
      <c r="L216" s="3" t="s">
        <v>41</v>
      </c>
    </row>
    <row r="217" spans="1:12" ht="129" customHeight="1">
      <c r="A217" s="3" t="s">
        <v>779</v>
      </c>
      <c r="B217" s="3" t="s">
        <v>780</v>
      </c>
      <c r="C217" s="3" t="s">
        <v>777</v>
      </c>
      <c r="D217" s="3" t="s">
        <v>46</v>
      </c>
      <c r="E217" s="3" t="s">
        <v>96</v>
      </c>
      <c r="F217" s="3" t="s">
        <v>460</v>
      </c>
      <c r="G217" s="3" t="s">
        <v>781</v>
      </c>
      <c r="H217" s="3" t="str">
        <f>HYPERLINK("http://www.jccm.es/sede/tramite/KOC","SOLICITUD DE SUBVENCION DEL PROGRAMA ADELANTE DIGITALIZACION, PARA LA TRANSFORMACION DIGITAL DE LAS PYMES DE CASTILLA-LA MANCHA.")</f>
        <v>SOLICITUD DE SUBVENCION DEL PROGRAMA ADELANTE DIGITALIZACION, PARA LA TRANSFORMACION DIGITAL DE LAS PYMES DE CASTILLA-LA MANCHA.</v>
      </c>
      <c r="I217" s="3" t="s">
        <v>41</v>
      </c>
      <c r="J217" s="3" t="s">
        <v>41</v>
      </c>
      <c r="K217" s="3" t="s">
        <v>42</v>
      </c>
      <c r="L217" s="3" t="s">
        <v>41</v>
      </c>
    </row>
    <row r="218" spans="1:12" ht="129" customHeight="1">
      <c r="A218" s="3" t="s">
        <v>782</v>
      </c>
      <c r="B218" s="3" t="s">
        <v>776</v>
      </c>
      <c r="C218" s="3" t="s">
        <v>777</v>
      </c>
      <c r="D218" s="3" t="s">
        <v>46</v>
      </c>
      <c r="E218" s="3" t="s">
        <v>96</v>
      </c>
      <c r="F218" s="3" t="s">
        <v>460</v>
      </c>
      <c r="G218" s="3" t="s">
        <v>783</v>
      </c>
      <c r="H218" s="3" t="str">
        <f>HYPERLINK("http://www.jccm.es/sede/tramite/LPE","SOLICITUD DE ABONO DE LA SUBVENCION DEL PROGRAMA ADELANTE DIGITALIZACION, PARA LA TRANSFORMACION DIGITAL DE LAS PYMES DE CASTILLA-LA MANCHA.")</f>
        <v>SOLICITUD DE ABONO DE LA SUBVENCION DEL PROGRAMA ADELANTE DIGITALIZACION, PARA LA TRANSFORMACION DIGITAL DE LAS PYMES DE CASTILLA-LA MANCHA.</v>
      </c>
      <c r="I218" s="3" t="s">
        <v>41</v>
      </c>
      <c r="J218" s="3" t="s">
        <v>41</v>
      </c>
      <c r="K218" s="3" t="s">
        <v>42</v>
      </c>
      <c r="L218" s="3" t="s">
        <v>41</v>
      </c>
    </row>
    <row r="219" spans="1:12" ht="129" customHeight="1">
      <c r="A219" s="3" t="s">
        <v>784</v>
      </c>
      <c r="B219" s="3" t="s">
        <v>785</v>
      </c>
      <c r="C219" s="3" t="s">
        <v>786</v>
      </c>
      <c r="D219" s="3" t="s">
        <v>46</v>
      </c>
      <c r="E219" s="3" t="s">
        <v>96</v>
      </c>
      <c r="F219" s="3" t="s">
        <v>460</v>
      </c>
      <c r="G219" s="3" t="s">
        <v>787</v>
      </c>
      <c r="H219" s="3" t="str">
        <f>HYPERLINK("http://www.jccm.es/sede/tramite/KZK","CONVOCATORIA 2018. SOLICITUD DE ABONO DE LA SUBVENCION PARA EL CRECIMIENTO EN MERCADOS NACIONALES Y PARA LA MEJORA DE LA POSICION COMPETITIVA DE LAS PYMES.")</f>
        <v>CONVOCATORIA 2018. SOLICITUD DE ABONO DE LA SUBVENCION PARA EL CRECIMIENTO EN MERCADOS NACIONALES Y PARA LA MEJORA DE LA POSICION COMPETITIVA DE LAS PYMES.</v>
      </c>
      <c r="I219" s="3" t="s">
        <v>41</v>
      </c>
      <c r="J219" s="3" t="s">
        <v>41</v>
      </c>
      <c r="K219" s="3" t="s">
        <v>42</v>
      </c>
      <c r="L219" s="3" t="s">
        <v>41</v>
      </c>
    </row>
    <row r="220" spans="1:12" ht="129" customHeight="1">
      <c r="A220" s="3" t="s">
        <v>788</v>
      </c>
      <c r="B220" s="3" t="s">
        <v>789</v>
      </c>
      <c r="C220" s="3" t="s">
        <v>786</v>
      </c>
      <c r="D220" s="3" t="s">
        <v>46</v>
      </c>
      <c r="E220" s="3" t="s">
        <v>96</v>
      </c>
      <c r="F220" s="3" t="s">
        <v>460</v>
      </c>
      <c r="G220" s="3" t="s">
        <v>790</v>
      </c>
      <c r="H220" s="3" t="str">
        <f>HYPERLINK("http://www.jccm.es/sede/tramite/KOE","SOLICITUD DE SUBVENCION PARA EL CRECIMIENTO EN MERCADOS NACIONALES Y PARA LA MEJORA DE LA POSICION COMPETITIVA DE LAS PYMES (MPC 2023) (DISP 10.7 RESOL. 28/07/2022, CONV 2022)")</f>
        <v>SOLICITUD DE SUBVENCION PARA EL CRECIMIENTO EN MERCADOS NACIONALES Y PARA LA MEJORA DE LA POSICION COMPETITIVA DE LAS PYMES (MPC 2023) (DISP 10.7 RESOL. 28/07/2022, CONV 2022)</v>
      </c>
      <c r="I220" s="3" t="s">
        <v>41</v>
      </c>
      <c r="J220" s="3" t="s">
        <v>41</v>
      </c>
      <c r="K220" s="3" t="s">
        <v>42</v>
      </c>
      <c r="L220" s="3" t="s">
        <v>41</v>
      </c>
    </row>
    <row r="221" spans="1:12" ht="129" customHeight="1">
      <c r="A221" s="3" t="s">
        <v>791</v>
      </c>
      <c r="B221" s="3" t="s">
        <v>792</v>
      </c>
      <c r="C221" s="3" t="s">
        <v>45</v>
      </c>
      <c r="D221" s="3" t="s">
        <v>46</v>
      </c>
      <c r="E221" s="3" t="s">
        <v>96</v>
      </c>
      <c r="F221" s="3" t="s">
        <v>328</v>
      </c>
      <c r="G221" s="3" t="s">
        <v>793</v>
      </c>
      <c r="H221" s="3" t="str">
        <f>HYPERLINK("http://www.jccm.es/sede/tramite/KOO","SUBVENCIONES DEL PROGRAMA DE INCLUSION LABORAL DE PERSONAS CON DISCAPACIDAD EN EL MERCADO PROTEGIDO DE CASTILLA-LA MANCHA-LINEA 4-AJUSTE PERSONAL Y SOCIAL A TRAVES DE UNIDADES DE APOYO.")</f>
        <v>SUBVENCIONES DEL PROGRAMA DE INCLUSION LABORAL DE PERSONAS CON DISCAPACIDAD EN EL MERCADO PROTEGIDO DE CASTILLA-LA MANCHA-LINEA 4-AJUSTE PERSONAL Y SOCIAL A TRAVES DE UNIDADES DE APOYO.</v>
      </c>
      <c r="I221" s="3" t="s">
        <v>41</v>
      </c>
      <c r="J221" s="3" t="s">
        <v>41</v>
      </c>
      <c r="K221" s="3" t="s">
        <v>42</v>
      </c>
      <c r="L221" s="3" t="s">
        <v>41</v>
      </c>
    </row>
    <row r="222" spans="1:12" ht="129" customHeight="1">
      <c r="A222" s="3" t="s">
        <v>794</v>
      </c>
      <c r="B222" s="3" t="s">
        <v>795</v>
      </c>
      <c r="C222" s="3" t="s">
        <v>45</v>
      </c>
      <c r="D222" s="3" t="s">
        <v>46</v>
      </c>
      <c r="E222" s="3" t="s">
        <v>96</v>
      </c>
      <c r="F222" s="3" t="s">
        <v>130</v>
      </c>
      <c r="G222" s="3" t="s">
        <v>796</v>
      </c>
      <c r="H222" s="3" t="str">
        <f>HYPERLINK("http://www.jccm.es/sede/tramite/KP6","JUSTIFICACION AYUDAS PARA PROSPECCION Y DETECCION NECESIDADES FORMATIVAS; DISEÑO, PROGRAMACION Y DIFUSION OFERTA FORMATIVA DE TRABAJADORES OCUPADOS; Y APOYO PYMES FORMACION DE SUS TRABAJADORES.")</f>
        <v>JUSTIFICACION AYUDAS PARA PROSPECCION Y DETECCION NECESIDADES FORMATIVAS; DISEÑO, PROGRAMACION Y DIFUSION OFERTA FORMATIVA DE TRABAJADORES OCUPADOS; Y APOYO PYMES FORMACION DE SUS TRABAJADORES.</v>
      </c>
      <c r="I222" s="3" t="s">
        <v>41</v>
      </c>
      <c r="J222" s="3" t="s">
        <v>41</v>
      </c>
      <c r="K222" s="3" t="s">
        <v>42</v>
      </c>
      <c r="L222" s="3" t="s">
        <v>41</v>
      </c>
    </row>
    <row r="223" spans="1:12" ht="129" customHeight="1">
      <c r="A223" s="3" t="s">
        <v>797</v>
      </c>
      <c r="B223" s="3" t="s">
        <v>798</v>
      </c>
      <c r="C223" s="3" t="s">
        <v>45</v>
      </c>
      <c r="D223" s="3" t="s">
        <v>46</v>
      </c>
      <c r="E223" s="3" t="s">
        <v>96</v>
      </c>
      <c r="F223" s="3" t="s">
        <v>130</v>
      </c>
      <c r="G223" s="3" t="s">
        <v>799</v>
      </c>
      <c r="H223" s="3" t="str">
        <f>HYPERLINK("http://www.jccm.es/sede/tramite/KP5","SOLICITUD AYUDAS PARA LA PROSPECCION Y DETECCION DE NECESIDADES FORMATIVAS; DISEÑO, PROGRAMACION Y DIFUSION OFERTA FORMATIVA DE TRABAJADORES OCUPADOS; Y APOYO PYMES FORMACION DE SUS TRABAJADORES.")</f>
        <v>SOLICITUD AYUDAS PARA LA PROSPECCION Y DETECCION DE NECESIDADES FORMATIVAS; DISEÑO, PROGRAMACION Y DIFUSION OFERTA FORMATIVA DE TRABAJADORES OCUPADOS; Y APOYO PYMES FORMACION DE SUS TRABAJADORES.</v>
      </c>
      <c r="I223" s="3" t="s">
        <v>41</v>
      </c>
      <c r="J223" s="3" t="s">
        <v>41</v>
      </c>
      <c r="K223" s="3" t="s">
        <v>42</v>
      </c>
      <c r="L223" s="3" t="s">
        <v>41</v>
      </c>
    </row>
    <row r="224" spans="1:12" ht="129" customHeight="1">
      <c r="A224" s="3" t="s">
        <v>800</v>
      </c>
      <c r="B224" s="3" t="s">
        <v>801</v>
      </c>
      <c r="C224" s="3" t="s">
        <v>45</v>
      </c>
      <c r="D224" s="3" t="s">
        <v>46</v>
      </c>
      <c r="E224" s="3" t="s">
        <v>96</v>
      </c>
      <c r="F224" s="3" t="s">
        <v>120</v>
      </c>
      <c r="G224" s="3" t="s">
        <v>802</v>
      </c>
      <c r="H224" s="3" t="str">
        <f>HYPERLINK("http://www.jccm.es/sede/tramite/KQ4","SUBVENCIONES PARA PROMOCION Y DIFUSION  DE COOPERATIVAS Y SOCIEDADES LABORALES EN CASTILLA-LA MANCHA.")</f>
        <v>SUBVENCIONES PARA PROMOCION Y DIFUSION  DE COOPERATIVAS Y SOCIEDADES LABORALES EN CASTILLA-LA MANCHA.</v>
      </c>
      <c r="I224" s="3" t="s">
        <v>41</v>
      </c>
      <c r="J224" s="3" t="s">
        <v>41</v>
      </c>
      <c r="K224" s="3" t="s">
        <v>42</v>
      </c>
      <c r="L224" s="3" t="s">
        <v>41</v>
      </c>
    </row>
    <row r="225" spans="1:12" ht="129" customHeight="1">
      <c r="A225" s="3" t="s">
        <v>803</v>
      </c>
      <c r="B225" s="3" t="s">
        <v>804</v>
      </c>
      <c r="C225" s="3" t="s">
        <v>45</v>
      </c>
      <c r="D225" s="3" t="s">
        <v>46</v>
      </c>
      <c r="E225" s="3" t="s">
        <v>96</v>
      </c>
      <c r="F225" s="3" t="s">
        <v>130</v>
      </c>
      <c r="G225" s="3" t="s">
        <v>805</v>
      </c>
      <c r="H225" s="3" t="str">
        <f>HYPERLINK("http://www.jccm.es/sede/tramite/KQZ","AYUDAS PUBLICAS PARA PROYECTOS DE FORMACION Y EMPLEO EN EL SENO DE LA EMPRESA (CREA)")</f>
        <v>AYUDAS PUBLICAS PARA PROYECTOS DE FORMACION Y EMPLEO EN EL SENO DE LA EMPRESA (CREA)</v>
      </c>
      <c r="I225" s="3" t="s">
        <v>41</v>
      </c>
      <c r="J225" s="3" t="s">
        <v>41</v>
      </c>
      <c r="K225" s="3" t="s">
        <v>42</v>
      </c>
      <c r="L225" s="3" t="s">
        <v>41</v>
      </c>
    </row>
    <row r="226" spans="1:12" ht="129" customHeight="1">
      <c r="A226" s="3" t="s">
        <v>806</v>
      </c>
      <c r="B226" s="3" t="s">
        <v>807</v>
      </c>
      <c r="C226" s="3" t="s">
        <v>45</v>
      </c>
      <c r="D226" s="3" t="s">
        <v>46</v>
      </c>
      <c r="E226" s="3" t="s">
        <v>96</v>
      </c>
      <c r="F226" s="3" t="s">
        <v>130</v>
      </c>
      <c r="G226" s="3" t="s">
        <v>808</v>
      </c>
      <c r="H226" s="3" t="str">
        <f>HYPERLINK("http://www.jccm.es/sede/tramite/KR0","JUSTIFICACION DE LAS AYUDAS PUBLICAS PARA PROYECTOS DE FORMACION Y EMPLEO EN EL SENO DE LA EMPRESA (CREA)")</f>
        <v>JUSTIFICACION DE LAS AYUDAS PUBLICAS PARA PROYECTOS DE FORMACION Y EMPLEO EN EL SENO DE LA EMPRESA (CREA)</v>
      </c>
      <c r="I226" s="3" t="s">
        <v>41</v>
      </c>
      <c r="J226" s="3" t="s">
        <v>41</v>
      </c>
      <c r="K226" s="3" t="s">
        <v>42</v>
      </c>
      <c r="L226" s="3" t="s">
        <v>41</v>
      </c>
    </row>
    <row r="227" spans="1:12" ht="129" customHeight="1">
      <c r="A227" s="3" t="s">
        <v>809</v>
      </c>
      <c r="B227" s="3" t="s">
        <v>810</v>
      </c>
      <c r="C227" s="3" t="s">
        <v>45</v>
      </c>
      <c r="D227" s="3" t="s">
        <v>46</v>
      </c>
      <c r="E227" s="3" t="s">
        <v>96</v>
      </c>
      <c r="F227" s="3" t="s">
        <v>328</v>
      </c>
      <c r="G227" s="3" t="s">
        <v>811</v>
      </c>
      <c r="H227" s="3" t="str">
        <f>HYPERLINK("http://www.jccm.es/sede/tramite/KR9","LIQUIDACION DE LA SUBVENCION PARA EL INICIO DE LA ACTIVIDAD EMPRENDEDORA, DENTRO DEL PROGRAMA RETORNO DEL TALENTO.")</f>
        <v>LIQUIDACION DE LA SUBVENCION PARA EL INICIO DE LA ACTIVIDAD EMPRENDEDORA, DENTRO DEL PROGRAMA RETORNO DEL TALENTO.</v>
      </c>
      <c r="I227" s="3" t="s">
        <v>41</v>
      </c>
      <c r="J227" s="3" t="s">
        <v>41</v>
      </c>
      <c r="K227" s="3" t="s">
        <v>42</v>
      </c>
      <c r="L227" s="3" t="s">
        <v>41</v>
      </c>
    </row>
    <row r="228" spans="1:12" ht="129" customHeight="1">
      <c r="A228" s="3" t="s">
        <v>812</v>
      </c>
      <c r="B228" s="3" t="s">
        <v>813</v>
      </c>
      <c r="C228" s="3" t="s">
        <v>45</v>
      </c>
      <c r="D228" s="3" t="s">
        <v>46</v>
      </c>
      <c r="E228" s="3" t="s">
        <v>96</v>
      </c>
      <c r="F228" s="3" t="s">
        <v>113</v>
      </c>
      <c r="G228" s="3" t="s">
        <v>814</v>
      </c>
      <c r="H228" s="3" t="str">
        <f>HYPERLINK("http://www.jccm.es/sede/tramite/KRA","PROGRAMA RETORNO DEL TALENTO: LINEA 3- EMISION DEL PASAPORTE DE VUELTA.")</f>
        <v>PROGRAMA RETORNO DEL TALENTO: LINEA 3- EMISION DEL PASAPORTE DE VUELTA.</v>
      </c>
      <c r="I228" s="3" t="s">
        <v>42</v>
      </c>
      <c r="J228" s="3" t="s">
        <v>41</v>
      </c>
      <c r="K228" s="3" t="s">
        <v>42</v>
      </c>
      <c r="L228" s="3" t="s">
        <v>41</v>
      </c>
    </row>
    <row r="229" spans="1:12" ht="129" customHeight="1">
      <c r="A229" s="3" t="s">
        <v>815</v>
      </c>
      <c r="B229" s="3" t="s">
        <v>816</v>
      </c>
      <c r="C229" s="3" t="s">
        <v>45</v>
      </c>
      <c r="D229" s="3" t="s">
        <v>46</v>
      </c>
      <c r="E229" s="3" t="s">
        <v>96</v>
      </c>
      <c r="F229" s="3" t="s">
        <v>113</v>
      </c>
      <c r="G229" s="3" t="s">
        <v>817</v>
      </c>
      <c r="H229" s="3" t="str">
        <f>HYPERLINK("http://www.jccm.es/sede/tramite/KR7","PROGRAMA RETORNO DEL TALENTO: LINEA 3- SUBVENCIONES DE LA AYUDA ASOCIADA AL PASAPORTE DE VUELTA.")</f>
        <v>PROGRAMA RETORNO DEL TALENTO: LINEA 3- SUBVENCIONES DE LA AYUDA ASOCIADA AL PASAPORTE DE VUELTA.</v>
      </c>
      <c r="I229" s="3" t="s">
        <v>42</v>
      </c>
      <c r="J229" s="3" t="s">
        <v>41</v>
      </c>
      <c r="K229" s="3" t="s">
        <v>42</v>
      </c>
      <c r="L229" s="3" t="s">
        <v>41</v>
      </c>
    </row>
    <row r="230" spans="1:12" ht="129" customHeight="1">
      <c r="A230" s="3" t="s">
        <v>818</v>
      </c>
      <c r="B230" s="3" t="s">
        <v>819</v>
      </c>
      <c r="C230" s="3" t="s">
        <v>45</v>
      </c>
      <c r="D230" s="3" t="s">
        <v>46</v>
      </c>
      <c r="E230" s="3" t="s">
        <v>96</v>
      </c>
      <c r="F230" s="3" t="s">
        <v>120</v>
      </c>
      <c r="G230" s="3" t="s">
        <v>820</v>
      </c>
      <c r="H230" s="3" t="str">
        <f>HYPERLINK("http://www.jccm.es/sede/tramite/KR6","PROGRAMA RETORNO DEL TALENTO: LINEA 2- SUBVENCIONES PARA EL INICIO DE LA ACTIVIDAD EMPRENDEDORA.")</f>
        <v>PROGRAMA RETORNO DEL TALENTO: LINEA 2- SUBVENCIONES PARA EL INICIO DE LA ACTIVIDAD EMPRENDEDORA.</v>
      </c>
      <c r="I230" s="3" t="s">
        <v>41</v>
      </c>
      <c r="J230" s="3" t="s">
        <v>41</v>
      </c>
      <c r="K230" s="3" t="s">
        <v>42</v>
      </c>
      <c r="L230" s="3" t="s">
        <v>41</v>
      </c>
    </row>
    <row r="231" spans="1:12" ht="129" customHeight="1">
      <c r="A231" s="3" t="s">
        <v>821</v>
      </c>
      <c r="B231" s="3" t="s">
        <v>822</v>
      </c>
      <c r="C231" s="3" t="s">
        <v>45</v>
      </c>
      <c r="D231" s="3" t="s">
        <v>46</v>
      </c>
      <c r="E231" s="3" t="s">
        <v>96</v>
      </c>
      <c r="F231" s="3" t="s">
        <v>328</v>
      </c>
      <c r="G231" s="3" t="s">
        <v>823</v>
      </c>
      <c r="H231" s="3" t="str">
        <f>HYPERLINK("http://www.jccm.es/sede/tramite/KR8","PROGRAMA RETORNO DEL TALENTO: LINEA 1- SUBVENCIONES PARA LA CONTRATACION INDEFINIDA.")</f>
        <v>PROGRAMA RETORNO DEL TALENTO: LINEA 1- SUBVENCIONES PARA LA CONTRATACION INDEFINIDA.</v>
      </c>
      <c r="I231" s="3" t="s">
        <v>42</v>
      </c>
      <c r="J231" s="3" t="s">
        <v>41</v>
      </c>
      <c r="K231" s="3" t="s">
        <v>42</v>
      </c>
      <c r="L231" s="3" t="s">
        <v>41</v>
      </c>
    </row>
    <row r="232" spans="1:12" ht="129" customHeight="1">
      <c r="A232" s="3" t="s">
        <v>824</v>
      </c>
      <c r="B232" s="3" t="s">
        <v>825</v>
      </c>
      <c r="C232" s="3" t="s">
        <v>327</v>
      </c>
      <c r="D232" s="3" t="s">
        <v>46</v>
      </c>
      <c r="E232" s="3" t="s">
        <v>96</v>
      </c>
      <c r="F232" s="3" t="s">
        <v>130</v>
      </c>
      <c r="G232" s="3" t="s">
        <v>826</v>
      </c>
      <c r="H232" s="3" t="str">
        <f>HYPERLINK("http://www.jccm.es/sede/tramite/KST","JUSTIFICACION  DE SUBVENCIONES PARA LA REALIZACION DE PROYECTOS DE FORMACION PROFESIONAL DUAL EN EMPRESAS, PARA JOVENES INSCRITOS EN EL SISTEMA NACIONAL DE GARANTIA JUVENIL (DUAL-EMPLEO).")</f>
        <v>JUSTIFICACION  DE SUBVENCIONES PARA LA REALIZACION DE PROYECTOS DE FORMACION PROFESIONAL DUAL EN EMPRESAS, PARA JOVENES INSCRITOS EN EL SISTEMA NACIONAL DE GARANTIA JUVENIL (DUAL-EMPLEO).</v>
      </c>
      <c r="I232" s="3" t="s">
        <v>41</v>
      </c>
      <c r="J232" s="3" t="s">
        <v>41</v>
      </c>
      <c r="K232" s="3" t="s">
        <v>42</v>
      </c>
      <c r="L232" s="3" t="s">
        <v>41</v>
      </c>
    </row>
    <row r="233" spans="1:12" ht="129" customHeight="1">
      <c r="A233" s="3" t="s">
        <v>827</v>
      </c>
      <c r="B233" s="3" t="s">
        <v>828</v>
      </c>
      <c r="C233" s="3" t="s">
        <v>327</v>
      </c>
      <c r="D233" s="3" t="s">
        <v>46</v>
      </c>
      <c r="E233" s="3" t="s">
        <v>96</v>
      </c>
      <c r="F233" s="3" t="s">
        <v>130</v>
      </c>
      <c r="G233" s="3" t="s">
        <v>829</v>
      </c>
      <c r="H233" s="3" t="str">
        <f>HYPERLINK("http://www.jccm.es/sede/tramite/KSS","SUBVENCIONES PARA LA REALIZACION DE PROYECTOS DE FORMACION PROFESIONAL Y EMPLEO EN EL SENO DE LA  EMPRESA")</f>
        <v>SUBVENCIONES PARA LA REALIZACION DE PROYECTOS DE FORMACION PROFESIONAL Y EMPLEO EN EL SENO DE LA  EMPRESA</v>
      </c>
      <c r="I233" s="3" t="s">
        <v>41</v>
      </c>
      <c r="J233" s="3" t="s">
        <v>41</v>
      </c>
      <c r="K233" s="3" t="s">
        <v>42</v>
      </c>
      <c r="L233" s="3" t="s">
        <v>41</v>
      </c>
    </row>
    <row r="234" spans="1:12" ht="129" customHeight="1">
      <c r="A234" s="3" t="s">
        <v>830</v>
      </c>
      <c r="B234" s="3" t="s">
        <v>831</v>
      </c>
      <c r="C234" s="3" t="s">
        <v>700</v>
      </c>
      <c r="D234" s="3" t="s">
        <v>46</v>
      </c>
      <c r="E234" s="3" t="s">
        <v>96</v>
      </c>
      <c r="F234" s="3" t="s">
        <v>130</v>
      </c>
      <c r="G234" s="3" t="s">
        <v>832</v>
      </c>
      <c r="H234" s="3" t="str">
        <f>HYPERLINK("http://www.jccm.es/sede/tramite/KTG","JUSTIFICACION  DE SUBVENCIONES PARA LA REALIZACION DE PROYECTOS DE FORMACION Y PRACTICAS PARA JOVENES INSCRITOS EN EL SISTEMA NACIONAL DE GARANIA JUVENIL. (JUSTIFICACION FORMACION Y ORIENTACION)")</f>
        <v>JUSTIFICACION  DE SUBVENCIONES PARA LA REALIZACION DE PROYECTOS DE FORMACION Y PRACTICAS PARA JOVENES INSCRITOS EN EL SISTEMA NACIONAL DE GARANIA JUVENIL. (JUSTIFICACION FORMACION Y ORIENTACION)</v>
      </c>
      <c r="I234" s="3" t="s">
        <v>41</v>
      </c>
      <c r="J234" s="3" t="s">
        <v>41</v>
      </c>
      <c r="K234" s="3" t="s">
        <v>42</v>
      </c>
      <c r="L234" s="3" t="s">
        <v>41</v>
      </c>
    </row>
    <row r="235" spans="1:12" ht="129" customHeight="1">
      <c r="A235" s="3" t="s">
        <v>833</v>
      </c>
      <c r="B235" s="3" t="s">
        <v>834</v>
      </c>
      <c r="C235" s="3" t="s">
        <v>700</v>
      </c>
      <c r="D235" s="3" t="s">
        <v>46</v>
      </c>
      <c r="E235" s="3" t="s">
        <v>96</v>
      </c>
      <c r="F235" s="3" t="s">
        <v>130</v>
      </c>
      <c r="G235" s="3" t="s">
        <v>835</v>
      </c>
      <c r="H235" s="3" t="str">
        <f>HYPERLINK("http://www.jccm.es/sede/tramite/KTH","JUSTIFICACION  DE SUBVENCIONES PARA LA REALIZACION DE PROYECTOS DE FORMACION Y PRACTICAS PARA JOVENES INSCRITOS EN EL SISTEMA NACIONAL DE GARANIA JUVENIL (JUSTIFICACION PRACTICAS NO LABORALES).")</f>
        <v>JUSTIFICACION  DE SUBVENCIONES PARA LA REALIZACION DE PROYECTOS DE FORMACION Y PRACTICAS PARA JOVENES INSCRITOS EN EL SISTEMA NACIONAL DE GARANIA JUVENIL (JUSTIFICACION PRACTICAS NO LABORALES).</v>
      </c>
      <c r="I235" s="3" t="s">
        <v>41</v>
      </c>
      <c r="J235" s="3" t="s">
        <v>41</v>
      </c>
      <c r="K235" s="3" t="s">
        <v>42</v>
      </c>
      <c r="L235" s="3" t="s">
        <v>41</v>
      </c>
    </row>
    <row r="236" spans="1:12" ht="129" customHeight="1">
      <c r="A236" s="3" t="s">
        <v>836</v>
      </c>
      <c r="B236" s="3" t="s">
        <v>837</v>
      </c>
      <c r="C236" s="3" t="s">
        <v>700</v>
      </c>
      <c r="D236" s="3" t="s">
        <v>46</v>
      </c>
      <c r="E236" s="3" t="s">
        <v>96</v>
      </c>
      <c r="F236" s="3" t="s">
        <v>130</v>
      </c>
      <c r="G236" s="3" t="s">
        <v>838</v>
      </c>
      <c r="H236" s="3" t="str">
        <f>HYPERLINK("http://www.jccm.es/sede/tramite/KTC","SUBVENCIONES PARA LA REALIZACION DE PROYECTOS DE FORMACION Y PRACTICAS NO LABORALES PARA JOVENES INSCRITOS EN EL SISTEMA NACIONAL DE GARANTIA JUVENIL (FORMACION PLUS) (SOLICITUD FORMACION)")</f>
        <v>SUBVENCIONES PARA LA REALIZACION DE PROYECTOS DE FORMACION Y PRACTICAS NO LABORALES PARA JOVENES INSCRITOS EN EL SISTEMA NACIONAL DE GARANTIA JUVENIL (FORMACION PLUS) (SOLICITUD FORMACION)</v>
      </c>
      <c r="I236" s="3" t="s">
        <v>41</v>
      </c>
      <c r="J236" s="3" t="s">
        <v>41</v>
      </c>
      <c r="K236" s="3" t="s">
        <v>42</v>
      </c>
      <c r="L236" s="3" t="s">
        <v>41</v>
      </c>
    </row>
    <row r="237" spans="1:12" ht="129" customHeight="1">
      <c r="A237" s="3" t="s">
        <v>839</v>
      </c>
      <c r="B237" s="3" t="s">
        <v>840</v>
      </c>
      <c r="C237" s="3" t="s">
        <v>700</v>
      </c>
      <c r="D237" s="3" t="s">
        <v>46</v>
      </c>
      <c r="E237" s="3" t="s">
        <v>96</v>
      </c>
      <c r="F237" s="3" t="s">
        <v>130</v>
      </c>
      <c r="G237" s="3" t="s">
        <v>841</v>
      </c>
      <c r="H237" s="3" t="str">
        <f>HYPERLINK("http://www.jccm.es/sede/tramite/KTD","SUBVENCIONES PARA LA REALIZACION DE PROYECTOS DE FORMACION Y PRACTICAS NO LABORALES PARA JOVENES INSCRITOS EN EL SISTEMA NACIONAL DE GARANTIA JUVENIL.  (SOLICITUD PRACTICAS NO LABORALES)")</f>
        <v>SUBVENCIONES PARA LA REALIZACION DE PROYECTOS DE FORMACION Y PRACTICAS NO LABORALES PARA JOVENES INSCRITOS EN EL SISTEMA NACIONAL DE GARANTIA JUVENIL.  (SOLICITUD PRACTICAS NO LABORALES)</v>
      </c>
      <c r="I237" s="3" t="s">
        <v>41</v>
      </c>
      <c r="J237" s="3" t="s">
        <v>41</v>
      </c>
      <c r="K237" s="3" t="s">
        <v>42</v>
      </c>
      <c r="L237" s="3" t="s">
        <v>41</v>
      </c>
    </row>
    <row r="238" spans="1:12" ht="129" customHeight="1">
      <c r="A238" s="3" t="s">
        <v>842</v>
      </c>
      <c r="B238" s="3" t="s">
        <v>843</v>
      </c>
      <c r="C238" s="3" t="s">
        <v>700</v>
      </c>
      <c r="D238" s="3" t="s">
        <v>46</v>
      </c>
      <c r="E238" s="3" t="s">
        <v>96</v>
      </c>
      <c r="F238" s="3" t="s">
        <v>130</v>
      </c>
      <c r="G238" s="3" t="s">
        <v>844</v>
      </c>
      <c r="H238" s="3" t="str">
        <f>HYPERLINK("http://www.jccm.es/sede/tramite/KTE","SOLICITUD BECA SUBVENCIONES PARA LA REALIZACION DE PROYECTOS DE FORMACION PROFESIONAL Y EMPLEO EN EL SENO DE LA  EMPRESA.")</f>
        <v>SOLICITUD BECA SUBVENCIONES PARA LA REALIZACION DE PROYECTOS DE FORMACION PROFESIONAL Y EMPLEO EN EL SENO DE LA  EMPRESA.</v>
      </c>
      <c r="I238" s="3" t="s">
        <v>42</v>
      </c>
      <c r="J238" s="3" t="s">
        <v>41</v>
      </c>
      <c r="K238" s="3" t="s">
        <v>42</v>
      </c>
      <c r="L238" s="3" t="s">
        <v>41</v>
      </c>
    </row>
    <row r="239" spans="1:12" ht="129" customHeight="1">
      <c r="A239" s="3" t="s">
        <v>845</v>
      </c>
      <c r="B239" s="3" t="s">
        <v>846</v>
      </c>
      <c r="C239" s="3" t="s">
        <v>327</v>
      </c>
      <c r="D239" s="3" t="s">
        <v>46</v>
      </c>
      <c r="E239" s="3" t="s">
        <v>96</v>
      </c>
      <c r="F239" s="3" t="s">
        <v>460</v>
      </c>
      <c r="G239" s="3" t="s">
        <v>847</v>
      </c>
      <c r="H239" s="3" t="str">
        <f>HYPERLINK("http://www.jccm.es/sede/tramite/KTK","JUSTIFICACION DE SUBVENCIONES -ADELANTE INVERSION- PARA EL FOMENTO DE LA INVERSION Y LA MEJORA DE LA PRODUCTIVIDAD EMPRESARIAL EN CASTILLA-LA MANCHA (FIE-2017)")</f>
        <v>JUSTIFICACION DE SUBVENCIONES -ADELANTE INVERSION- PARA EL FOMENTO DE LA INVERSION Y LA MEJORA DE LA PRODUCTIVIDAD EMPRESARIAL EN CASTILLA-LA MANCHA (FIE-2017)</v>
      </c>
      <c r="I239" s="3" t="s">
        <v>41</v>
      </c>
      <c r="J239" s="3" t="s">
        <v>41</v>
      </c>
      <c r="K239" s="3" t="s">
        <v>42</v>
      </c>
      <c r="L239" s="3" t="s">
        <v>41</v>
      </c>
    </row>
    <row r="240" spans="1:12" ht="129" customHeight="1">
      <c r="A240" s="3" t="s">
        <v>848</v>
      </c>
      <c r="B240" s="3" t="s">
        <v>849</v>
      </c>
      <c r="C240" s="3" t="s">
        <v>327</v>
      </c>
      <c r="D240" s="3" t="s">
        <v>46</v>
      </c>
      <c r="E240" s="3" t="s">
        <v>96</v>
      </c>
      <c r="F240" s="3" t="s">
        <v>460</v>
      </c>
      <c r="G240" s="3" t="s">
        <v>850</v>
      </c>
      <c r="H240" s="3" t="str">
        <f>HYPERLINK("http://www.jccm.es/sede/tramite/L8N","JUSTIFICACION DE SUBVENCIONES -ADELANTE INVERSION- PARA EL FOMENTO DE LA INVERSION Y LA MEJORA DE LA PRODUCTIVIDAD EMPRESARIAL EN CASTILLA-LA MANCHA (FIE 2019)")</f>
        <v>JUSTIFICACION DE SUBVENCIONES -ADELANTE INVERSION- PARA EL FOMENTO DE LA INVERSION Y LA MEJORA DE LA PRODUCTIVIDAD EMPRESARIAL EN CASTILLA-LA MANCHA (FIE 2019)</v>
      </c>
      <c r="I240" s="3" t="s">
        <v>41</v>
      </c>
      <c r="J240" s="3" t="s">
        <v>41</v>
      </c>
      <c r="K240" s="3" t="s">
        <v>42</v>
      </c>
      <c r="L240" s="3" t="s">
        <v>41</v>
      </c>
    </row>
    <row r="241" spans="1:12" ht="129" customHeight="1">
      <c r="A241" s="3" t="s">
        <v>851</v>
      </c>
      <c r="B241" s="3" t="s">
        <v>852</v>
      </c>
      <c r="C241" s="3" t="s">
        <v>327</v>
      </c>
      <c r="D241" s="3" t="s">
        <v>46</v>
      </c>
      <c r="E241" s="3" t="s">
        <v>96</v>
      </c>
      <c r="F241" s="3" t="s">
        <v>460</v>
      </c>
      <c r="G241" s="3" t="s">
        <v>853</v>
      </c>
      <c r="H241" s="3" t="str">
        <f>HYPERLINK("http://www.jccm.es/sede/tramite/LKE","SOLICITUD DE SUBVENCIONES -ADELANTE INVERSION- PARA EL FOMENTO DE LA INVERSION Y LA MEJORA DE LA PRODUCTIVIDAD EMPRESARIAL EN CASTILLA-LA MANCHA (FIE-2022)")</f>
        <v>SOLICITUD DE SUBVENCIONES -ADELANTE INVERSION- PARA EL FOMENTO DE LA INVERSION Y LA MEJORA DE LA PRODUCTIVIDAD EMPRESARIAL EN CASTILLA-LA MANCHA (FIE-2022)</v>
      </c>
      <c r="I241" s="3" t="s">
        <v>41</v>
      </c>
      <c r="J241" s="3" t="s">
        <v>41</v>
      </c>
      <c r="K241" s="3" t="s">
        <v>42</v>
      </c>
      <c r="L241" s="3" t="s">
        <v>41</v>
      </c>
    </row>
    <row r="242" spans="1:12" ht="129" customHeight="1">
      <c r="A242" s="3" t="s">
        <v>854</v>
      </c>
      <c r="B242" s="3" t="s">
        <v>855</v>
      </c>
      <c r="C242" s="3" t="s">
        <v>327</v>
      </c>
      <c r="D242" s="3" t="s">
        <v>46</v>
      </c>
      <c r="E242" s="3" t="s">
        <v>96</v>
      </c>
      <c r="F242" s="3" t="s">
        <v>460</v>
      </c>
      <c r="G242" s="3" t="s">
        <v>856</v>
      </c>
      <c r="H242" s="3" t="str">
        <f>HYPERLINK("http://www.jccm.es/sede/tramite/KTJ","SUBVENCIONES -ADELANTE INVERSION- PARA EL FOMENTO DE LA INVERSION Y LA MEJORA DE LA PRODUCTIVIDAD EMPRESARIAL EN CASTILLA-LA MANCHA (FIE-2017)")</f>
        <v>SUBVENCIONES -ADELANTE INVERSION- PARA EL FOMENTO DE LA INVERSION Y LA MEJORA DE LA PRODUCTIVIDAD EMPRESARIAL EN CASTILLA-LA MANCHA (FIE-2017)</v>
      </c>
      <c r="I242" s="3" t="s">
        <v>41</v>
      </c>
      <c r="J242" s="3" t="s">
        <v>41</v>
      </c>
      <c r="K242" s="3" t="s">
        <v>42</v>
      </c>
      <c r="L242" s="3" t="s">
        <v>41</v>
      </c>
    </row>
    <row r="243" spans="1:12" ht="129" customHeight="1">
      <c r="A243" s="3" t="s">
        <v>857</v>
      </c>
      <c r="B243" s="3" t="s">
        <v>858</v>
      </c>
      <c r="C243" s="3" t="s">
        <v>327</v>
      </c>
      <c r="D243" s="3" t="s">
        <v>46</v>
      </c>
      <c r="E243" s="3" t="s">
        <v>96</v>
      </c>
      <c r="F243" s="3" t="s">
        <v>460</v>
      </c>
      <c r="G243" s="3" t="s">
        <v>859</v>
      </c>
      <c r="H243" s="3" t="str">
        <f>HYPERLINK("http://www.jccm.es/sede/tramite/KWC","SOLICITUD DE SUBVENCIONES -ADELANTE INVERSION- PARA EL FOMENTO DE LA INVERSION Y LA MEJORA DE LA PRODUCTIVIDAD EMPRESARIAL EN CASTILLA-LA MANCHA (FIE 2020)")</f>
        <v>SOLICITUD DE SUBVENCIONES -ADELANTE INVERSION- PARA EL FOMENTO DE LA INVERSION Y LA MEJORA DE LA PRODUCTIVIDAD EMPRESARIAL EN CASTILLA-LA MANCHA (FIE 2020)</v>
      </c>
      <c r="I243" s="3" t="s">
        <v>41</v>
      </c>
      <c r="J243" s="3" t="s">
        <v>41</v>
      </c>
      <c r="K243" s="3" t="s">
        <v>42</v>
      </c>
      <c r="L243" s="3" t="s">
        <v>41</v>
      </c>
    </row>
    <row r="244" spans="1:12" ht="129" customHeight="1">
      <c r="A244" s="3" t="s">
        <v>860</v>
      </c>
      <c r="B244" s="3" t="s">
        <v>861</v>
      </c>
      <c r="C244" s="3" t="s">
        <v>327</v>
      </c>
      <c r="D244" s="3" t="s">
        <v>46</v>
      </c>
      <c r="E244" s="3" t="s">
        <v>96</v>
      </c>
      <c r="F244" s="3" t="s">
        <v>460</v>
      </c>
      <c r="G244" s="3" t="s">
        <v>862</v>
      </c>
      <c r="H244" s="3" t="str">
        <f>HYPERLINK("http://www.jccm.es/sede/tramite/LIX","JUSTIFICACION DE SUBVENCIONES -ADELANTE INVERSION- PARA EL FOMENTO DE LA INVERSION Y LA MEJORA DE LA PRODUCTIVIDAD EMPRESARIAL EN CASTILLA-LA MANCHA (FIE 2020)")</f>
        <v>JUSTIFICACION DE SUBVENCIONES -ADELANTE INVERSION- PARA EL FOMENTO DE LA INVERSION Y LA MEJORA DE LA PRODUCTIVIDAD EMPRESARIAL EN CASTILLA-LA MANCHA (FIE 2020)</v>
      </c>
      <c r="I244" s="3" t="s">
        <v>41</v>
      </c>
      <c r="J244" s="3" t="s">
        <v>41</v>
      </c>
      <c r="K244" s="3" t="s">
        <v>42</v>
      </c>
      <c r="L244" s="3" t="s">
        <v>41</v>
      </c>
    </row>
    <row r="245" spans="1:12" ht="129" customHeight="1">
      <c r="A245" s="3" t="s">
        <v>863</v>
      </c>
      <c r="B245" s="3" t="s">
        <v>864</v>
      </c>
      <c r="C245" s="3" t="s">
        <v>45</v>
      </c>
      <c r="D245" s="3" t="s">
        <v>46</v>
      </c>
      <c r="E245" s="3" t="s">
        <v>96</v>
      </c>
      <c r="F245" s="3" t="s">
        <v>113</v>
      </c>
      <c r="G245" s="3" t="s">
        <v>865</v>
      </c>
      <c r="H245" s="3" t="str">
        <f>HYPERLINK("http://www.jccm.es/sede/tramite/KUS","SOLICITUD DE SUBVENCIONES PARA LA REALIZACION DE ACTUACIONES PARA LA MEJORA DE LA EMPLEABILIDAD Y LA INSERCION.")</f>
        <v>SOLICITUD DE SUBVENCIONES PARA LA REALIZACION DE ACTUACIONES PARA LA MEJORA DE LA EMPLEABILIDAD Y LA INSERCION.</v>
      </c>
      <c r="I245" s="3" t="s">
        <v>41</v>
      </c>
      <c r="J245" s="3" t="s">
        <v>41</v>
      </c>
      <c r="K245" s="3" t="s">
        <v>42</v>
      </c>
      <c r="L245" s="3" t="s">
        <v>41</v>
      </c>
    </row>
    <row r="246" spans="1:12" ht="129" customHeight="1">
      <c r="A246" s="3" t="s">
        <v>866</v>
      </c>
      <c r="B246" s="3" t="s">
        <v>867</v>
      </c>
      <c r="C246" s="3" t="s">
        <v>45</v>
      </c>
      <c r="D246" s="3" t="s">
        <v>46</v>
      </c>
      <c r="E246" s="3" t="s">
        <v>96</v>
      </c>
      <c r="F246" s="3" t="s">
        <v>113</v>
      </c>
      <c r="G246" s="3" t="s">
        <v>868</v>
      </c>
      <c r="H246" s="3" t="str">
        <f>HYPERLINK("http://www.jccm.es/sede/tramite/KUT","JUSTIFICACION DE SUBVENCIONES PARA LA REALIZACION DE ACTUACIONES PARA LA MEJORA DE LA EMPLEABILIDAD Y LA INSERCION.")</f>
        <v>JUSTIFICACION DE SUBVENCIONES PARA LA REALIZACION DE ACTUACIONES PARA LA MEJORA DE LA EMPLEABILIDAD Y LA INSERCION.</v>
      </c>
      <c r="I246" s="3" t="s">
        <v>41</v>
      </c>
      <c r="J246" s="3" t="s">
        <v>41</v>
      </c>
      <c r="K246" s="3" t="s">
        <v>42</v>
      </c>
      <c r="L246" s="3" t="s">
        <v>41</v>
      </c>
    </row>
    <row r="247" spans="1:12" ht="129" customHeight="1">
      <c r="A247" s="3" t="s">
        <v>869</v>
      </c>
      <c r="B247" s="3" t="s">
        <v>870</v>
      </c>
      <c r="C247" s="3" t="s">
        <v>459</v>
      </c>
      <c r="D247" s="3" t="s">
        <v>46</v>
      </c>
      <c r="E247" s="3" t="s">
        <v>96</v>
      </c>
      <c r="F247" s="3" t="s">
        <v>328</v>
      </c>
      <c r="G247" s="3" t="s">
        <v>871</v>
      </c>
      <c r="H247" s="3" t="str">
        <f>HYPERLINK("http://www.jccm.es/sede/tramite/KV6","AYUDAS PARA EL ESTABLECIMIENTO DE PERSONAS DESEMPLEADAS COMO TRABAJADORAS AUTONOMAS")</f>
        <v>AYUDAS PARA EL ESTABLECIMIENTO DE PERSONAS DESEMPLEADAS COMO TRABAJADORAS AUTONOMAS</v>
      </c>
      <c r="I247" s="3" t="s">
        <v>41</v>
      </c>
      <c r="J247" s="3" t="s">
        <v>41</v>
      </c>
      <c r="K247" s="3" t="s">
        <v>42</v>
      </c>
      <c r="L247" s="3" t="s">
        <v>41</v>
      </c>
    </row>
    <row r="248" spans="1:12" ht="129" customHeight="1">
      <c r="A248" s="3" t="s">
        <v>872</v>
      </c>
      <c r="B248" s="3" t="s">
        <v>873</v>
      </c>
      <c r="C248" s="3" t="s">
        <v>459</v>
      </c>
      <c r="D248" s="3" t="s">
        <v>46</v>
      </c>
      <c r="E248" s="3" t="s">
        <v>96</v>
      </c>
      <c r="F248" s="3" t="s">
        <v>328</v>
      </c>
      <c r="G248" s="3" t="s">
        <v>874</v>
      </c>
      <c r="H248" s="3" t="str">
        <f>HYPERLINK("http://www.jccm.es/sede/tramite/KVB","AYUDAS DEL FAMILIAR COLABORADOR QUE CAUSA ALTA EN EL RETA O EN LA MUTUALIDAD DEL COLEGIO PROFESIONAL CORRESPONDIENTE")</f>
        <v>AYUDAS DEL FAMILIAR COLABORADOR QUE CAUSA ALTA EN EL RETA O EN LA MUTUALIDAD DEL COLEGIO PROFESIONAL CORRESPONDIENTE</v>
      </c>
      <c r="I248" s="3" t="s">
        <v>41</v>
      </c>
      <c r="J248" s="3" t="s">
        <v>41</v>
      </c>
      <c r="K248" s="3" t="s">
        <v>42</v>
      </c>
      <c r="L248" s="3" t="s">
        <v>41</v>
      </c>
    </row>
    <row r="249" spans="1:12" ht="129" customHeight="1">
      <c r="A249" s="3" t="s">
        <v>875</v>
      </c>
      <c r="B249" s="3" t="s">
        <v>876</v>
      </c>
      <c r="C249" s="3" t="s">
        <v>459</v>
      </c>
      <c r="D249" s="3" t="s">
        <v>46</v>
      </c>
      <c r="E249" s="3" t="s">
        <v>96</v>
      </c>
      <c r="F249" s="3" t="s">
        <v>328</v>
      </c>
      <c r="G249" s="3" t="s">
        <v>877</v>
      </c>
      <c r="H249" s="3" t="str">
        <f>HYPERLINK("http://www.jccm.es/sede/tramite/KV7","AYUDAS PARA LA CONSOLIDACION DE PROYECTOS")</f>
        <v>AYUDAS PARA LA CONSOLIDACION DE PROYECTOS</v>
      </c>
      <c r="I249" s="3" t="s">
        <v>41</v>
      </c>
      <c r="J249" s="3" t="s">
        <v>41</v>
      </c>
      <c r="K249" s="3" t="s">
        <v>42</v>
      </c>
      <c r="L249" s="3" t="s">
        <v>41</v>
      </c>
    </row>
    <row r="250" spans="1:12" ht="129" customHeight="1">
      <c r="A250" s="3" t="s">
        <v>878</v>
      </c>
      <c r="B250" s="3" t="s">
        <v>879</v>
      </c>
      <c r="C250" s="3" t="s">
        <v>459</v>
      </c>
      <c r="D250" s="3" t="s">
        <v>46</v>
      </c>
      <c r="E250" s="3" t="s">
        <v>96</v>
      </c>
      <c r="F250" s="3" t="s">
        <v>328</v>
      </c>
      <c r="G250" s="3" t="s">
        <v>880</v>
      </c>
      <c r="H250" s="3" t="str">
        <f>HYPERLINK("http://www.jccm.es/sede/tramite/KV8","AYUDAS PARA FAVORECER LA CONCILIACION DE LA VIDA LABORAL, FAMILIAR Y PERSONAL DEL TITULAR DE LA ACTIVIDAD EMPRENDEDORA")</f>
        <v>AYUDAS PARA FAVORECER LA CONCILIACION DE LA VIDA LABORAL, FAMILIAR Y PERSONAL DEL TITULAR DE LA ACTIVIDAD EMPRENDEDORA</v>
      </c>
      <c r="I250" s="3" t="s">
        <v>41</v>
      </c>
      <c r="J250" s="3" t="s">
        <v>41</v>
      </c>
      <c r="K250" s="3" t="s">
        <v>42</v>
      </c>
      <c r="L250" s="3" t="s">
        <v>41</v>
      </c>
    </row>
    <row r="251" spans="1:12" ht="129" customHeight="1">
      <c r="A251" s="3" t="s">
        <v>881</v>
      </c>
      <c r="B251" s="3" t="s">
        <v>882</v>
      </c>
      <c r="C251" s="3" t="s">
        <v>459</v>
      </c>
      <c r="D251" s="3" t="s">
        <v>46</v>
      </c>
      <c r="E251" s="3" t="s">
        <v>96</v>
      </c>
      <c r="F251" s="3" t="s">
        <v>328</v>
      </c>
      <c r="G251" s="3" t="s">
        <v>883</v>
      </c>
      <c r="H251" s="3" t="str">
        <f>HYPERLINK("http://www.jccm.es/sede/tramite/KV9","AYUDAS DE FOMENTO AL RELEVO GENERACIONAL: SUBVENCION POR TRANSMISION DE LA ACTIVIDAD EMPRESARIAL")</f>
        <v>AYUDAS DE FOMENTO AL RELEVO GENERACIONAL: SUBVENCION POR TRANSMISION DE LA ACTIVIDAD EMPRESARIAL</v>
      </c>
      <c r="I251" s="3" t="s">
        <v>41</v>
      </c>
      <c r="J251" s="3" t="s">
        <v>41</v>
      </c>
      <c r="K251" s="3" t="s">
        <v>42</v>
      </c>
      <c r="L251" s="3" t="s">
        <v>41</v>
      </c>
    </row>
    <row r="252" spans="1:12" ht="129" customHeight="1">
      <c r="A252" s="3" t="s">
        <v>884</v>
      </c>
      <c r="B252" s="3" t="s">
        <v>885</v>
      </c>
      <c r="C252" s="3" t="s">
        <v>459</v>
      </c>
      <c r="D252" s="3" t="s">
        <v>46</v>
      </c>
      <c r="E252" s="3" t="s">
        <v>96</v>
      </c>
      <c r="F252" s="3" t="s">
        <v>328</v>
      </c>
      <c r="G252" s="3" t="s">
        <v>886</v>
      </c>
      <c r="H252" s="3" t="str">
        <f>HYPERLINK("http://www.jccm.es/sede/tramite/KVA","AYUDAS DE FOMENTO AL RELEVO GENERACIONAL: SUBVENCION POR CONTRATACION DE DURACION DETERMINADA DEL RELEVISTA POR EL TITULAR DE LA ACTIVIDAD EMPRESARIAL.")</f>
        <v>AYUDAS DE FOMENTO AL RELEVO GENERACIONAL: SUBVENCION POR CONTRATACION DE DURACION DETERMINADA DEL RELEVISTA POR EL TITULAR DE LA ACTIVIDAD EMPRESARIAL.</v>
      </c>
      <c r="I252" s="3" t="s">
        <v>41</v>
      </c>
      <c r="J252" s="3" t="s">
        <v>41</v>
      </c>
      <c r="K252" s="3" t="s">
        <v>42</v>
      </c>
      <c r="L252" s="3" t="s">
        <v>41</v>
      </c>
    </row>
    <row r="253" spans="1:12" ht="129" customHeight="1">
      <c r="A253" s="3" t="s">
        <v>887</v>
      </c>
      <c r="B253" s="3" t="s">
        <v>888</v>
      </c>
      <c r="C253" s="3" t="s">
        <v>459</v>
      </c>
      <c r="D253" s="3" t="s">
        <v>46</v>
      </c>
      <c r="E253" s="3" t="s">
        <v>96</v>
      </c>
      <c r="F253" s="3" t="s">
        <v>328</v>
      </c>
      <c r="G253" s="3" t="s">
        <v>889</v>
      </c>
      <c r="H253" s="3" t="str">
        <f>HYPERLINK("http://www.jccm.es/sede/tramite/KVC","AYUDAS POR LA PRIMERA CONTRATACION INDEFINIDA DE PERSONAS POR CUENTA AJENA")</f>
        <v>AYUDAS POR LA PRIMERA CONTRATACION INDEFINIDA DE PERSONAS POR CUENTA AJENA</v>
      </c>
      <c r="I253" s="3" t="s">
        <v>41</v>
      </c>
      <c r="J253" s="3" t="s">
        <v>41</v>
      </c>
      <c r="K253" s="3" t="s">
        <v>42</v>
      </c>
      <c r="L253" s="3" t="s">
        <v>41</v>
      </c>
    </row>
    <row r="254" spans="1:12" ht="129" customHeight="1">
      <c r="A254" s="3" t="s">
        <v>890</v>
      </c>
      <c r="B254" s="3" t="s">
        <v>891</v>
      </c>
      <c r="C254" s="3" t="s">
        <v>892</v>
      </c>
      <c r="D254" s="3" t="s">
        <v>46</v>
      </c>
      <c r="E254" s="3" t="s">
        <v>96</v>
      </c>
      <c r="F254" s="3" t="s">
        <v>97</v>
      </c>
      <c r="G254" s="3" t="s">
        <v>893</v>
      </c>
      <c r="H254" s="3" t="str">
        <f>HYPERLINK("http://www.jccm.es/sede/tramite/KW9","JUSTIFICACION DE LA ACTUACION PROGRAMA CONOCE CASTILLA-LA MANCHA")</f>
        <v>JUSTIFICACION DE LA ACTUACION PROGRAMA CONOCE CASTILLA-LA MANCHA</v>
      </c>
      <c r="I254" s="3" t="s">
        <v>41</v>
      </c>
      <c r="J254" s="3" t="s">
        <v>41</v>
      </c>
      <c r="K254" s="3" t="s">
        <v>42</v>
      </c>
      <c r="L254" s="3" t="s">
        <v>41</v>
      </c>
    </row>
    <row r="255" spans="1:12" ht="129" customHeight="1">
      <c r="A255" s="3" t="s">
        <v>894</v>
      </c>
      <c r="B255" s="3" t="s">
        <v>895</v>
      </c>
      <c r="C255" s="3" t="s">
        <v>36</v>
      </c>
      <c r="D255" s="3" t="s">
        <v>46</v>
      </c>
      <c r="E255" s="3" t="s">
        <v>96</v>
      </c>
      <c r="F255" s="3" t="s">
        <v>97</v>
      </c>
      <c r="G255" s="3" t="s">
        <v>896</v>
      </c>
      <c r="H255" s="3" t="str">
        <f>HYPERLINK("http://www.jccm.es/sede/tramite/KW8","AYUDA DEL PROGRAMA CONOCE CASTILLA-LA MANCHA")</f>
        <v>AYUDA DEL PROGRAMA CONOCE CASTILLA-LA MANCHA</v>
      </c>
      <c r="I255" s="3" t="s">
        <v>41</v>
      </c>
      <c r="J255" s="3" t="s">
        <v>41</v>
      </c>
      <c r="K255" s="3" t="s">
        <v>42</v>
      </c>
      <c r="L255" s="3" t="s">
        <v>41</v>
      </c>
    </row>
    <row r="256" spans="1:12" ht="129" customHeight="1">
      <c r="A256" s="3" t="s">
        <v>897</v>
      </c>
      <c r="B256" s="3" t="s">
        <v>898</v>
      </c>
      <c r="C256" s="3" t="s">
        <v>45</v>
      </c>
      <c r="D256" s="3" t="s">
        <v>46</v>
      </c>
      <c r="E256" s="3" t="s">
        <v>96</v>
      </c>
      <c r="F256" s="3" t="s">
        <v>97</v>
      </c>
      <c r="G256" s="3" t="s">
        <v>899</v>
      </c>
      <c r="H256" s="3" t="str">
        <f>HYPERLINK("http://www.jccm.es/sede/tramite/KWX","JUSTIFICACION DE LAS AYUDAS DESTINADAS A PROMOVER LA CELEBRACION DE FERIAS COMERCIALES EN CASTILLA-LA MANCHA.")</f>
        <v>JUSTIFICACION DE LAS AYUDAS DESTINADAS A PROMOVER LA CELEBRACION DE FERIAS COMERCIALES EN CASTILLA-LA MANCHA.</v>
      </c>
      <c r="I256" s="3" t="s">
        <v>41</v>
      </c>
      <c r="J256" s="3" t="s">
        <v>41</v>
      </c>
      <c r="K256" s="3" t="s">
        <v>42</v>
      </c>
      <c r="L256" s="3" t="s">
        <v>41</v>
      </c>
    </row>
    <row r="257" spans="1:12" ht="129" customHeight="1">
      <c r="A257" s="3" t="s">
        <v>900</v>
      </c>
      <c r="B257" s="3" t="s">
        <v>901</v>
      </c>
      <c r="C257" s="3" t="s">
        <v>442</v>
      </c>
      <c r="D257" s="3" t="s">
        <v>46</v>
      </c>
      <c r="E257" s="3" t="s">
        <v>96</v>
      </c>
      <c r="F257" s="3" t="s">
        <v>328</v>
      </c>
      <c r="G257" s="3" t="s">
        <v>902</v>
      </c>
      <c r="H257" s="3" t="str">
        <f>HYPERLINK("http://www.jccm.es/sede/tramite/KZ9","JUSTIFICACION DE LAS SUBVENCIONES DE CARACTER INCENTIVADOR PARA PROYECTOS DINAMIZADORES DEL EMPLEO LOCAL")</f>
        <v>JUSTIFICACION DE LAS SUBVENCIONES DE CARACTER INCENTIVADOR PARA PROYECTOS DINAMIZADORES DEL EMPLEO LOCAL</v>
      </c>
      <c r="I257" s="3" t="s">
        <v>41</v>
      </c>
      <c r="J257" s="3" t="s">
        <v>41</v>
      </c>
      <c r="K257" s="3" t="s">
        <v>42</v>
      </c>
      <c r="L257" s="3" t="s">
        <v>41</v>
      </c>
    </row>
    <row r="258" spans="1:12" ht="129" customHeight="1">
      <c r="A258" s="3" t="s">
        <v>903</v>
      </c>
      <c r="B258" s="3" t="s">
        <v>904</v>
      </c>
      <c r="C258" s="3" t="s">
        <v>442</v>
      </c>
      <c r="D258" s="3" t="s">
        <v>46</v>
      </c>
      <c r="E258" s="3" t="s">
        <v>96</v>
      </c>
      <c r="F258" s="3" t="s">
        <v>328</v>
      </c>
      <c r="G258" s="3" t="s">
        <v>905</v>
      </c>
      <c r="H258" s="3" t="str">
        <f>HYPERLINK("http://www.jccm.es/sede/tramite/KZA","SUBVENCIONES DE CARACTER INCENTIVADOR PARA PROYECTOS DINAMIZADORES DEL EMPLEO LOCAL")</f>
        <v>SUBVENCIONES DE CARACTER INCENTIVADOR PARA PROYECTOS DINAMIZADORES DEL EMPLEO LOCAL</v>
      </c>
      <c r="I258" s="3" t="s">
        <v>41</v>
      </c>
      <c r="J258" s="3" t="s">
        <v>41</v>
      </c>
      <c r="K258" s="3" t="s">
        <v>42</v>
      </c>
      <c r="L258" s="3" t="s">
        <v>41</v>
      </c>
    </row>
    <row r="259" spans="1:12" ht="129" customHeight="1">
      <c r="A259" s="3" t="s">
        <v>906</v>
      </c>
      <c r="B259" s="3" t="s">
        <v>907</v>
      </c>
      <c r="C259" s="3" t="s">
        <v>36</v>
      </c>
      <c r="D259" s="3" t="s">
        <v>46</v>
      </c>
      <c r="E259" s="3" t="s">
        <v>96</v>
      </c>
      <c r="F259" s="3" t="s">
        <v>113</v>
      </c>
      <c r="G259" s="3" t="s">
        <v>908</v>
      </c>
      <c r="H259" s="3" t="str">
        <f>HYPERLINK("http://www.jccm.es/sede/tramite/L1W","SUBVENCIONES DESTINADAS A MUNICIPIOS DE CASTILLA- LA MANCHA PARA EL DESARROLLO PROYECTOS EN MATERIA DE SEGURIDAD Y SALUD LABORAL. PROGRAMA I: ACTIVIDADES DE SENSIBILIZACION, DIFUSION Y DIVULGAC.")</f>
        <v>SUBVENCIONES DESTINADAS A MUNICIPIOS DE CASTILLA- LA MANCHA PARA EL DESARROLLO PROYECTOS EN MATERIA DE SEGURIDAD Y SALUD LABORAL. PROGRAMA I: ACTIVIDADES DE SENSIBILIZACION, DIFUSION Y DIVULGAC.</v>
      </c>
      <c r="I259" s="3" t="s">
        <v>41</v>
      </c>
      <c r="J259" s="3" t="s">
        <v>41</v>
      </c>
      <c r="K259" s="3" t="s">
        <v>42</v>
      </c>
      <c r="L259" s="3" t="s">
        <v>41</v>
      </c>
    </row>
    <row r="260" spans="1:12" ht="129" customHeight="1">
      <c r="A260" s="3" t="s">
        <v>909</v>
      </c>
      <c r="B260" s="3" t="s">
        <v>910</v>
      </c>
      <c r="C260" s="3" t="s">
        <v>36</v>
      </c>
      <c r="D260" s="3" t="s">
        <v>46</v>
      </c>
      <c r="E260" s="3" t="s">
        <v>96</v>
      </c>
      <c r="F260" s="3" t="s">
        <v>113</v>
      </c>
      <c r="G260" s="3" t="s">
        <v>911</v>
      </c>
      <c r="H260" s="3" t="str">
        <f>HYPERLINK("http://www.jccm.es/sede/tramite/L1X","MEMORIA JUSTIFICATIVA DE LAS INVERSIONES DESTINADAS A DESARROLLAR PROYECTOS EN MATERIA DE SEGURIDAD Y SALUD LABORAL EN MUNICIPIOS DE CASTILLA-LA MANCHA. PROGRAMA I.")</f>
        <v>MEMORIA JUSTIFICATIVA DE LAS INVERSIONES DESTINADAS A DESARROLLAR PROYECTOS EN MATERIA DE SEGURIDAD Y SALUD LABORAL EN MUNICIPIOS DE CASTILLA-LA MANCHA. PROGRAMA I.</v>
      </c>
      <c r="I260" s="3" t="s">
        <v>41</v>
      </c>
      <c r="J260" s="3" t="s">
        <v>41</v>
      </c>
      <c r="K260" s="3" t="s">
        <v>42</v>
      </c>
      <c r="L260" s="3" t="s">
        <v>41</v>
      </c>
    </row>
    <row r="261" spans="1:12" ht="129" customHeight="1">
      <c r="A261" s="3" t="s">
        <v>912</v>
      </c>
      <c r="B261" s="3" t="s">
        <v>913</v>
      </c>
      <c r="C261" s="3" t="s">
        <v>36</v>
      </c>
      <c r="D261" s="3" t="s">
        <v>46</v>
      </c>
      <c r="E261" s="3" t="s">
        <v>96</v>
      </c>
      <c r="F261" s="3" t="s">
        <v>113</v>
      </c>
      <c r="G261" s="3" t="s">
        <v>914</v>
      </c>
      <c r="H261" s="3" t="str">
        <f>HYPERLINK("http://www.jccm.es/sede/tramite/L23","MEMORIA JUSTIFICATIVA DE LAS INVERSIONES DESTINADAS A DESARROLLAR PROYECTOS EN MATERIA DE SEGURIDAD Y SALUD LABORAL EN MUNICIPIOS DE CASTILLA-LA MANCHA.   PROGRAMA II")</f>
        <v>MEMORIA JUSTIFICATIVA DE LAS INVERSIONES DESTINADAS A DESARROLLAR PROYECTOS EN MATERIA DE SEGURIDAD Y SALUD LABORAL EN MUNICIPIOS DE CASTILLA-LA MANCHA.   PROGRAMA II</v>
      </c>
      <c r="I261" s="3" t="s">
        <v>41</v>
      </c>
      <c r="J261" s="3" t="s">
        <v>41</v>
      </c>
      <c r="K261" s="3" t="s">
        <v>42</v>
      </c>
      <c r="L261" s="3" t="s">
        <v>41</v>
      </c>
    </row>
    <row r="262" spans="1:12" ht="129" customHeight="1">
      <c r="A262" s="3" t="s">
        <v>915</v>
      </c>
      <c r="B262" s="3" t="s">
        <v>916</v>
      </c>
      <c r="C262" s="3" t="s">
        <v>36</v>
      </c>
      <c r="D262" s="3" t="s">
        <v>46</v>
      </c>
      <c r="E262" s="3" t="s">
        <v>96</v>
      </c>
      <c r="F262" s="3" t="s">
        <v>113</v>
      </c>
      <c r="G262" s="3" t="s">
        <v>917</v>
      </c>
      <c r="H262" s="3" t="str">
        <f>HYPERLINK("http://www.jccm.es/sede/tramite/L22","SUBVENCIONES DESTINADAS A MUNICIPIOS DE CASTILLA- LA MANCHA PARA EL DESARROLLO PROYECTOS EN MATERIA DE SEGURIDAD Y SALUD LABORAL. PROGRAMA II:INVERSIONES MEJORA CONDICIONES SEGURIDAD")</f>
        <v>SUBVENCIONES DESTINADAS A MUNICIPIOS DE CASTILLA- LA MANCHA PARA EL DESARROLLO PROYECTOS EN MATERIA DE SEGURIDAD Y SALUD LABORAL. PROGRAMA II:INVERSIONES MEJORA CONDICIONES SEGURIDAD</v>
      </c>
      <c r="I262" s="3" t="s">
        <v>41</v>
      </c>
      <c r="J262" s="3" t="s">
        <v>41</v>
      </c>
      <c r="K262" s="3" t="s">
        <v>42</v>
      </c>
      <c r="L262" s="3" t="s">
        <v>41</v>
      </c>
    </row>
    <row r="263" spans="1:12" ht="129" customHeight="1">
      <c r="A263" s="3" t="s">
        <v>918</v>
      </c>
      <c r="B263" s="3" t="s">
        <v>919</v>
      </c>
      <c r="C263" s="3" t="s">
        <v>45</v>
      </c>
      <c r="D263" s="3" t="s">
        <v>46</v>
      </c>
      <c r="E263" s="3" t="s">
        <v>96</v>
      </c>
      <c r="F263" s="3" t="s">
        <v>460</v>
      </c>
      <c r="G263" s="3" t="s">
        <v>920</v>
      </c>
      <c r="H263" s="3" t="str">
        <f>HYPERLINK("http://www.jccm.es/sede/tramite/L2U","AYUDA NO DINERARIA DEL PROGRAMA DE ASESORAMIENTO A PYMES PARA LA TRANSFORMACION DIGITAL")</f>
        <v>AYUDA NO DINERARIA DEL PROGRAMA DE ASESORAMIENTO A PYMES PARA LA TRANSFORMACION DIGITAL</v>
      </c>
      <c r="I263" s="3" t="s">
        <v>41</v>
      </c>
      <c r="J263" s="3" t="s">
        <v>41</v>
      </c>
      <c r="K263" s="3" t="s">
        <v>42</v>
      </c>
      <c r="L263" s="3" t="s">
        <v>41</v>
      </c>
    </row>
    <row r="264" spans="1:12" ht="129" customHeight="1">
      <c r="A264" s="3" t="s">
        <v>921</v>
      </c>
      <c r="B264" s="3" t="s">
        <v>922</v>
      </c>
      <c r="C264" s="3" t="s">
        <v>45</v>
      </c>
      <c r="D264" s="3" t="s">
        <v>46</v>
      </c>
      <c r="E264" s="3" t="s">
        <v>96</v>
      </c>
      <c r="F264" s="3" t="s">
        <v>460</v>
      </c>
      <c r="G264" s="3" t="s">
        <v>923</v>
      </c>
      <c r="H264" s="3" t="str">
        <f>HYPERLINK("http://www.jccm.es/sede/tramite/L2V","JUSTIFICACION AYUDA NO DINERARIA DEL PROGRAMA DE ASESORAMIENTO A PYMES PARA LA TRANSFORMACION DIGITAL")</f>
        <v>JUSTIFICACION AYUDA NO DINERARIA DEL PROGRAMA DE ASESORAMIENTO A PYMES PARA LA TRANSFORMACION DIGITAL</v>
      </c>
      <c r="I264" s="3" t="s">
        <v>41</v>
      </c>
      <c r="J264" s="3" t="s">
        <v>41</v>
      </c>
      <c r="K264" s="3" t="s">
        <v>42</v>
      </c>
      <c r="L264" s="3" t="s">
        <v>41</v>
      </c>
    </row>
    <row r="265" spans="1:12" ht="129" customHeight="1">
      <c r="A265" s="3" t="s">
        <v>924</v>
      </c>
      <c r="B265" s="3" t="s">
        <v>925</v>
      </c>
      <c r="C265" s="3" t="s">
        <v>926</v>
      </c>
      <c r="D265" s="3" t="s">
        <v>46</v>
      </c>
      <c r="E265" s="3" t="s">
        <v>96</v>
      </c>
      <c r="F265" s="3" t="s">
        <v>130</v>
      </c>
      <c r="G265" s="3" t="s">
        <v>927</v>
      </c>
      <c r="H265" s="3" t="str">
        <f>HYPERLINK("http://www.jccm.es/sede/tramite/L51","JUSTIFICACION  DE SUBVENCIONES DE PROGRAMAS PARA LA RECUALIFICACION Y EL RECICLAJE PROFESIONAL")</f>
        <v>JUSTIFICACION  DE SUBVENCIONES DE PROGRAMAS PARA LA RECUALIFICACION Y EL RECICLAJE PROFESIONAL</v>
      </c>
      <c r="I265" s="3" t="s">
        <v>41</v>
      </c>
      <c r="J265" s="3" t="s">
        <v>41</v>
      </c>
      <c r="K265" s="3" t="s">
        <v>42</v>
      </c>
      <c r="L265" s="3" t="s">
        <v>41</v>
      </c>
    </row>
    <row r="266" spans="1:12" ht="129" customHeight="1">
      <c r="A266" s="3" t="s">
        <v>928</v>
      </c>
      <c r="B266" s="3" t="s">
        <v>929</v>
      </c>
      <c r="C266" s="3" t="s">
        <v>926</v>
      </c>
      <c r="D266" s="3" t="s">
        <v>46</v>
      </c>
      <c r="E266" s="3" t="s">
        <v>96</v>
      </c>
      <c r="F266" s="3" t="s">
        <v>130</v>
      </c>
      <c r="G266" s="3" t="s">
        <v>930</v>
      </c>
      <c r="H266" s="3" t="str">
        <f>HYPERLINK("http://www.jccm.es/sede/tramite/L50","CONVOCATORIA DE PROGRAMAS PARA LA RECUALIFICACION Y EL RECICLAJE PROFESIONAL.")</f>
        <v>CONVOCATORIA DE PROGRAMAS PARA LA RECUALIFICACION Y EL RECICLAJE PROFESIONAL.</v>
      </c>
      <c r="I266" s="3" t="s">
        <v>41</v>
      </c>
      <c r="J266" s="3" t="s">
        <v>41</v>
      </c>
      <c r="K266" s="3" t="s">
        <v>42</v>
      </c>
      <c r="L266" s="3" t="s">
        <v>41</v>
      </c>
    </row>
    <row r="267" spans="1:12" ht="129" customHeight="1">
      <c r="A267" s="3" t="s">
        <v>931</v>
      </c>
      <c r="B267" s="3" t="s">
        <v>932</v>
      </c>
      <c r="C267" s="3" t="s">
        <v>933</v>
      </c>
      <c r="D267" s="3" t="s">
        <v>46</v>
      </c>
      <c r="E267" s="3" t="s">
        <v>96</v>
      </c>
      <c r="F267" s="3" t="s">
        <v>460</v>
      </c>
      <c r="G267" s="3" t="s">
        <v>934</v>
      </c>
      <c r="H267" s="3" t="str">
        <f>HYPERLINK("http://www.jccm.es/sede/tramite/L7P","SOLICITUD DE SUBVENCIONES PARA EL PROGRAMA INICIATIVA CRECE EMPRESAS PARA LA ELABORACION DE PLANES ESTRATEGICOS DE CRECIMIENTO EMPRESARIAL Y PROTOCOLOS FAMILIARES")</f>
        <v>SOLICITUD DE SUBVENCIONES PARA EL PROGRAMA INICIATIVA CRECE EMPRESAS PARA LA ELABORACION DE PLANES ESTRATEGICOS DE CRECIMIENTO EMPRESARIAL Y PROTOCOLOS FAMILIARES</v>
      </c>
      <c r="I267" s="3" t="s">
        <v>41</v>
      </c>
      <c r="J267" s="3" t="s">
        <v>41</v>
      </c>
      <c r="K267" s="3" t="s">
        <v>42</v>
      </c>
      <c r="L267" s="3" t="s">
        <v>41</v>
      </c>
    </row>
    <row r="268" spans="1:12" ht="129" customHeight="1">
      <c r="A268" s="3" t="s">
        <v>935</v>
      </c>
      <c r="B268" s="3" t="s">
        <v>936</v>
      </c>
      <c r="C268" s="3" t="s">
        <v>933</v>
      </c>
      <c r="D268" s="3" t="s">
        <v>46</v>
      </c>
      <c r="E268" s="3" t="s">
        <v>96</v>
      </c>
      <c r="F268" s="3" t="s">
        <v>460</v>
      </c>
      <c r="G268" s="3" t="s">
        <v>937</v>
      </c>
      <c r="H268" s="3" t="str">
        <f>HYPERLINK("http://www.jccm.es/sede/tramite/L7Q","SOLICITUD DE ABONO DE LA SUBVENCION DEL PROGRAMA INICIATIVA CRECE EMPRESAS PARA LA ELABORACION DE PLANES ESTRATEGICOS DE CRECIMIENTO EMPRESARIAL Y PROTOCOLOS FAMILIARES.")</f>
        <v>SOLICITUD DE ABONO DE LA SUBVENCION DEL PROGRAMA INICIATIVA CRECE EMPRESAS PARA LA ELABORACION DE PLANES ESTRATEGICOS DE CRECIMIENTO EMPRESARIAL Y PROTOCOLOS FAMILIARES.</v>
      </c>
      <c r="I268" s="3" t="s">
        <v>41</v>
      </c>
      <c r="J268" s="3" t="s">
        <v>41</v>
      </c>
      <c r="K268" s="3" t="s">
        <v>42</v>
      </c>
      <c r="L268" s="3" t="s">
        <v>41</v>
      </c>
    </row>
    <row r="269" spans="1:12" ht="129" customHeight="1">
      <c r="A269" s="3" t="s">
        <v>938</v>
      </c>
      <c r="B269" s="3" t="s">
        <v>939</v>
      </c>
      <c r="C269" s="3" t="s">
        <v>232</v>
      </c>
      <c r="D269" s="3" t="s">
        <v>46</v>
      </c>
      <c r="E269" s="3" t="s">
        <v>96</v>
      </c>
      <c r="F269" s="3" t="s">
        <v>130</v>
      </c>
      <c r="G269" s="3" t="s">
        <v>940</v>
      </c>
      <c r="H269" s="3" t="str">
        <f>HYPERLINK("http://www.jccm.es/sede/tramite/LJ8","JUSTIFICACION (CUENTA JUSTIFICATIVA ),DE SUBVENCIONES  PARA LA REALIZACION DE ACCIONES DE FORMACION PROFESIONAL PARA EL EMPLEO (MODALIDAD II, CON COMPROMISO DE CONTRATACION)")</f>
        <v>JUSTIFICACION (CUENTA JUSTIFICATIVA ),DE SUBVENCIONES  PARA LA REALIZACION DE ACCIONES DE FORMACION PROFESIONAL PARA EL EMPLEO (MODALIDAD II, CON COMPROMISO DE CONTRATACION)</v>
      </c>
      <c r="I269" s="3" t="s">
        <v>41</v>
      </c>
      <c r="J269" s="3" t="s">
        <v>41</v>
      </c>
      <c r="K269" s="3" t="s">
        <v>42</v>
      </c>
      <c r="L269" s="3" t="s">
        <v>41</v>
      </c>
    </row>
    <row r="270" spans="1:12" ht="129" customHeight="1">
      <c r="A270" s="3" t="s">
        <v>941</v>
      </c>
      <c r="B270" s="3" t="s">
        <v>942</v>
      </c>
      <c r="C270" s="3" t="s">
        <v>70</v>
      </c>
      <c r="D270" s="3" t="s">
        <v>46</v>
      </c>
      <c r="E270" s="3" t="s">
        <v>96</v>
      </c>
      <c r="F270" s="3" t="s">
        <v>130</v>
      </c>
      <c r="G270" s="3" t="s">
        <v>943</v>
      </c>
      <c r="H270" s="3" t="str">
        <f>HYPERLINK("http://www.jccm.es/sede/tramite/L8A","SUBVENCIONES PARA LA REALIZACION DE ACCIONES DE FORMACION PROFESIONAL PARA EL EMPLEO, DIRIGIDAS A PERSONAS TRABAJADORAS DESEMPLEADAS (MODALIDAD II), CON COMPROMISO DE CONTRATACION.")</f>
        <v>SUBVENCIONES PARA LA REALIZACION DE ACCIONES DE FORMACION PROFESIONAL PARA EL EMPLEO, DIRIGIDAS A PERSONAS TRABAJADORAS DESEMPLEADAS (MODALIDAD II), CON COMPROMISO DE CONTRATACION.</v>
      </c>
      <c r="I270" s="3" t="s">
        <v>41</v>
      </c>
      <c r="J270" s="3" t="s">
        <v>41</v>
      </c>
      <c r="K270" s="3" t="s">
        <v>42</v>
      </c>
      <c r="L270" s="3" t="s">
        <v>41</v>
      </c>
    </row>
    <row r="271" spans="1:12" ht="57.6">
      <c r="A271" s="3" t="s">
        <v>944</v>
      </c>
      <c r="B271" s="3" t="s">
        <v>945</v>
      </c>
      <c r="C271" s="3" t="s">
        <v>70</v>
      </c>
      <c r="D271" s="3" t="s">
        <v>46</v>
      </c>
      <c r="E271" s="3" t="s">
        <v>96</v>
      </c>
      <c r="F271" s="3" t="s">
        <v>328</v>
      </c>
      <c r="G271" s="3" t="s">
        <v>946</v>
      </c>
      <c r="H271" s="3" t="str">
        <f>HYPERLINK("http://www.jccm.es/sede/tramite/L8M","JUSTIFICACION AYUDA DE EMPLEO CON APOYO.")</f>
        <v>JUSTIFICACION AYUDA DE EMPLEO CON APOYO.</v>
      </c>
      <c r="I271" s="3" t="s">
        <v>41</v>
      </c>
      <c r="J271" s="3" t="s">
        <v>41</v>
      </c>
      <c r="K271" s="3" t="s">
        <v>42</v>
      </c>
      <c r="L271" s="3" t="s">
        <v>41</v>
      </c>
    </row>
    <row r="272" spans="1:12" ht="57.6">
      <c r="A272" s="3" t="s">
        <v>947</v>
      </c>
      <c r="B272" s="3" t="s">
        <v>948</v>
      </c>
      <c r="C272" s="3" t="s">
        <v>70</v>
      </c>
      <c r="D272" s="3" t="s">
        <v>46</v>
      </c>
      <c r="E272" s="3" t="s">
        <v>96</v>
      </c>
      <c r="F272" s="3" t="s">
        <v>328</v>
      </c>
      <c r="G272" s="3" t="s">
        <v>949</v>
      </c>
      <c r="H272" s="3" t="str">
        <f>HYPERLINK("http://www.jccm.es/sede/tramite/L8L","SOLICITUD DE AYUDA EMPLEO CON APOYO.")</f>
        <v>SOLICITUD DE AYUDA EMPLEO CON APOYO.</v>
      </c>
      <c r="I272" s="3" t="s">
        <v>41</v>
      </c>
      <c r="J272" s="3" t="s">
        <v>41</v>
      </c>
      <c r="K272" s="3" t="s">
        <v>42</v>
      </c>
      <c r="L272" s="3" t="s">
        <v>41</v>
      </c>
    </row>
    <row r="273" spans="1:12" ht="69">
      <c r="A273" s="3" t="s">
        <v>950</v>
      </c>
      <c r="B273" s="3" t="s">
        <v>951</v>
      </c>
      <c r="C273" s="3" t="s">
        <v>327</v>
      </c>
      <c r="D273" s="3" t="s">
        <v>46</v>
      </c>
      <c r="E273" s="3" t="s">
        <v>96</v>
      </c>
      <c r="F273" s="3" t="s">
        <v>120</v>
      </c>
      <c r="G273" s="3" t="s">
        <v>952</v>
      </c>
      <c r="H273" s="3" t="str">
        <f>HYPERLINK("http://www.jccm.es/sede/tramite/LBF","JUSTIFICACION DE SUBVENCIONES PARA LA MEJORA DEL DIALOGO SOCIAL Y LA NEGOCIACION COLECTIVA EN CASTILLA-LA MANCHA")</f>
        <v>JUSTIFICACION DE SUBVENCIONES PARA LA MEJORA DEL DIALOGO SOCIAL Y LA NEGOCIACION COLECTIVA EN CASTILLA-LA MANCHA</v>
      </c>
      <c r="I273" s="3" t="s">
        <v>41</v>
      </c>
      <c r="J273" s="3" t="s">
        <v>41</v>
      </c>
      <c r="K273" s="3" t="s">
        <v>42</v>
      </c>
      <c r="L273" s="3" t="s">
        <v>41</v>
      </c>
    </row>
    <row r="274" spans="1:12" ht="69">
      <c r="A274" s="3" t="s">
        <v>953</v>
      </c>
      <c r="B274" s="3" t="s">
        <v>954</v>
      </c>
      <c r="C274" s="3" t="s">
        <v>327</v>
      </c>
      <c r="D274" s="3" t="s">
        <v>46</v>
      </c>
      <c r="E274" s="3" t="s">
        <v>96</v>
      </c>
      <c r="F274" s="3" t="s">
        <v>120</v>
      </c>
      <c r="G274" s="3" t="s">
        <v>955</v>
      </c>
      <c r="H274" s="3" t="str">
        <f>HYPERLINK("http://www.jccm.es/sede/tramite/LBE","SOLICITUD DE SUBVENCIONES PARA LA MEJORA DEL DIALOGO SOCIAL Y LA NEGOCIACION COLECTIVA EN CASTILLA-LA MANCHA.")</f>
        <v>SOLICITUD DE SUBVENCIONES PARA LA MEJORA DEL DIALOGO SOCIAL Y LA NEGOCIACION COLECTIVA EN CASTILLA-LA MANCHA.</v>
      </c>
      <c r="I274" s="3" t="s">
        <v>41</v>
      </c>
      <c r="J274" s="3" t="s">
        <v>41</v>
      </c>
      <c r="K274" s="3" t="s">
        <v>42</v>
      </c>
      <c r="L274" s="3" t="s">
        <v>41</v>
      </c>
    </row>
    <row r="275" spans="1:12" ht="80.45">
      <c r="A275" s="3" t="s">
        <v>956</v>
      </c>
      <c r="B275" s="3" t="s">
        <v>957</v>
      </c>
      <c r="C275" s="3" t="s">
        <v>45</v>
      </c>
      <c r="D275" s="3" t="s">
        <v>46</v>
      </c>
      <c r="E275" s="3" t="s">
        <v>96</v>
      </c>
      <c r="F275" s="3" t="s">
        <v>97</v>
      </c>
      <c r="G275" s="3" t="s">
        <v>958</v>
      </c>
      <c r="H275" s="3" t="str">
        <f>HYPERLINK("http://www.jccm.es/sede/tramite/LFT","SOLICITUD AYUDAS DE APOYO A LA MODERNIZACION, INNOVACION E INCREMENTO DE LA COMPETITIVIDAD DEL SECTOR TURISTICO DE CASTILLA-LA MANCHA POR COVID 19")</f>
        <v>SOLICITUD AYUDAS DE APOYO A LA MODERNIZACION, INNOVACION E INCREMENTO DE LA COMPETITIVIDAD DEL SECTOR TURISTICO DE CASTILLA-LA MANCHA POR COVID 19</v>
      </c>
      <c r="I275" s="3" t="s">
        <v>41</v>
      </c>
      <c r="J275" s="3" t="s">
        <v>41</v>
      </c>
      <c r="K275" s="3" t="s">
        <v>42</v>
      </c>
      <c r="L275" s="3" t="s">
        <v>41</v>
      </c>
    </row>
    <row r="276" spans="1:12" ht="80.45">
      <c r="A276" s="3" t="s">
        <v>959</v>
      </c>
      <c r="B276" s="3" t="s">
        <v>960</v>
      </c>
      <c r="C276" s="3" t="s">
        <v>45</v>
      </c>
      <c r="D276" s="3" t="s">
        <v>46</v>
      </c>
      <c r="E276" s="3" t="s">
        <v>96</v>
      </c>
      <c r="F276" s="3" t="s">
        <v>97</v>
      </c>
      <c r="G276" s="3" t="s">
        <v>961</v>
      </c>
      <c r="H276" s="3" t="str">
        <f>HYPERLINK("http://www.jccm.es/sede/tramite/LFU","JUSTIFICACION AYUDAS DE APOYO A LA MODERNIZACION, INNOVACION E INCREMENTO DE LA COMPETITIVIDAD DEL SECTOR TURISTICO DE CASTILLA-LA MANCHA POR COVID 19")</f>
        <v>JUSTIFICACION AYUDAS DE APOYO A LA MODERNIZACION, INNOVACION E INCREMENTO DE LA COMPETITIVIDAD DEL SECTOR TURISTICO DE CASTILLA-LA MANCHA POR COVID 19</v>
      </c>
      <c r="I276" s="3" t="s">
        <v>41</v>
      </c>
      <c r="J276" s="3" t="s">
        <v>41</v>
      </c>
      <c r="K276" s="3" t="s">
        <v>42</v>
      </c>
      <c r="L276" s="3" t="s">
        <v>41</v>
      </c>
    </row>
    <row r="277" spans="1:12" ht="69">
      <c r="A277" s="3" t="s">
        <v>962</v>
      </c>
      <c r="B277" s="3" t="s">
        <v>963</v>
      </c>
      <c r="C277" s="3" t="s">
        <v>62</v>
      </c>
      <c r="D277" s="3" t="s">
        <v>46</v>
      </c>
      <c r="E277" s="3" t="s">
        <v>96</v>
      </c>
      <c r="F277" s="3" t="s">
        <v>97</v>
      </c>
      <c r="G277" s="3" t="s">
        <v>964</v>
      </c>
      <c r="H277" s="3" t="str">
        <f>HYPERLINK("http://www.jccm.es/sede/tramite/LGR","SOLICITUD DE SUBVENCIONES PARA EL ESTIMULO AL CONSUMO DE SERVICIOS TURISTICOS CON MOTIVO DEL LA CRISIS SANITARIA DEL COVID-19")</f>
        <v>SOLICITUD DE SUBVENCIONES PARA EL ESTIMULO AL CONSUMO DE SERVICIOS TURISTICOS CON MOTIVO DEL LA CRISIS SANITARIA DEL COVID-19</v>
      </c>
      <c r="I277" s="3" t="s">
        <v>41</v>
      </c>
      <c r="J277" s="3" t="s">
        <v>41</v>
      </c>
      <c r="K277" s="3" t="s">
        <v>42</v>
      </c>
      <c r="L277" s="3" t="s">
        <v>41</v>
      </c>
    </row>
    <row r="278" spans="1:12" ht="69">
      <c r="A278" s="3" t="s">
        <v>965</v>
      </c>
      <c r="B278" s="3" t="s">
        <v>966</v>
      </c>
      <c r="C278" s="3" t="s">
        <v>62</v>
      </c>
      <c r="D278" s="3" t="s">
        <v>46</v>
      </c>
      <c r="E278" s="3" t="s">
        <v>96</v>
      </c>
      <c r="F278" s="3" t="s">
        <v>97</v>
      </c>
      <c r="G278" s="3" t="s">
        <v>967</v>
      </c>
      <c r="H278" s="3" t="str">
        <f>HYPERLINK("http://www.jccm.es/sede/tramite/LGS","JUSTIFICACION DE SUBVENCIONES PARA EL ESTIMULO AL CONSUMO DE SERVICIOS TURISTICOS CON MOTIVO DEL LA CRISIS SANITARIA DEL COVID-19")</f>
        <v>JUSTIFICACION DE SUBVENCIONES PARA EL ESTIMULO AL CONSUMO DE SERVICIOS TURISTICOS CON MOTIVO DEL LA CRISIS SANITARIA DEL COVID-19</v>
      </c>
      <c r="I278" s="3" t="s">
        <v>41</v>
      </c>
      <c r="J278" s="3" t="s">
        <v>41</v>
      </c>
      <c r="K278" s="3" t="s">
        <v>42</v>
      </c>
      <c r="L278" s="3" t="s">
        <v>41</v>
      </c>
    </row>
    <row r="279" spans="1:12" ht="69">
      <c r="A279" s="3" t="s">
        <v>968</v>
      </c>
      <c r="B279" s="3" t="s">
        <v>969</v>
      </c>
      <c r="C279" s="3" t="s">
        <v>45</v>
      </c>
      <c r="D279" s="3" t="s">
        <v>46</v>
      </c>
      <c r="E279" s="3" t="s">
        <v>96</v>
      </c>
      <c r="F279" s="3" t="s">
        <v>113</v>
      </c>
      <c r="G279" s="3" t="s">
        <v>970</v>
      </c>
      <c r="H279" s="3" t="str">
        <f>HYPERLINK("http://www.jccm.es/sede/tramite/LI1","SOLICITUD DE AYUDA. DECRETO PARA PROMOVER EL EJERCICIO SEGURO DE LA ACTIVIDAD ECONOMICA DE LAS PERSONAS TRABAJADORAS AUTONOMAS.")</f>
        <v>SOLICITUD DE AYUDA. DECRETO PARA PROMOVER EL EJERCICIO SEGURO DE LA ACTIVIDAD ECONOMICA DE LAS PERSONAS TRABAJADORAS AUTONOMAS.</v>
      </c>
      <c r="I279" s="3" t="s">
        <v>41</v>
      </c>
      <c r="J279" s="3" t="s">
        <v>41</v>
      </c>
      <c r="K279" s="3" t="s">
        <v>42</v>
      </c>
      <c r="L279" s="3" t="s">
        <v>41</v>
      </c>
    </row>
    <row r="280" spans="1:12" ht="92.1">
      <c r="A280" s="3" t="s">
        <v>971</v>
      </c>
      <c r="B280" s="3" t="s">
        <v>972</v>
      </c>
      <c r="C280" s="3" t="s">
        <v>700</v>
      </c>
      <c r="D280" s="3" t="s">
        <v>46</v>
      </c>
      <c r="E280" s="3" t="s">
        <v>96</v>
      </c>
      <c r="F280" s="3" t="s">
        <v>97</v>
      </c>
      <c r="G280" s="3" t="s">
        <v>973</v>
      </c>
      <c r="H280" s="3" t="str">
        <f>HYPERLINK("http://www.jccm.es/sede/tramite/LIC","JUSTIFICACION DE SUBVENCIONES PARA EL ESTIMULO AL CONSUMO DE SERVICIOS TURISTICOS Y ALOJAMIENTOS EXTRAHOTELEROS CON MOTIVO DEL LA CRISIS SANITARIA DEL COVID-19.")</f>
        <v>JUSTIFICACION DE SUBVENCIONES PARA EL ESTIMULO AL CONSUMO DE SERVICIOS TURISTICOS Y ALOJAMIENTOS EXTRAHOTELEROS CON MOTIVO DEL LA CRISIS SANITARIA DEL COVID-19.</v>
      </c>
      <c r="I280" s="3" t="s">
        <v>41</v>
      </c>
      <c r="J280" s="3" t="s">
        <v>41</v>
      </c>
      <c r="K280" s="3" t="s">
        <v>42</v>
      </c>
      <c r="L280" s="3" t="s">
        <v>41</v>
      </c>
    </row>
    <row r="281" spans="1:12" ht="80.45">
      <c r="A281" s="3" t="s">
        <v>974</v>
      </c>
      <c r="B281" s="3" t="s">
        <v>975</v>
      </c>
      <c r="C281" s="3" t="s">
        <v>700</v>
      </c>
      <c r="D281" s="3" t="s">
        <v>46</v>
      </c>
      <c r="E281" s="3" t="s">
        <v>96</v>
      </c>
      <c r="F281" s="3" t="s">
        <v>97</v>
      </c>
      <c r="G281" s="3" t="s">
        <v>976</v>
      </c>
      <c r="H281" s="3" t="str">
        <f>HYPERLINK("http://www.jccm.es/sede/tramite/LIB","SOLICITUD DE SUBVENCIONES PARA EL ESTIMULO AL CONSUMO DE SERVICIOS TURISTICOS Y ALOJAMIENTOS EXTRAHOTELEROS CON MOTIVO DEL LA CRISIS SANITARIA DEL COVID-19.")</f>
        <v>SOLICITUD DE SUBVENCIONES PARA EL ESTIMULO AL CONSUMO DE SERVICIOS TURISTICOS Y ALOJAMIENTOS EXTRAHOTELEROS CON MOTIVO DEL LA CRISIS SANITARIA DEL COVID-19.</v>
      </c>
      <c r="I281" s="3" t="s">
        <v>41</v>
      </c>
      <c r="J281" s="3" t="s">
        <v>41</v>
      </c>
      <c r="K281" s="3" t="s">
        <v>42</v>
      </c>
      <c r="L281" s="3" t="s">
        <v>41</v>
      </c>
    </row>
    <row r="282" spans="1:12" ht="69">
      <c r="A282" s="3" t="s">
        <v>977</v>
      </c>
      <c r="B282" s="3" t="s">
        <v>978</v>
      </c>
      <c r="C282" s="3" t="s">
        <v>926</v>
      </c>
      <c r="D282" s="3" t="s">
        <v>46</v>
      </c>
      <c r="E282" s="3" t="s">
        <v>96</v>
      </c>
      <c r="F282" s="3" t="s">
        <v>113</v>
      </c>
      <c r="G282" s="3" t="s">
        <v>979</v>
      </c>
      <c r="H282" s="3" t="str">
        <f>HYPERLINK("http://www.jccm.es/sede/tramite/LO1","JUSTIFICACION DE LAS INVERSIONES Y SOLICITUD DE ABONO. LINEA 1 INVERSION PRL")</f>
        <v>JUSTIFICACION DE LAS INVERSIONES Y SOLICITUD DE ABONO. LINEA 1 INVERSION PRL</v>
      </c>
      <c r="I282" s="3" t="s">
        <v>41</v>
      </c>
      <c r="J282" s="3" t="s">
        <v>41</v>
      </c>
      <c r="K282" s="3" t="s">
        <v>42</v>
      </c>
      <c r="L282" s="3" t="s">
        <v>41</v>
      </c>
    </row>
    <row r="283" spans="1:12" ht="69">
      <c r="A283" s="3" t="s">
        <v>980</v>
      </c>
      <c r="B283" s="3" t="s">
        <v>981</v>
      </c>
      <c r="C283" s="3" t="s">
        <v>926</v>
      </c>
      <c r="D283" s="3" t="s">
        <v>46</v>
      </c>
      <c r="E283" s="3" t="s">
        <v>96</v>
      </c>
      <c r="F283" s="3" t="s">
        <v>113</v>
      </c>
      <c r="G283" s="3" t="s">
        <v>982</v>
      </c>
      <c r="H283" s="3" t="str">
        <f>HYPERLINK("http://www.jccm.es/sede/tramite/LO0","SOLICITUD LINEA 1. PROGRAMA CLM MAS SEGURA.")</f>
        <v>SOLICITUD LINEA 1. PROGRAMA CLM MAS SEGURA.</v>
      </c>
      <c r="I283" s="3" t="s">
        <v>41</v>
      </c>
      <c r="J283" s="3" t="s">
        <v>41</v>
      </c>
      <c r="K283" s="3" t="s">
        <v>42</v>
      </c>
      <c r="L283" s="3" t="s">
        <v>41</v>
      </c>
    </row>
    <row r="284" spans="1:12" ht="92.1">
      <c r="A284" s="3" t="s">
        <v>983</v>
      </c>
      <c r="B284" s="3" t="s">
        <v>984</v>
      </c>
      <c r="C284" s="3" t="s">
        <v>985</v>
      </c>
      <c r="D284" s="3" t="s">
        <v>95</v>
      </c>
      <c r="E284" s="3" t="s">
        <v>96</v>
      </c>
      <c r="F284" s="3" t="s">
        <v>113</v>
      </c>
      <c r="G284" s="3" t="s">
        <v>986</v>
      </c>
      <c r="H284" s="3" t="str">
        <f>HYPERLINK("http://www.jccm.es/sede/tramite/LQW","JUSTIFICACION DE SUBVENCIONES PARA LA REALIZACION DE ACTUACIONES PARA LA MEJORA DE LA EMPLEABILIDAD Y LA INSERCION COLECTIVOS VULNERABLES (NEXTGENERATIONEU)")</f>
        <v>JUSTIFICACION DE SUBVENCIONES PARA LA REALIZACION DE ACTUACIONES PARA LA MEJORA DE LA EMPLEABILIDAD Y LA INSERCION COLECTIVOS VULNERABLES (NEXTGENERATIONEU)</v>
      </c>
      <c r="I284" s="3" t="s">
        <v>41</v>
      </c>
      <c r="J284" s="3" t="s">
        <v>41</v>
      </c>
      <c r="K284" s="3" t="s">
        <v>42</v>
      </c>
      <c r="L284" s="3" t="s">
        <v>41</v>
      </c>
    </row>
    <row r="285" spans="1:12" ht="80.45">
      <c r="A285" s="3" t="s">
        <v>987</v>
      </c>
      <c r="B285" s="3" t="s">
        <v>988</v>
      </c>
      <c r="C285" s="3" t="s">
        <v>985</v>
      </c>
      <c r="D285" s="3" t="s">
        <v>95</v>
      </c>
      <c r="E285" s="3" t="s">
        <v>96</v>
      </c>
      <c r="F285" s="3" t="s">
        <v>113</v>
      </c>
      <c r="G285" s="3" t="s">
        <v>989</v>
      </c>
      <c r="H285" s="3" t="str">
        <f>HYPERLINK("http://www.jccm.es/sede/tramite/LQV","SOLICITUD DE SUBVENCION PARA LA REALIZACION DE ACTUACIONES PARA LA MEJORA DE LA EMPLEABILIDAD Y LA INSERCION DE COLECTIVOS VULNERABLES (NEXTGENERATIONEU)")</f>
        <v>SOLICITUD DE SUBVENCION PARA LA REALIZACION DE ACTUACIONES PARA LA MEJORA DE LA EMPLEABILIDAD Y LA INSERCION DE COLECTIVOS VULNERABLES (NEXTGENERATIONEU)</v>
      </c>
      <c r="I285" s="3" t="s">
        <v>41</v>
      </c>
      <c r="J285" s="3" t="s">
        <v>41</v>
      </c>
      <c r="K285" s="3" t="s">
        <v>42</v>
      </c>
      <c r="L285" s="3" t="s">
        <v>41</v>
      </c>
    </row>
    <row r="286" spans="1:12" ht="69">
      <c r="A286" s="3" t="s">
        <v>990</v>
      </c>
      <c r="B286" s="3" t="s">
        <v>991</v>
      </c>
      <c r="C286" s="3" t="s">
        <v>192</v>
      </c>
      <c r="D286" s="3" t="s">
        <v>46</v>
      </c>
      <c r="E286" s="3" t="s">
        <v>96</v>
      </c>
      <c r="F286" s="3" t="s">
        <v>113</v>
      </c>
      <c r="G286" s="3" t="s">
        <v>992</v>
      </c>
      <c r="H286" s="3" t="str">
        <f>HYPERLINK("http://www.jccm.es/sede/tramite/LR3","SOLICITUD DE SUBVENCION PARA EL PROGRAMA DE APOYO A MUJERES EN LOS AMBITOS RURAL Y URBANO (NEXT GENERATION EU)")</f>
        <v>SOLICITUD DE SUBVENCION PARA EL PROGRAMA DE APOYO A MUJERES EN LOS AMBITOS RURAL Y URBANO (NEXT GENERATION EU)</v>
      </c>
      <c r="I286" s="3" t="s">
        <v>41</v>
      </c>
      <c r="J286" s="3" t="s">
        <v>41</v>
      </c>
      <c r="K286" s="3" t="s">
        <v>42</v>
      </c>
      <c r="L286" s="3" t="s">
        <v>41</v>
      </c>
    </row>
    <row r="287" spans="1:12" ht="69">
      <c r="A287" s="3" t="s">
        <v>993</v>
      </c>
      <c r="B287" s="3" t="s">
        <v>994</v>
      </c>
      <c r="C287" s="3" t="s">
        <v>995</v>
      </c>
      <c r="D287" s="3" t="s">
        <v>46</v>
      </c>
      <c r="E287" s="3" t="s">
        <v>96</v>
      </c>
      <c r="F287" s="3" t="s">
        <v>120</v>
      </c>
      <c r="G287" s="3" t="s">
        <v>996</v>
      </c>
      <c r="H287" s="3" t="str">
        <f>HYPERLINK("http://www.jccm.es/sede/tramite/LRB","SOLICITUD DE SUBVENCION PARA EL INICIO, MANTENIMIENTO Y CONSOLIDACION DE LA ACTIVIDAD DE LAS PERSONAS TRABAJADORAS AUTOMOMAS")</f>
        <v>SOLICITUD DE SUBVENCION PARA EL INICIO, MANTENIMIENTO Y CONSOLIDACION DE LA ACTIVIDAD DE LAS PERSONAS TRABAJADORAS AUTOMOMAS</v>
      </c>
      <c r="I287" s="3" t="s">
        <v>41</v>
      </c>
      <c r="J287" s="3" t="s">
        <v>41</v>
      </c>
      <c r="K287" s="3" t="s">
        <v>42</v>
      </c>
      <c r="L287" s="3" t="s">
        <v>41</v>
      </c>
    </row>
    <row r="288" spans="1:12" ht="57.6">
      <c r="A288" s="3" t="s">
        <v>997</v>
      </c>
      <c r="B288" s="3" t="s">
        <v>998</v>
      </c>
      <c r="C288" s="3" t="s">
        <v>700</v>
      </c>
      <c r="D288" s="3" t="s">
        <v>46</v>
      </c>
      <c r="E288" s="3" t="s">
        <v>96</v>
      </c>
      <c r="F288" s="3" t="s">
        <v>97</v>
      </c>
      <c r="G288" s="3" t="s">
        <v>999</v>
      </c>
      <c r="H288" s="3" t="str">
        <f>HYPERLINK("http://www.jccm.es/sede/tramite/LRZ","AYUDAS PROGRAMA MICE")</f>
        <v>AYUDAS PROGRAMA MICE</v>
      </c>
      <c r="I288" s="3" t="s">
        <v>41</v>
      </c>
      <c r="J288" s="3" t="s">
        <v>41</v>
      </c>
      <c r="K288" s="3" t="s">
        <v>42</v>
      </c>
      <c r="L288" s="3" t="s">
        <v>41</v>
      </c>
    </row>
    <row r="289" spans="1:12" ht="57.6">
      <c r="A289" s="3" t="s">
        <v>1000</v>
      </c>
      <c r="B289" s="3" t="s">
        <v>1001</v>
      </c>
      <c r="C289" s="3" t="s">
        <v>700</v>
      </c>
      <c r="D289" s="3" t="s">
        <v>46</v>
      </c>
      <c r="E289" s="3" t="s">
        <v>96</v>
      </c>
      <c r="F289" s="3" t="s">
        <v>97</v>
      </c>
      <c r="G289" s="3" t="s">
        <v>1002</v>
      </c>
      <c r="H289" s="3" t="str">
        <f>HYPERLINK("http://www.jccm.es/sede/tramite/LS0","JUSTIFICACION AYUDAS PROGRAMA MICE 2022")</f>
        <v>JUSTIFICACION AYUDAS PROGRAMA MICE 2022</v>
      </c>
      <c r="I289" s="3" t="s">
        <v>41</v>
      </c>
      <c r="J289" s="3" t="s">
        <v>41</v>
      </c>
      <c r="K289" s="3" t="s">
        <v>42</v>
      </c>
      <c r="L289" s="3" t="s">
        <v>41</v>
      </c>
    </row>
    <row r="290" spans="1:12" ht="149.44999999999999">
      <c r="A290" s="3" t="s">
        <v>1003</v>
      </c>
      <c r="B290" s="3" t="s">
        <v>1004</v>
      </c>
      <c r="C290" s="3" t="s">
        <v>618</v>
      </c>
      <c r="D290" s="3" t="s">
        <v>46</v>
      </c>
      <c r="E290" s="3" t="s">
        <v>96</v>
      </c>
      <c r="F290" s="3" t="s">
        <v>96</v>
      </c>
      <c r="G290" s="3" t="s">
        <v>1005</v>
      </c>
      <c r="H290" s="3" t="str">
        <f>HYPERLINK("http://www.jccm.es/sede/tramite/LWG","LINEA 1. SUBVENCION PARA LA PROMOCION DE LAS COOPERATIVAS Y SOCIEDADES LABORALES")</f>
        <v>LINEA 1. SUBVENCION PARA LA PROMOCION DE LAS COOPERATIVAS Y SOCIEDADES LABORALES</v>
      </c>
      <c r="I290" s="3" t="s">
        <v>41</v>
      </c>
      <c r="J290" s="3" t="s">
        <v>41</v>
      </c>
      <c r="K290" s="3" t="s">
        <v>42</v>
      </c>
      <c r="L290" s="3" t="s">
        <v>41</v>
      </c>
    </row>
    <row r="291" spans="1:12" ht="57.6">
      <c r="A291" s="3" t="s">
        <v>1006</v>
      </c>
      <c r="B291" s="3" t="s">
        <v>1007</v>
      </c>
      <c r="C291" s="3" t="s">
        <v>51</v>
      </c>
      <c r="D291" s="3" t="s">
        <v>37</v>
      </c>
      <c r="E291" s="3" t="s">
        <v>96</v>
      </c>
      <c r="F291" s="3" t="s">
        <v>97</v>
      </c>
      <c r="G291" s="3" t="s">
        <v>1008</v>
      </c>
      <c r="H291" s="3" t="str">
        <f>HYPERLINK("http://www.jccm.es/sede/tramite/432","SOLICITUD DECLARACION ZONA DE GRAN AFLUENCIA TURISTICA")</f>
        <v>SOLICITUD DECLARACION ZONA DE GRAN AFLUENCIA TURISTICA</v>
      </c>
      <c r="I291" s="3" t="s">
        <v>42</v>
      </c>
      <c r="J291" s="3" t="s">
        <v>41</v>
      </c>
      <c r="K291" s="3" t="s">
        <v>42</v>
      </c>
      <c r="L291" s="3" t="s">
        <v>41</v>
      </c>
    </row>
    <row r="292" spans="1:12" ht="57.6">
      <c r="A292" s="3" t="s">
        <v>1009</v>
      </c>
      <c r="B292" s="3" t="s">
        <v>1010</v>
      </c>
      <c r="C292" s="3" t="s">
        <v>327</v>
      </c>
      <c r="D292" s="3" t="s">
        <v>37</v>
      </c>
      <c r="E292" s="3" t="s">
        <v>96</v>
      </c>
      <c r="F292" s="3" t="s">
        <v>97</v>
      </c>
      <c r="G292" s="3" t="s">
        <v>1011</v>
      </c>
      <c r="H292" s="3" t="str">
        <f>HYPERLINK("http://www.jccm.es/sede/tramite/429","DECLARACION DE FIESTA DE INTERES TURISTICO REGIONAL DE CASTILLA-LA MANCHA")</f>
        <v>DECLARACION DE FIESTA DE INTERES TURISTICO REGIONAL DE CASTILLA-LA MANCHA</v>
      </c>
      <c r="I292" s="3" t="s">
        <v>42</v>
      </c>
      <c r="J292" s="3" t="s">
        <v>41</v>
      </c>
      <c r="K292" s="3" t="s">
        <v>42</v>
      </c>
      <c r="L292" s="3" t="s">
        <v>41</v>
      </c>
    </row>
    <row r="293" spans="1:12" ht="114.95">
      <c r="A293" s="3" t="s">
        <v>1012</v>
      </c>
      <c r="B293" s="3" t="s">
        <v>1013</v>
      </c>
      <c r="C293" s="3" t="s">
        <v>1014</v>
      </c>
      <c r="D293" s="3" t="s">
        <v>46</v>
      </c>
      <c r="E293" s="3" t="s">
        <v>96</v>
      </c>
      <c r="F293" s="3" t="s">
        <v>113</v>
      </c>
      <c r="G293" s="3" t="s">
        <v>1015</v>
      </c>
      <c r="H293" s="3" t="str">
        <f>HYPERLINK("http://www.jccm.es/sede/tramite/IJK","ACREDITACION DE ENTIDADES ESPECIALIZADAS COMO SERVICIOS DE PREVENCION AJENOS A LAS EMPRESAS")</f>
        <v>ACREDITACION DE ENTIDADES ESPECIALIZADAS COMO SERVICIOS DE PREVENCION AJENOS A LAS EMPRESAS</v>
      </c>
      <c r="I293" s="3" t="s">
        <v>41</v>
      </c>
      <c r="J293" s="3" t="s">
        <v>41</v>
      </c>
      <c r="K293" s="3" t="s">
        <v>42</v>
      </c>
      <c r="L293" s="3" t="s">
        <v>42</v>
      </c>
    </row>
    <row r="294" spans="1:12" ht="69">
      <c r="A294" s="3" t="s">
        <v>1016</v>
      </c>
      <c r="B294" s="3" t="s">
        <v>1017</v>
      </c>
      <c r="C294" s="3" t="s">
        <v>95</v>
      </c>
      <c r="D294" s="3" t="s">
        <v>95</v>
      </c>
      <c r="E294" s="3" t="s">
        <v>96</v>
      </c>
      <c r="F294" s="3" t="s">
        <v>130</v>
      </c>
      <c r="G294" s="3" t="s">
        <v>1018</v>
      </c>
      <c r="H294" s="3" t="str">
        <f>HYPERLINK("http://www.jccm.es/sede/tramite/JLK","RECONOCIMIENTO DE LAS COMPETENCIAS PROFESIONALES ADQUIRIDAS MEDIANTE EXPERIENCIA LABORAL")</f>
        <v>RECONOCIMIENTO DE LAS COMPETENCIAS PROFESIONALES ADQUIRIDAS MEDIANTE EXPERIENCIA LABORAL</v>
      </c>
      <c r="I294" s="3" t="s">
        <v>42</v>
      </c>
      <c r="J294" s="3" t="s">
        <v>41</v>
      </c>
      <c r="K294" s="3" t="s">
        <v>42</v>
      </c>
      <c r="L294" s="3" t="s">
        <v>41</v>
      </c>
    </row>
    <row r="295" spans="1:12" ht="57.6">
      <c r="A295" s="3" t="s">
        <v>1019</v>
      </c>
      <c r="B295" s="3" t="s">
        <v>1020</v>
      </c>
      <c r="C295" s="3" t="s">
        <v>51</v>
      </c>
      <c r="D295" s="3" t="s">
        <v>37</v>
      </c>
      <c r="E295" s="3" t="s">
        <v>96</v>
      </c>
      <c r="F295" s="3" t="s">
        <v>97</v>
      </c>
      <c r="G295" s="3" t="s">
        <v>1021</v>
      </c>
      <c r="H295" s="3" t="str">
        <f>HYPERLINK("http://www.jccm.es/sede/tramite/JB1","RENOVACION DEL TITULO DE EMPRESA ARTESANA")</f>
        <v>RENOVACION DEL TITULO DE EMPRESA ARTESANA</v>
      </c>
      <c r="I295" s="3" t="s">
        <v>42</v>
      </c>
      <c r="J295" s="3" t="s">
        <v>41</v>
      </c>
      <c r="K295" s="3" t="s">
        <v>42</v>
      </c>
      <c r="L295" s="3" t="s">
        <v>41</v>
      </c>
    </row>
    <row r="296" spans="1:12" ht="57.6">
      <c r="A296" s="3" t="s">
        <v>1022</v>
      </c>
      <c r="B296" s="3" t="s">
        <v>1023</v>
      </c>
      <c r="C296" s="3" t="s">
        <v>45</v>
      </c>
      <c r="D296" s="3" t="s">
        <v>37</v>
      </c>
      <c r="E296" s="3" t="s">
        <v>96</v>
      </c>
      <c r="F296" s="3" t="s">
        <v>97</v>
      </c>
      <c r="G296" s="3" t="s">
        <v>1024</v>
      </c>
      <c r="H296" s="3" t="str">
        <f>HYPERLINK("http://www.jccm.es/sede/tramite/JSB","CERTIFICADO DE TIENDA DE CONVENIENCIA")</f>
        <v>CERTIFICADO DE TIENDA DE CONVENIENCIA</v>
      </c>
      <c r="I296" s="3" t="s">
        <v>42</v>
      </c>
      <c r="J296" s="3" t="s">
        <v>41</v>
      </c>
      <c r="K296" s="3" t="s">
        <v>42</v>
      </c>
      <c r="L296" s="3" t="s">
        <v>41</v>
      </c>
    </row>
    <row r="297" spans="1:12" ht="57.6">
      <c r="A297" s="3" t="s">
        <v>1025</v>
      </c>
      <c r="B297" s="3" t="s">
        <v>1026</v>
      </c>
      <c r="C297" s="3" t="s">
        <v>36</v>
      </c>
      <c r="D297" s="3" t="s">
        <v>37</v>
      </c>
      <c r="E297" s="3" t="s">
        <v>96</v>
      </c>
      <c r="F297" s="3" t="s">
        <v>97</v>
      </c>
      <c r="G297" s="3" t="s">
        <v>1027</v>
      </c>
      <c r="H297" s="3" t="str">
        <f>HYPERLINK("http://www.jccm.es/sede/tramite/JV2","RECONOCIMIENTO DE EVENTO DE INTERES ARTESANO")</f>
        <v>RECONOCIMIENTO DE EVENTO DE INTERES ARTESANO</v>
      </c>
      <c r="I297" s="3" t="s">
        <v>42</v>
      </c>
      <c r="J297" s="3" t="s">
        <v>41</v>
      </c>
      <c r="K297" s="3" t="s">
        <v>42</v>
      </c>
      <c r="L297" s="3" t="s">
        <v>41</v>
      </c>
    </row>
    <row r="298" spans="1:12" ht="57.6">
      <c r="A298" s="3" t="s">
        <v>1028</v>
      </c>
      <c r="B298" s="3" t="s">
        <v>1029</v>
      </c>
      <c r="C298" s="3" t="s">
        <v>36</v>
      </c>
      <c r="D298" s="3" t="s">
        <v>37</v>
      </c>
      <c r="E298" s="3" t="s">
        <v>96</v>
      </c>
      <c r="F298" s="3" t="s">
        <v>97</v>
      </c>
      <c r="G298" s="3" t="s">
        <v>1030</v>
      </c>
      <c r="H298" s="3" t="str">
        <f>HYPERLINK("http://www.jccm.es/sede/tramite/324","CONCESION DEL CARNE ARTESANO")</f>
        <v>CONCESION DEL CARNE ARTESANO</v>
      </c>
      <c r="I298" s="3" t="s">
        <v>42</v>
      </c>
      <c r="J298" s="3" t="s">
        <v>41</v>
      </c>
      <c r="K298" s="3" t="s">
        <v>42</v>
      </c>
      <c r="L298" s="3" t="s">
        <v>42</v>
      </c>
    </row>
    <row r="299" spans="1:12" ht="57.6">
      <c r="A299" s="3" t="s">
        <v>1031</v>
      </c>
      <c r="B299" s="3" t="s">
        <v>1032</v>
      </c>
      <c r="C299" s="3" t="s">
        <v>36</v>
      </c>
      <c r="D299" s="3" t="s">
        <v>37</v>
      </c>
      <c r="E299" s="3" t="s">
        <v>96</v>
      </c>
      <c r="F299" s="3" t="s">
        <v>97</v>
      </c>
      <c r="G299" s="3" t="s">
        <v>1033</v>
      </c>
      <c r="H299" s="3" t="str">
        <f>HYPERLINK("http://www.jccm.es/sede/tramite/310","CONCESION DEL TITULO DE EMPRESA ARTESANA")</f>
        <v>CONCESION DEL TITULO DE EMPRESA ARTESANA</v>
      </c>
      <c r="I299" s="3" t="s">
        <v>42</v>
      </c>
      <c r="J299" s="3" t="s">
        <v>41</v>
      </c>
      <c r="K299" s="3" t="s">
        <v>42</v>
      </c>
      <c r="L299" s="3" t="s">
        <v>42</v>
      </c>
    </row>
    <row r="300" spans="1:12" ht="57.6">
      <c r="A300" s="3" t="s">
        <v>1034</v>
      </c>
      <c r="B300" s="3" t="s">
        <v>1035</v>
      </c>
      <c r="C300" s="3" t="s">
        <v>51</v>
      </c>
      <c r="D300" s="3" t="s">
        <v>37</v>
      </c>
      <c r="E300" s="3" t="s">
        <v>96</v>
      </c>
      <c r="F300" s="3" t="s">
        <v>97</v>
      </c>
      <c r="G300" s="3" t="s">
        <v>1036</v>
      </c>
      <c r="H300" s="3" t="str">
        <f>HYPERLINK("http://www.jccm.es/sede/tramite/JB0","RENOVACION DEL CARNE ARTESANO")</f>
        <v>RENOVACION DEL CARNE ARTESANO</v>
      </c>
      <c r="I300" s="3" t="s">
        <v>42</v>
      </c>
      <c r="J300" s="3" t="s">
        <v>41</v>
      </c>
      <c r="K300" s="3" t="s">
        <v>42</v>
      </c>
      <c r="L300" s="3" t="s">
        <v>41</v>
      </c>
    </row>
    <row r="301" spans="1:12" ht="57.6">
      <c r="A301" s="3" t="s">
        <v>1037</v>
      </c>
      <c r="B301" s="3" t="s">
        <v>1038</v>
      </c>
      <c r="C301" s="3" t="s">
        <v>45</v>
      </c>
      <c r="D301" s="3" t="s">
        <v>37</v>
      </c>
      <c r="E301" s="3" t="s">
        <v>96</v>
      </c>
      <c r="F301" s="3" t="s">
        <v>97</v>
      </c>
      <c r="G301" s="3" t="s">
        <v>1039</v>
      </c>
      <c r="H301" s="3" t="str">
        <f>HYPERLINK("http://www.jccm.es/sede/tramite/KAB","COMUNICACION DE MODIFICACION EN LA ACTIVIDAD PRODUCTIVA DE LA EMPRESA ARTESANA")</f>
        <v>COMUNICACION DE MODIFICACION EN LA ACTIVIDAD PRODUCTIVA DE LA EMPRESA ARTESANA</v>
      </c>
      <c r="I301" s="3" t="s">
        <v>42</v>
      </c>
      <c r="J301" s="3" t="s">
        <v>41</v>
      </c>
      <c r="K301" s="3" t="s">
        <v>42</v>
      </c>
      <c r="L301" s="3" t="s">
        <v>41</v>
      </c>
    </row>
    <row r="302" spans="1:12" ht="57.6">
      <c r="A302" s="3" t="s">
        <v>1040</v>
      </c>
      <c r="B302" s="3" t="s">
        <v>1041</v>
      </c>
      <c r="C302" s="3" t="s">
        <v>45</v>
      </c>
      <c r="D302" s="3" t="s">
        <v>37</v>
      </c>
      <c r="E302" s="3" t="s">
        <v>96</v>
      </c>
      <c r="F302" s="3" t="s">
        <v>97</v>
      </c>
      <c r="G302" s="3" t="s">
        <v>1042</v>
      </c>
      <c r="H302" s="3" t="str">
        <f>HYPERLINK("http://www.jccm.es/sede/tramite/JB2","CAMBIO DE NOMBRE COMERCIAL O DE TITULARIDAD DE LA EMPRESA ARTESANA")</f>
        <v>CAMBIO DE NOMBRE COMERCIAL O DE TITULARIDAD DE LA EMPRESA ARTESANA</v>
      </c>
      <c r="I302" s="3" t="s">
        <v>41</v>
      </c>
      <c r="J302" s="3" t="s">
        <v>41</v>
      </c>
      <c r="K302" s="3" t="s">
        <v>42</v>
      </c>
      <c r="L302" s="3" t="s">
        <v>42</v>
      </c>
    </row>
    <row r="303" spans="1:12" ht="57.6">
      <c r="A303" s="3" t="s">
        <v>1043</v>
      </c>
      <c r="B303" s="3" t="s">
        <v>1044</v>
      </c>
      <c r="C303" s="3" t="s">
        <v>36</v>
      </c>
      <c r="D303" s="3" t="s">
        <v>37</v>
      </c>
      <c r="E303" s="3" t="s">
        <v>96</v>
      </c>
      <c r="F303" s="3" t="s">
        <v>97</v>
      </c>
      <c r="G303" s="3" t="s">
        <v>1045</v>
      </c>
      <c r="H303" s="3" t="str">
        <f>HYPERLINK("http://www.jccm.es/sede/tramite/JHZ","RECONOCIMIENTO DE TIENDA ARTESANA E INTEGRACION EN LA RED DE TIENDAS ARTESANAS DE CASTILLA-LA MANCHA")</f>
        <v>RECONOCIMIENTO DE TIENDA ARTESANA E INTEGRACION EN LA RED DE TIENDAS ARTESANAS DE CASTILLA-LA MANCHA</v>
      </c>
      <c r="I303" s="3" t="s">
        <v>42</v>
      </c>
      <c r="J303" s="3" t="s">
        <v>41</v>
      </c>
      <c r="K303" s="3" t="s">
        <v>42</v>
      </c>
      <c r="L303" s="3" t="s">
        <v>41</v>
      </c>
    </row>
    <row r="304" spans="1:12" ht="80.45">
      <c r="A304" s="3" t="s">
        <v>1046</v>
      </c>
      <c r="B304" s="3" t="s">
        <v>1047</v>
      </c>
      <c r="C304" s="3" t="s">
        <v>327</v>
      </c>
      <c r="D304" s="3" t="s">
        <v>37</v>
      </c>
      <c r="E304" s="3" t="s">
        <v>96</v>
      </c>
      <c r="F304" s="3" t="s">
        <v>97</v>
      </c>
      <c r="G304" s="3" t="s">
        <v>1048</v>
      </c>
      <c r="H304" s="3" t="str">
        <f>HYPERLINK("http://www.jccm.es/sede/tramite/JGW","RECONOCIMIENTO/MODIFICACION DE AREA DE ESPECIAL INTERES ARTESANAL DE CASTILLA-LA MANCHA // TALLER DE ESPECIAL INTERES ARTESANAL DE CASTILLA- LA MANCHA")</f>
        <v>RECONOCIMIENTO/MODIFICACION DE AREA DE ESPECIAL INTERES ARTESANAL DE CASTILLA-LA MANCHA // TALLER DE ESPECIAL INTERES ARTESANAL DE CASTILLA- LA MANCHA</v>
      </c>
      <c r="I304" s="3" t="s">
        <v>42</v>
      </c>
      <c r="J304" s="3" t="s">
        <v>41</v>
      </c>
      <c r="K304" s="3" t="s">
        <v>42</v>
      </c>
      <c r="L304" s="3" t="s">
        <v>41</v>
      </c>
    </row>
    <row r="305" spans="1:12" ht="92.1">
      <c r="A305" s="3" t="s">
        <v>1049</v>
      </c>
      <c r="B305" s="3" t="s">
        <v>1050</v>
      </c>
      <c r="C305" s="3" t="s">
        <v>45</v>
      </c>
      <c r="D305" s="3" t="s">
        <v>37</v>
      </c>
      <c r="E305" s="3" t="s">
        <v>96</v>
      </c>
      <c r="F305" s="3" t="s">
        <v>97</v>
      </c>
      <c r="G305" s="3" t="s">
        <v>1051</v>
      </c>
      <c r="H305" s="3" t="str">
        <f>HYPERLINK("http://www.jccm.es/sede/tramite/KAC","RENOVACION DEL RECONOCIMIENTO DE AREA DE ESPECIAL INTERES ARTESANAL DE CASTILLA-LA MANCHA // TALLER DE ESPECIAL INTERES ARTESANAL DE CASTILLA- LA MANCHA")</f>
        <v>RENOVACION DEL RECONOCIMIENTO DE AREA DE ESPECIAL INTERES ARTESANAL DE CASTILLA-LA MANCHA // TALLER DE ESPECIAL INTERES ARTESANAL DE CASTILLA- LA MANCHA</v>
      </c>
      <c r="I305" s="3" t="s">
        <v>42</v>
      </c>
      <c r="J305" s="3" t="s">
        <v>41</v>
      </c>
      <c r="K305" s="3" t="s">
        <v>42</v>
      </c>
      <c r="L305" s="3" t="s">
        <v>41</v>
      </c>
    </row>
    <row r="306" spans="1:12" ht="69">
      <c r="A306" s="3" t="s">
        <v>1052</v>
      </c>
      <c r="B306" s="3" t="s">
        <v>1053</v>
      </c>
      <c r="C306" s="3" t="s">
        <v>95</v>
      </c>
      <c r="D306" s="3" t="s">
        <v>46</v>
      </c>
      <c r="E306" s="3" t="s">
        <v>96</v>
      </c>
      <c r="F306" s="3" t="s">
        <v>113</v>
      </c>
      <c r="G306" s="3" t="s">
        <v>1054</v>
      </c>
      <c r="H306" s="3" t="str">
        <f>HYPERLINK("http://www.jccm.es/sede/tramite/KG6","SOLICITUD DE CREDENCIALES DE ACCESO A LA OFICINA VIRTUAL DE LA CONSEJERIA DE EMPLEO Y ECONOMIA PARA PERSONAS FISICAS, JURIDICAS Y AUTONOMOS")</f>
        <v>SOLICITUD DE CREDENCIALES DE ACCESO A LA OFICINA VIRTUAL DE LA CONSEJERIA DE EMPLEO Y ECONOMIA PARA PERSONAS FISICAS, JURIDICAS Y AUTONOMOS</v>
      </c>
      <c r="I306" s="3" t="s">
        <v>42</v>
      </c>
      <c r="J306" s="3" t="s">
        <v>41</v>
      </c>
      <c r="K306" s="3" t="s">
        <v>41</v>
      </c>
      <c r="L306" s="3" t="s">
        <v>41</v>
      </c>
    </row>
    <row r="307" spans="1:12" ht="69">
      <c r="A307" s="3" t="s">
        <v>1055</v>
      </c>
      <c r="B307" s="3" t="s">
        <v>1056</v>
      </c>
      <c r="C307" s="3" t="s">
        <v>1057</v>
      </c>
      <c r="D307" s="3" t="s">
        <v>37</v>
      </c>
      <c r="E307" s="3" t="s">
        <v>96</v>
      </c>
      <c r="F307" s="3" t="s">
        <v>113</v>
      </c>
      <c r="G307" s="3" t="s">
        <v>1058</v>
      </c>
      <c r="H307" s="3" t="str">
        <f>HYPERLINK("http://www.jccm.es/sede/tramite/KJR","CERTIFICADO DE INSCRIPCION EN REGISTRO DE EMPRESAS ACREDITADAS EN EL SECTOR DE LA CONSTRUCCION (REA)")</f>
        <v>CERTIFICADO DE INSCRIPCION EN REGISTRO DE EMPRESAS ACREDITADAS EN EL SECTOR DE LA CONSTRUCCION (REA)</v>
      </c>
      <c r="I307" s="3" t="s">
        <v>41</v>
      </c>
      <c r="J307" s="3" t="s">
        <v>41</v>
      </c>
      <c r="K307" s="3" t="s">
        <v>42</v>
      </c>
      <c r="L307" s="3" t="s">
        <v>41</v>
      </c>
    </row>
    <row r="308" spans="1:12" ht="161.1">
      <c r="A308" s="3" t="s">
        <v>1059</v>
      </c>
      <c r="B308" s="3" t="s">
        <v>1060</v>
      </c>
      <c r="C308" s="3" t="s">
        <v>1061</v>
      </c>
      <c r="D308" s="3" t="s">
        <v>95</v>
      </c>
      <c r="E308" s="3" t="s">
        <v>96</v>
      </c>
      <c r="F308" s="3" t="s">
        <v>130</v>
      </c>
      <c r="G308" s="3" t="s">
        <v>1062</v>
      </c>
      <c r="H308" s="3" t="str">
        <f>HYPERLINK("http://www.jccm.es/sede/tramite/L8J","SUBVENCION A LA FUNDACION ESCUELA DE ORGANIZACION INDUSTRIAL (EOI), PARA EL DESARROLLO DE PROYECTOS DE FORMACION.")</f>
        <v>SUBVENCION A LA FUNDACION ESCUELA DE ORGANIZACION INDUSTRIAL (EOI), PARA EL DESARROLLO DE PROYECTOS DE FORMACION.</v>
      </c>
      <c r="I308" s="3" t="s">
        <v>41</v>
      </c>
      <c r="J308" s="3" t="s">
        <v>41</v>
      </c>
      <c r="K308" s="3" t="s">
        <v>42</v>
      </c>
      <c r="L308" s="3" t="s">
        <v>41</v>
      </c>
    </row>
    <row r="309" spans="1:12" ht="34.5">
      <c r="A309" s="3" t="s">
        <v>1063</v>
      </c>
      <c r="B309" s="3" t="s">
        <v>1064</v>
      </c>
      <c r="C309" s="3" t="s">
        <v>45</v>
      </c>
      <c r="D309" s="3" t="s">
        <v>46</v>
      </c>
      <c r="E309" s="3" t="s">
        <v>96</v>
      </c>
      <c r="F309" s="3" t="s">
        <v>96</v>
      </c>
      <c r="G309" s="3" t="s">
        <v>1065</v>
      </c>
      <c r="H309" s="3" t="str">
        <f>HYPERLINK("http://www.jccm.es/sede/tramite/LFY","DECLARACION DE PROYECTOS PRIORITARIOS CLM")</f>
        <v>DECLARACION DE PROYECTOS PRIORITARIOS CLM</v>
      </c>
      <c r="I309" s="3" t="s">
        <v>41</v>
      </c>
      <c r="J309" s="3" t="s">
        <v>41</v>
      </c>
      <c r="K309" s="3" t="s">
        <v>42</v>
      </c>
      <c r="L309" s="3" t="s">
        <v>41</v>
      </c>
    </row>
    <row r="310" spans="1:12" ht="80.45">
      <c r="A310" s="3" t="s">
        <v>1066</v>
      </c>
      <c r="B310" s="3" t="s">
        <v>1067</v>
      </c>
      <c r="C310" s="3" t="s">
        <v>95</v>
      </c>
      <c r="D310" s="3" t="s">
        <v>95</v>
      </c>
      <c r="E310" s="3" t="s">
        <v>96</v>
      </c>
      <c r="F310" s="3" t="s">
        <v>113</v>
      </c>
      <c r="G310" s="3" t="s">
        <v>1068</v>
      </c>
      <c r="H310" s="3" t="str">
        <f>HYPERLINK("http://www.jccm.es/sede/tramite/KGM","ACREDITACION DE LA BUSQUEDA ACTIVA DE EMPLEO DE TRABAJADORES Y DE LOS SOLICITANTES Y BENEFICIARIOS DE PRESTACIONES POR DESEMPLEO")</f>
        <v>ACREDITACION DE LA BUSQUEDA ACTIVA DE EMPLEO DE TRABAJADORES Y DE LOS SOLICITANTES Y BENEFICIARIOS DE PRESTACIONES POR DESEMPLEO</v>
      </c>
      <c r="I310" s="3" t="s">
        <v>42</v>
      </c>
      <c r="J310" s="3" t="s">
        <v>41</v>
      </c>
      <c r="K310" s="3" t="s">
        <v>42</v>
      </c>
      <c r="L310" s="3" t="s">
        <v>41</v>
      </c>
    </row>
    <row r="311" spans="1:12" ht="69">
      <c r="A311" s="3" t="s">
        <v>1069</v>
      </c>
      <c r="B311" s="3" t="s">
        <v>1070</v>
      </c>
      <c r="C311" s="3" t="s">
        <v>95</v>
      </c>
      <c r="D311" s="3" t="s">
        <v>95</v>
      </c>
      <c r="E311" s="3" t="s">
        <v>96</v>
      </c>
      <c r="F311" s="3" t="s">
        <v>113</v>
      </c>
      <c r="G311" s="3" t="s">
        <v>1071</v>
      </c>
      <c r="H311" s="3" t="str">
        <f>HYPERLINK("http://www.jccm.es/sede/tramite/KGR","COMUNICACION DE COLOCACIONES DE LOS DEMANDANTES BENEFICIARIOS DEL PROGRAMA DE ACTIVACION PARA EL EMPLEO")</f>
        <v>COMUNICACION DE COLOCACIONES DE LOS DEMANDANTES BENEFICIARIOS DEL PROGRAMA DE ACTIVACION PARA EL EMPLEO</v>
      </c>
      <c r="I311" s="3" t="s">
        <v>42</v>
      </c>
      <c r="J311" s="3" t="s">
        <v>41</v>
      </c>
      <c r="K311" s="3" t="s">
        <v>42</v>
      </c>
      <c r="L311" s="3" t="s">
        <v>41</v>
      </c>
    </row>
    <row r="312" spans="1:12" ht="57.6">
      <c r="A312" s="3" t="s">
        <v>1072</v>
      </c>
      <c r="B312" s="3" t="s">
        <v>1073</v>
      </c>
      <c r="C312" s="3" t="s">
        <v>95</v>
      </c>
      <c r="D312" s="3" t="s">
        <v>95</v>
      </c>
      <c r="E312" s="3" t="s">
        <v>96</v>
      </c>
      <c r="F312" s="3" t="s">
        <v>97</v>
      </c>
      <c r="G312" s="3" t="s">
        <v>1074</v>
      </c>
      <c r="H312" s="3" t="str">
        <f>HYPERLINK("http://www.jccm.es/sede/tramite/IJM","INICIO DE ACTIVIDAD COMO EMPRESA DE RESTAURACION")</f>
        <v>INICIO DE ACTIVIDAD COMO EMPRESA DE RESTAURACION</v>
      </c>
      <c r="I312" s="3" t="s">
        <v>42</v>
      </c>
      <c r="J312" s="3" t="s">
        <v>41</v>
      </c>
      <c r="K312" s="3" t="s">
        <v>42</v>
      </c>
      <c r="L312" s="3" t="s">
        <v>42</v>
      </c>
    </row>
    <row r="313" spans="1:12" ht="57.6">
      <c r="A313" s="3" t="s">
        <v>1075</v>
      </c>
      <c r="B313" s="3" t="s">
        <v>1076</v>
      </c>
      <c r="C313" s="3" t="s">
        <v>95</v>
      </c>
      <c r="D313" s="3" t="s">
        <v>95</v>
      </c>
      <c r="E313" s="3" t="s">
        <v>96</v>
      </c>
      <c r="F313" s="3" t="s">
        <v>97</v>
      </c>
      <c r="G313" s="3" t="s">
        <v>1077</v>
      </c>
      <c r="H313" s="3" t="str">
        <f>HYPERLINK("http://www.jccm.es/sede/tramite/KPM","MODIFICACION DE LA CAPACIDAD/CAMBIO EN LA CLASIFICACION DE LA EMPRESA DE RESTAURACION")</f>
        <v>MODIFICACION DE LA CAPACIDAD/CAMBIO EN LA CLASIFICACION DE LA EMPRESA DE RESTAURACION</v>
      </c>
      <c r="I313" s="3" t="s">
        <v>42</v>
      </c>
      <c r="J313" s="3" t="s">
        <v>41</v>
      </c>
      <c r="K313" s="3" t="s">
        <v>42</v>
      </c>
      <c r="L313" s="3" t="s">
        <v>41</v>
      </c>
    </row>
    <row r="314" spans="1:12" ht="57.6">
      <c r="A314" s="3" t="s">
        <v>1078</v>
      </c>
      <c r="B314" s="3" t="s">
        <v>1079</v>
      </c>
      <c r="C314" s="3" t="s">
        <v>95</v>
      </c>
      <c r="D314" s="3" t="s">
        <v>95</v>
      </c>
      <c r="E314" s="3" t="s">
        <v>96</v>
      </c>
      <c r="F314" s="3" t="s">
        <v>97</v>
      </c>
      <c r="G314" s="3" t="s">
        <v>1080</v>
      </c>
      <c r="H314" s="3" t="str">
        <f>HYPERLINK("http://www.jccm.es/sede/tramite/KPN","CAMBIO DE TITULARIDAD, CAMBIO DE DENOMINACION O CESE DE ACTIVIDAD COMO EMPRESA DE RESTAURACION")</f>
        <v>CAMBIO DE TITULARIDAD, CAMBIO DE DENOMINACION O CESE DE ACTIVIDAD COMO EMPRESA DE RESTAURACION</v>
      </c>
      <c r="I314" s="3" t="s">
        <v>42</v>
      </c>
      <c r="J314" s="3" t="s">
        <v>41</v>
      </c>
      <c r="K314" s="3" t="s">
        <v>42</v>
      </c>
      <c r="L314" s="3" t="s">
        <v>41</v>
      </c>
    </row>
    <row r="315" spans="1:12" ht="69">
      <c r="A315" s="3" t="s">
        <v>1081</v>
      </c>
      <c r="B315" s="3" t="s">
        <v>1082</v>
      </c>
      <c r="C315" s="3" t="s">
        <v>95</v>
      </c>
      <c r="D315" s="3" t="s">
        <v>95</v>
      </c>
      <c r="E315" s="3" t="s">
        <v>96</v>
      </c>
      <c r="F315" s="3" t="s">
        <v>120</v>
      </c>
      <c r="G315" s="3" t="s">
        <v>1083</v>
      </c>
      <c r="H315" s="3" t="str">
        <f>HYPERLINK("http://www.jccm.es/sede/tramite/KA4","PAPELETA DE CONCILIACION INDIVIDUAL PREVIA A LA VIA JUDICIAL LABORAL")</f>
        <v>PAPELETA DE CONCILIACION INDIVIDUAL PREVIA A LA VIA JUDICIAL LABORAL</v>
      </c>
      <c r="I315" s="3" t="s">
        <v>42</v>
      </c>
      <c r="J315" s="3" t="s">
        <v>41</v>
      </c>
      <c r="K315" s="3" t="s">
        <v>42</v>
      </c>
      <c r="L315" s="3" t="s">
        <v>41</v>
      </c>
    </row>
    <row r="316" spans="1:12" ht="103.5">
      <c r="A316" s="3" t="s">
        <v>1084</v>
      </c>
      <c r="B316" s="3" t="s">
        <v>1085</v>
      </c>
      <c r="C316" s="3" t="s">
        <v>1086</v>
      </c>
      <c r="D316" s="3" t="s">
        <v>95</v>
      </c>
      <c r="E316" s="3" t="s">
        <v>96</v>
      </c>
      <c r="F316" s="3" t="s">
        <v>120</v>
      </c>
      <c r="G316" s="3" t="s">
        <v>1087</v>
      </c>
      <c r="H316" s="3" t="str">
        <f>HYPERLINK("http://www.jccm.es/sede/tramite/KER","PROCEDIMIENTO PARA LA SOLUCION DE DISCREPANCIAS SURGIDAS POR FALTA DE ACUERDO EN LOS PROCEDIMIENTOS DE INAPLICACION DE LAS CONDICIONES DE TRABAJO PREVISTAS EN EL CONVENIO COLECTIVO DE APLICACION")</f>
        <v>PROCEDIMIENTO PARA LA SOLUCION DE DISCREPANCIAS SURGIDAS POR FALTA DE ACUERDO EN LOS PROCEDIMIENTOS DE INAPLICACION DE LAS CONDICIONES DE TRABAJO PREVISTAS EN EL CONVENIO COLECTIVO DE APLICACION</v>
      </c>
      <c r="I316" s="3" t="s">
        <v>41</v>
      </c>
      <c r="J316" s="3" t="s">
        <v>41</v>
      </c>
      <c r="K316" s="3" t="s">
        <v>42</v>
      </c>
      <c r="L316" s="3" t="s">
        <v>41</v>
      </c>
    </row>
    <row r="317" spans="1:12" ht="69">
      <c r="A317" s="3" t="s">
        <v>1088</v>
      </c>
      <c r="B317" s="3" t="s">
        <v>1089</v>
      </c>
      <c r="C317" s="3" t="s">
        <v>1061</v>
      </c>
      <c r="D317" s="3" t="s">
        <v>46</v>
      </c>
      <c r="E317" s="3" t="s">
        <v>96</v>
      </c>
      <c r="F317" s="3" t="s">
        <v>113</v>
      </c>
      <c r="G317" s="3" t="s">
        <v>1090</v>
      </c>
      <c r="H317" s="3" t="str">
        <f>HYPERLINK("http://www.jccm.es/sede/tramite/KGS","GESTION DE OFERTAS DE EMPLEO DE ENTIDADES PUBLICAS Y PRIVADAS")</f>
        <v>GESTION DE OFERTAS DE EMPLEO DE ENTIDADES PUBLICAS Y PRIVADAS</v>
      </c>
      <c r="I317" s="3" t="s">
        <v>42</v>
      </c>
      <c r="J317" s="3" t="s">
        <v>41</v>
      </c>
      <c r="K317" s="3" t="s">
        <v>42</v>
      </c>
      <c r="L317" s="3" t="s">
        <v>41</v>
      </c>
    </row>
    <row r="318" spans="1:12" ht="80.45">
      <c r="A318" s="3" t="s">
        <v>1091</v>
      </c>
      <c r="B318" s="3" t="s">
        <v>1092</v>
      </c>
      <c r="C318" s="3" t="s">
        <v>1093</v>
      </c>
      <c r="D318" s="3" t="s">
        <v>95</v>
      </c>
      <c r="E318" s="3" t="s">
        <v>96</v>
      </c>
      <c r="F318" s="3" t="s">
        <v>120</v>
      </c>
      <c r="G318" s="3" t="s">
        <v>1094</v>
      </c>
      <c r="H318" s="3" t="str">
        <f>HYPERLINK("http://www.jccm.es/sede/tramite/L7W","COOPERATIVAS Y SOCIEDADES LABORALES: ARBITRAJE, CONCILIACION Y MEDIACION.")</f>
        <v>COOPERATIVAS Y SOCIEDADES LABORALES: ARBITRAJE, CONCILIACION Y MEDIACION.</v>
      </c>
      <c r="I318" s="3" t="s">
        <v>42</v>
      </c>
      <c r="J318" s="3" t="s">
        <v>41</v>
      </c>
      <c r="K318" s="3" t="s">
        <v>42</v>
      </c>
      <c r="L318" s="3" t="s">
        <v>41</v>
      </c>
    </row>
    <row r="319" spans="1:12" ht="69">
      <c r="A319" s="3" t="s">
        <v>1095</v>
      </c>
      <c r="B319" s="3" t="s">
        <v>1096</v>
      </c>
      <c r="C319" s="3" t="s">
        <v>95</v>
      </c>
      <c r="D319" s="3" t="s">
        <v>95</v>
      </c>
      <c r="E319" s="3" t="s">
        <v>96</v>
      </c>
      <c r="F319" s="3" t="s">
        <v>120</v>
      </c>
      <c r="G319" s="3" t="s">
        <v>1097</v>
      </c>
      <c r="H319" s="3" t="str">
        <f>HYPERLINK("http://www.jccm.es/sede/tramite/K0M","SUSCRIPCION DE CONVENIOS PARA EL DESARROLLO DE PRACTICAS NO LABORALES EN EMPRESAS")</f>
        <v>SUSCRIPCION DE CONVENIOS PARA EL DESARROLLO DE PRACTICAS NO LABORALES EN EMPRESAS</v>
      </c>
      <c r="I319" s="3" t="s">
        <v>42</v>
      </c>
      <c r="J319" s="3" t="s">
        <v>41</v>
      </c>
      <c r="K319" s="3" t="s">
        <v>42</v>
      </c>
      <c r="L319" s="3" t="s">
        <v>41</v>
      </c>
    </row>
    <row r="320" spans="1:12" ht="69">
      <c r="A320" s="3" t="s">
        <v>1098</v>
      </c>
      <c r="B320" s="3" t="s">
        <v>1099</v>
      </c>
      <c r="C320" s="3" t="s">
        <v>95</v>
      </c>
      <c r="D320" s="3" t="s">
        <v>95</v>
      </c>
      <c r="E320" s="3" t="s">
        <v>96</v>
      </c>
      <c r="F320" s="3" t="s">
        <v>113</v>
      </c>
      <c r="G320" s="3" t="s">
        <v>1100</v>
      </c>
      <c r="H320" s="3" t="str">
        <f>HYPERLINK("http://www.jccm.es/sede/tramite/JVI","ENVIO DEL DOCUMENTO DE SOLICITUDES DE RENOVACION DE DEMANDA DE EMPLEO DE LAS UNIDADES LOCALES DE GESTION DE EMPLEO A LAS OFICINAS DE EMPLEO")</f>
        <v>ENVIO DEL DOCUMENTO DE SOLICITUDES DE RENOVACION DE DEMANDA DE EMPLEO DE LAS UNIDADES LOCALES DE GESTION DE EMPLEO A LAS OFICINAS DE EMPLEO</v>
      </c>
      <c r="I320" s="3" t="s">
        <v>42</v>
      </c>
      <c r="J320" s="3" t="s">
        <v>41</v>
      </c>
      <c r="K320" s="3" t="s">
        <v>42</v>
      </c>
      <c r="L320" s="3" t="s">
        <v>41</v>
      </c>
    </row>
    <row r="321" spans="1:12" ht="103.5">
      <c r="A321" s="3" t="s">
        <v>1101</v>
      </c>
      <c r="B321" s="3" t="s">
        <v>1102</v>
      </c>
      <c r="C321" s="3" t="s">
        <v>95</v>
      </c>
      <c r="D321" s="3" t="s">
        <v>95</v>
      </c>
      <c r="E321" s="3" t="s">
        <v>96</v>
      </c>
      <c r="F321" s="3" t="s">
        <v>113</v>
      </c>
      <c r="G321" s="3" t="s">
        <v>1103</v>
      </c>
      <c r="H321" s="3" t="str">
        <f>HYPERLINK("http://www.jccm.es/sede/tramite/JVF","SOLICITUD DE SUSCRIPCION DE CONVENIOS DE COLABORACION PARA LA CREACION DE UNIDADES LOCALES DE GESTION DE EMPLEO ENTRE AYUNTAMIENTOS Y LA CONSEJERIA DE ECONOMIA, EMPRESAS Y EMPLEO")</f>
        <v>SOLICITUD DE SUSCRIPCION DE CONVENIOS DE COLABORACION PARA LA CREACION DE UNIDADES LOCALES DE GESTION DE EMPLEO ENTRE AYUNTAMIENTOS Y LA CONSEJERIA DE ECONOMIA, EMPRESAS Y EMPLEO</v>
      </c>
      <c r="I321" s="3" t="s">
        <v>41</v>
      </c>
      <c r="J321" s="3" t="s">
        <v>41</v>
      </c>
      <c r="K321" s="3" t="s">
        <v>42</v>
      </c>
      <c r="L321" s="3" t="s">
        <v>41</v>
      </c>
    </row>
    <row r="322" spans="1:12" ht="103.5">
      <c r="A322" s="3" t="s">
        <v>1104</v>
      </c>
      <c r="B322" s="3" t="s">
        <v>1105</v>
      </c>
      <c r="C322" s="3" t="s">
        <v>95</v>
      </c>
      <c r="D322" s="3" t="s">
        <v>95</v>
      </c>
      <c r="E322" s="3" t="s">
        <v>96</v>
      </c>
      <c r="F322" s="3" t="s">
        <v>328</v>
      </c>
      <c r="G322" s="3" t="s">
        <v>1106</v>
      </c>
      <c r="H322" s="3" t="str">
        <f>HYPERLINK("http://www.jccm.es/sede/tramite/KY8","SOLICITUD DE CONVENIO PARA LA REALIZACION DE ACTIVIDADES DE ASESORAMIENTO PARA EL AUTOEMPLEO Y EL EMPRENDIMIENTO, MEDIANTE LA CREACION DE LOS  ESPACIOS ADELANTE AUTOEMPLEO ")</f>
        <v xml:space="preserve">SOLICITUD DE CONVENIO PARA LA REALIZACION DE ACTIVIDADES DE ASESORAMIENTO PARA EL AUTOEMPLEO Y EL EMPRENDIMIENTO, MEDIANTE LA CREACION DE LOS  ESPACIOS ADELANTE AUTOEMPLEO </v>
      </c>
      <c r="I322" s="3" t="s">
        <v>41</v>
      </c>
      <c r="J322" s="3" t="s">
        <v>41</v>
      </c>
      <c r="K322" s="3" t="s">
        <v>42</v>
      </c>
      <c r="L322" s="3" t="s">
        <v>41</v>
      </c>
    </row>
    <row r="323" spans="1:12" ht="69">
      <c r="A323" s="3" t="s">
        <v>1107</v>
      </c>
      <c r="B323" s="3" t="s">
        <v>1108</v>
      </c>
      <c r="C323" s="3" t="s">
        <v>51</v>
      </c>
      <c r="D323" s="3" t="s">
        <v>46</v>
      </c>
      <c r="E323" s="3" t="s">
        <v>96</v>
      </c>
      <c r="F323" s="3" t="s">
        <v>1109</v>
      </c>
      <c r="G323" s="3" t="s">
        <v>1110</v>
      </c>
      <c r="H323" s="3" t="str">
        <f>HYPERLINK("http://www.jccm.es/sede/tramite/JZS","PROVISION DE PUESTOS DE TRABAJO POR EL PROCEDIMIENTO DE LIBRE DESIGNACION (ECONOMIA, EMPRESAS Y EMPLEO).")</f>
        <v>PROVISION DE PUESTOS DE TRABAJO POR EL PROCEDIMIENTO DE LIBRE DESIGNACION (ECONOMIA, EMPRESAS Y EMPLEO).</v>
      </c>
      <c r="I323" s="3" t="s">
        <v>41</v>
      </c>
      <c r="J323" s="3" t="s">
        <v>41</v>
      </c>
      <c r="K323" s="3" t="s">
        <v>42</v>
      </c>
      <c r="L323" s="3" t="s">
        <v>41</v>
      </c>
    </row>
    <row r="324" spans="1:12" ht="57.6">
      <c r="A324" s="3" t="s">
        <v>1111</v>
      </c>
      <c r="B324" s="3" t="s">
        <v>1112</v>
      </c>
      <c r="C324" s="3" t="s">
        <v>45</v>
      </c>
      <c r="D324" s="3" t="s">
        <v>46</v>
      </c>
      <c r="E324" s="3" t="s">
        <v>96</v>
      </c>
      <c r="F324" s="3" t="s">
        <v>1109</v>
      </c>
      <c r="G324" s="3" t="s">
        <v>1113</v>
      </c>
      <c r="H324" s="3" t="str">
        <f>HYPERLINK("http://www.jccm.es/sede/tramite/LT8","CESION GRATUITA DE VEHICULOS.")</f>
        <v>CESION GRATUITA DE VEHICULOS.</v>
      </c>
      <c r="I324" s="3" t="s">
        <v>42</v>
      </c>
      <c r="J324" s="3" t="s">
        <v>41</v>
      </c>
      <c r="K324" s="3" t="s">
        <v>42</v>
      </c>
      <c r="L324" s="3" t="s">
        <v>41</v>
      </c>
    </row>
  </sheetData>
  <printOptions horizontalCentered="1"/>
  <pageMargins left="3.937007874015748E-2" right="7.874015748031496E-2" top="0.6692913385826772" bottom="0.78740157480314965" header="0.31496062992125984" footer="0.19685039370078741"/>
  <pageSetup paperSize="9" scale="70" orientation="landscape" r:id="rId1"/>
  <headerFooter alignWithMargins="0">
    <oddHeader>&amp;C&amp;9Consejería de Economía, Empresas y Empleo</oddHeader>
    <oddFooter>&amp;CPágina &amp;P</oddFooter>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285"/>
  <sheetViews>
    <sheetView zoomScaleNormal="100" workbookViewId="0"/>
  </sheetViews>
  <sheetFormatPr defaultColWidth="11.42578125" defaultRowHeight="84" customHeight="1"/>
  <cols>
    <col min="1" max="1" width="15.28515625" style="1" customWidth="1"/>
    <col min="2" max="2" width="27.42578125" style="1" customWidth="1"/>
    <col min="3" max="4" width="14.85546875" style="1" customWidth="1"/>
    <col min="5" max="5" width="19.42578125" style="1" customWidth="1"/>
    <col min="6" max="6" width="18.140625" style="1" customWidth="1"/>
    <col min="7" max="7" width="11.140625" style="1" bestFit="1" customWidth="1"/>
    <col min="8" max="8" width="29" style="1" customWidth="1"/>
    <col min="9" max="9" width="11.28515625" style="1" bestFit="1" customWidth="1"/>
    <col min="10" max="10" width="4" style="1" bestFit="1" customWidth="1"/>
    <col min="11" max="11" width="7" style="1" bestFit="1" customWidth="1"/>
    <col min="12" max="12" width="5.5703125" style="1" bestFit="1" customWidth="1"/>
    <col min="13" max="16384" width="11.42578125" style="1"/>
  </cols>
  <sheetData>
    <row r="1" spans="1:12" ht="36" customHeight="1">
      <c r="A1" s="2" t="s">
        <v>6691</v>
      </c>
      <c r="B1" s="2" t="s">
        <v>26</v>
      </c>
      <c r="C1" s="2" t="s">
        <v>27</v>
      </c>
      <c r="D1" s="2" t="s">
        <v>2</v>
      </c>
      <c r="E1" s="2" t="s">
        <v>6751</v>
      </c>
      <c r="F1" s="2" t="s">
        <v>3</v>
      </c>
      <c r="G1" s="2" t="s">
        <v>28</v>
      </c>
      <c r="H1" s="2" t="s">
        <v>29</v>
      </c>
      <c r="I1" s="2" t="s">
        <v>30</v>
      </c>
      <c r="J1" s="4" t="s">
        <v>31</v>
      </c>
      <c r="K1" s="2" t="s">
        <v>32</v>
      </c>
      <c r="L1" s="2" t="s">
        <v>33</v>
      </c>
    </row>
    <row r="2" spans="1:12" ht="117.75" customHeight="1">
      <c r="A2" s="3" t="s">
        <v>1114</v>
      </c>
      <c r="B2" s="3" t="s">
        <v>1115</v>
      </c>
      <c r="C2" s="3" t="s">
        <v>45</v>
      </c>
      <c r="D2" s="3" t="s">
        <v>37</v>
      </c>
      <c r="E2" s="3" t="s">
        <v>1116</v>
      </c>
      <c r="F2" s="3" t="s">
        <v>1117</v>
      </c>
      <c r="G2" s="3" t="s">
        <v>1118</v>
      </c>
      <c r="H2" s="3" t="str">
        <f>HYPERLINK("http://www.jccm.es/sede/tramite/JO0","AUTORIZACION PREVIA AL PROTECTORADO (FUNDACIONES)")</f>
        <v>AUTORIZACION PREVIA AL PROTECTORADO (FUNDACIONES)</v>
      </c>
      <c r="I2" s="3" t="s">
        <v>42</v>
      </c>
      <c r="J2" s="3" t="s">
        <v>41</v>
      </c>
      <c r="K2" s="3" t="s">
        <v>42</v>
      </c>
      <c r="L2" s="3" t="s">
        <v>41</v>
      </c>
    </row>
    <row r="3" spans="1:12" ht="117.75" customHeight="1">
      <c r="A3" s="3" t="s">
        <v>1119</v>
      </c>
      <c r="B3" s="3" t="s">
        <v>1120</v>
      </c>
      <c r="C3" s="3" t="s">
        <v>327</v>
      </c>
      <c r="D3" s="3" t="s">
        <v>37</v>
      </c>
      <c r="E3" s="3" t="s">
        <v>1116</v>
      </c>
      <c r="F3" s="3" t="s">
        <v>1117</v>
      </c>
      <c r="G3" s="3" t="s">
        <v>1121</v>
      </c>
      <c r="H3" s="3" t="str">
        <f>HYPERLINK("http://www.jccm.es/sede/tramite/J8D","AUTORIZACION DE ADJUDICACION EN PUBLICA SUBASTA, MEDIANTE PRECIO, DEL APROVECHAMIENTO DE BIENES COMUNALES DE LAS CORPORACIONES LOCALES")</f>
        <v>AUTORIZACION DE ADJUDICACION EN PUBLICA SUBASTA, MEDIANTE PRECIO, DEL APROVECHAMIENTO DE BIENES COMUNALES DE LAS CORPORACIONES LOCALES</v>
      </c>
      <c r="I3" s="3" t="s">
        <v>42</v>
      </c>
      <c r="J3" s="3" t="s">
        <v>41</v>
      </c>
      <c r="K3" s="3" t="s">
        <v>42</v>
      </c>
      <c r="L3" s="3" t="s">
        <v>41</v>
      </c>
    </row>
    <row r="4" spans="1:12" ht="122.25" customHeight="1">
      <c r="A4" s="3" t="s">
        <v>1122</v>
      </c>
      <c r="B4" s="3" t="s">
        <v>1123</v>
      </c>
      <c r="C4" s="3" t="s">
        <v>1124</v>
      </c>
      <c r="D4" s="3" t="s">
        <v>37</v>
      </c>
      <c r="E4" s="3" t="s">
        <v>1116</v>
      </c>
      <c r="F4" s="3" t="s">
        <v>1125</v>
      </c>
      <c r="G4" s="3" t="s">
        <v>1126</v>
      </c>
      <c r="H4" s="3" t="str">
        <f>HYPERLINK("http://www.jccm.es/sede/tramite/J70","AUTORIZACION DE ACTIVIDADES RECREATIVAS O PRUEBAS DEPORTIVAS A REALIZAR POR EL TERRITORIO DE DOS O MAS PROVINCIAS.")</f>
        <v>AUTORIZACION DE ACTIVIDADES RECREATIVAS O PRUEBAS DEPORTIVAS A REALIZAR POR EL TERRITORIO DE DOS O MAS PROVINCIAS.</v>
      </c>
      <c r="I4" s="3" t="s">
        <v>42</v>
      </c>
      <c r="J4" s="3" t="s">
        <v>41</v>
      </c>
      <c r="K4" s="3" t="s">
        <v>42</v>
      </c>
      <c r="L4" s="3" t="s">
        <v>41</v>
      </c>
    </row>
    <row r="5" spans="1:12" ht="99.95" customHeight="1">
      <c r="A5" s="3" t="s">
        <v>1127</v>
      </c>
      <c r="B5" s="3" t="s">
        <v>1128</v>
      </c>
      <c r="C5" s="3" t="s">
        <v>1129</v>
      </c>
      <c r="D5" s="3" t="s">
        <v>37</v>
      </c>
      <c r="E5" s="3" t="s">
        <v>1116</v>
      </c>
      <c r="F5" s="3" t="s">
        <v>1125</v>
      </c>
      <c r="G5" s="3" t="s">
        <v>1130</v>
      </c>
      <c r="H5" s="3" t="str">
        <f>HYPERLINK("http://www.jccm.es/sede/tramite/F79","AUTORIZACION DE ACTIVIDADES RECREATIVAS O PRUEBAS DEPORTIVAS A REALIZAR POR EL TERRITORIO DE UNA SOLA PROVINCIA")</f>
        <v>AUTORIZACION DE ACTIVIDADES RECREATIVAS O PRUEBAS DEPORTIVAS A REALIZAR POR EL TERRITORIO DE UNA SOLA PROVINCIA</v>
      </c>
      <c r="I5" s="3" t="s">
        <v>42</v>
      </c>
      <c r="J5" s="3" t="s">
        <v>41</v>
      </c>
      <c r="K5" s="3" t="s">
        <v>42</v>
      </c>
      <c r="L5" s="3" t="s">
        <v>41</v>
      </c>
    </row>
    <row r="6" spans="1:12" ht="99.95" customHeight="1">
      <c r="A6" s="3" t="s">
        <v>1131</v>
      </c>
      <c r="B6" s="3" t="s">
        <v>1132</v>
      </c>
      <c r="C6" s="3" t="s">
        <v>45</v>
      </c>
      <c r="D6" s="3" t="s">
        <v>37</v>
      </c>
      <c r="E6" s="3" t="s">
        <v>1116</v>
      </c>
      <c r="F6" s="3" t="s">
        <v>1125</v>
      </c>
      <c r="G6" s="3" t="s">
        <v>1133</v>
      </c>
      <c r="H6" s="3" t="str">
        <f>HYPERLINK("http://www.jccm.es/sede/tramite/J6Z","AUTORIZACION  DE HORARIOS PERMANENTES Y ESPECIALES")</f>
        <v>AUTORIZACION  DE HORARIOS PERMANENTES Y ESPECIALES</v>
      </c>
      <c r="I6" s="3" t="s">
        <v>42</v>
      </c>
      <c r="J6" s="3" t="s">
        <v>41</v>
      </c>
      <c r="K6" s="3" t="s">
        <v>42</v>
      </c>
      <c r="L6" s="3" t="s">
        <v>41</v>
      </c>
    </row>
    <row r="7" spans="1:12" ht="99.95" customHeight="1">
      <c r="A7" s="3" t="s">
        <v>1134</v>
      </c>
      <c r="B7" s="3" t="s">
        <v>1135</v>
      </c>
      <c r="C7" s="3" t="s">
        <v>1136</v>
      </c>
      <c r="D7" s="3" t="s">
        <v>37</v>
      </c>
      <c r="E7" s="3" t="s">
        <v>1116</v>
      </c>
      <c r="F7" s="3" t="s">
        <v>1125</v>
      </c>
      <c r="G7" s="3" t="s">
        <v>1137</v>
      </c>
      <c r="H7" s="3" t="str">
        <f>HYPERLINK("http://www.jccm.es/sede/tramite/F78","COMUNICACION DE ESPECTACULOS TAURINOS EN PLAZA DE TOROS PERMANENTE.")</f>
        <v>COMUNICACION DE ESPECTACULOS TAURINOS EN PLAZA DE TOROS PERMANENTE.</v>
      </c>
      <c r="I7" s="3" t="s">
        <v>41</v>
      </c>
      <c r="J7" s="3" t="s">
        <v>41</v>
      </c>
      <c r="K7" s="3" t="s">
        <v>42</v>
      </c>
      <c r="L7" s="3" t="s">
        <v>41</v>
      </c>
    </row>
    <row r="8" spans="1:12" ht="99.95" customHeight="1">
      <c r="A8" s="3" t="s">
        <v>1138</v>
      </c>
      <c r="B8" s="3" t="s">
        <v>1139</v>
      </c>
      <c r="C8" s="3" t="s">
        <v>1136</v>
      </c>
      <c r="D8" s="3" t="s">
        <v>37</v>
      </c>
      <c r="E8" s="3" t="s">
        <v>1116</v>
      </c>
      <c r="F8" s="3" t="s">
        <v>1125</v>
      </c>
      <c r="G8" s="3" t="s">
        <v>1140</v>
      </c>
      <c r="H8" s="3" t="str">
        <f>HYPERLINK("http://www.jccm.es/sede/tramite/F77","AUTORIZACION DE ESPECTACULOS TAURINOS EN PLAZA DE TOROS NO PERMANENTE O PORTATIL.")</f>
        <v>AUTORIZACION DE ESPECTACULOS TAURINOS EN PLAZA DE TOROS NO PERMANENTE O PORTATIL.</v>
      </c>
      <c r="I8" s="3" t="s">
        <v>41</v>
      </c>
      <c r="J8" s="3" t="s">
        <v>41</v>
      </c>
      <c r="K8" s="3" t="s">
        <v>42</v>
      </c>
      <c r="L8" s="3" t="s">
        <v>41</v>
      </c>
    </row>
    <row r="9" spans="1:12" ht="112.5" customHeight="1">
      <c r="A9" s="3" t="s">
        <v>1141</v>
      </c>
      <c r="B9" s="3" t="s">
        <v>1142</v>
      </c>
      <c r="C9" s="3" t="s">
        <v>1143</v>
      </c>
      <c r="D9" s="3" t="s">
        <v>37</v>
      </c>
      <c r="E9" s="3" t="s">
        <v>1116</v>
      </c>
      <c r="F9" s="3" t="s">
        <v>1125</v>
      </c>
      <c r="G9" s="3" t="s">
        <v>1144</v>
      </c>
      <c r="H9" s="3" t="str">
        <f>HYPERLINK("http://www.jccm.es/sede/tramite/E59","AUTORIZACION DE FESTEJOS TAURINOS POPULARES.")</f>
        <v>AUTORIZACION DE FESTEJOS TAURINOS POPULARES.</v>
      </c>
      <c r="I9" s="3" t="s">
        <v>41</v>
      </c>
      <c r="J9" s="3" t="s">
        <v>41</v>
      </c>
      <c r="K9" s="3" t="s">
        <v>42</v>
      </c>
      <c r="L9" s="3" t="s">
        <v>41</v>
      </c>
    </row>
    <row r="10" spans="1:12" ht="117" customHeight="1">
      <c r="A10" s="3" t="s">
        <v>1145</v>
      </c>
      <c r="B10" s="3" t="s">
        <v>1146</v>
      </c>
      <c r="C10" s="3" t="s">
        <v>1147</v>
      </c>
      <c r="D10" s="3" t="s">
        <v>37</v>
      </c>
      <c r="E10" s="3" t="s">
        <v>1116</v>
      </c>
      <c r="F10" s="3" t="s">
        <v>1125</v>
      </c>
      <c r="G10" s="3" t="s">
        <v>1148</v>
      </c>
      <c r="H10" s="3" t="str">
        <f>HYPERLINK("http://www.jccm.es/sede/tramite/JGF","CREACION / RENOVACION DE ESCUELA TAURINA")</f>
        <v>CREACION / RENOVACION DE ESCUELA TAURINA</v>
      </c>
      <c r="I10" s="3" t="s">
        <v>41</v>
      </c>
      <c r="J10" s="3" t="s">
        <v>41</v>
      </c>
      <c r="K10" s="3" t="s">
        <v>42</v>
      </c>
      <c r="L10" s="3" t="s">
        <v>42</v>
      </c>
    </row>
    <row r="11" spans="1:12" ht="99.95" customHeight="1">
      <c r="A11" s="3" t="s">
        <v>1149</v>
      </c>
      <c r="B11" s="3" t="s">
        <v>1150</v>
      </c>
      <c r="C11" s="3" t="s">
        <v>95</v>
      </c>
      <c r="D11" s="3" t="s">
        <v>95</v>
      </c>
      <c r="E11" s="3" t="s">
        <v>1116</v>
      </c>
      <c r="F11" s="3" t="s">
        <v>1117</v>
      </c>
      <c r="G11" s="3" t="s">
        <v>1151</v>
      </c>
      <c r="H11" s="3" t="str">
        <f>HYPERLINK("http://www.jccm.es/sede/tramite/JL4","AUTORIZACION DE CONSULTA DE DOCUMENTOS DEL ARCHIVO DE CASTILLA-LA MANCHA")</f>
        <v>AUTORIZACION DE CONSULTA DE DOCUMENTOS DEL ARCHIVO DE CASTILLA-LA MANCHA</v>
      </c>
      <c r="I11" s="3" t="s">
        <v>42</v>
      </c>
      <c r="J11" s="3" t="s">
        <v>41</v>
      </c>
      <c r="K11" s="3" t="s">
        <v>42</v>
      </c>
      <c r="L11" s="3" t="s">
        <v>41</v>
      </c>
    </row>
    <row r="12" spans="1:12" ht="99.95" customHeight="1">
      <c r="A12" s="3" t="s">
        <v>1152</v>
      </c>
      <c r="B12" s="3" t="s">
        <v>1153</v>
      </c>
      <c r="C12" s="3" t="s">
        <v>45</v>
      </c>
      <c r="D12" s="3" t="s">
        <v>37</v>
      </c>
      <c r="E12" s="3" t="s">
        <v>1116</v>
      </c>
      <c r="F12" s="3" t="s">
        <v>1117</v>
      </c>
      <c r="G12" s="3" t="s">
        <v>1154</v>
      </c>
      <c r="H12" s="3" t="str">
        <f>HYPERLINK("http://www.jccm.es/sede/tramite/JVB","AUTORIZACION DE LA COMUNIDAD AUTONOMA PARA CAMBIAR EL USO DE LOS BIENES COMUNALES")</f>
        <v>AUTORIZACION DE LA COMUNIDAD AUTONOMA PARA CAMBIAR EL USO DE LOS BIENES COMUNALES</v>
      </c>
      <c r="I12" s="3" t="s">
        <v>42</v>
      </c>
      <c r="J12" s="3" t="s">
        <v>41</v>
      </c>
      <c r="K12" s="3" t="s">
        <v>42</v>
      </c>
      <c r="L12" s="3" t="s">
        <v>41</v>
      </c>
    </row>
    <row r="13" spans="1:12" ht="99.95" customHeight="1">
      <c r="A13" s="3" t="s">
        <v>1155</v>
      </c>
      <c r="B13" s="3" t="s">
        <v>1156</v>
      </c>
      <c r="C13" s="3" t="s">
        <v>327</v>
      </c>
      <c r="D13" s="3" t="s">
        <v>46</v>
      </c>
      <c r="E13" s="3" t="s">
        <v>1116</v>
      </c>
      <c r="F13" s="3" t="s">
        <v>1117</v>
      </c>
      <c r="G13" s="3" t="s">
        <v>1157</v>
      </c>
      <c r="H13" s="3" t="str">
        <f>HYPERLINK("http://www.jccm.es/sede/tramite/JX2","ALTERACIONES DE TERMINOS MUNICIPALES")</f>
        <v>ALTERACIONES DE TERMINOS MUNICIPALES</v>
      </c>
      <c r="I13" s="3" t="s">
        <v>42</v>
      </c>
      <c r="J13" s="3" t="s">
        <v>41</v>
      </c>
      <c r="K13" s="3" t="s">
        <v>42</v>
      </c>
      <c r="L13" s="3" t="s">
        <v>41</v>
      </c>
    </row>
    <row r="14" spans="1:12" ht="99.95" customHeight="1">
      <c r="A14" s="3" t="s">
        <v>1158</v>
      </c>
      <c r="B14" s="3" t="s">
        <v>1159</v>
      </c>
      <c r="C14" s="3" t="s">
        <v>327</v>
      </c>
      <c r="D14" s="3" t="s">
        <v>37</v>
      </c>
      <c r="E14" s="3" t="s">
        <v>1116</v>
      </c>
      <c r="F14" s="3" t="s">
        <v>1117</v>
      </c>
      <c r="G14" s="3" t="s">
        <v>1160</v>
      </c>
      <c r="H14" s="3" t="str">
        <f>HYPERLINK("http://www.jccm.es/sede/tramite/JX3","CONSTITUCION DEL REGIMEN ESPECIAL DE CONCEJO ABIERTO")</f>
        <v>CONSTITUCION DEL REGIMEN ESPECIAL DE CONCEJO ABIERTO</v>
      </c>
      <c r="I14" s="3" t="s">
        <v>42</v>
      </c>
      <c r="J14" s="3" t="s">
        <v>41</v>
      </c>
      <c r="K14" s="3" t="s">
        <v>42</v>
      </c>
      <c r="L14" s="3" t="s">
        <v>41</v>
      </c>
    </row>
    <row r="15" spans="1:12" ht="99.95" customHeight="1">
      <c r="A15" s="3" t="s">
        <v>1161</v>
      </c>
      <c r="B15" s="3" t="s">
        <v>1162</v>
      </c>
      <c r="C15" s="3" t="s">
        <v>327</v>
      </c>
      <c r="D15" s="3" t="s">
        <v>37</v>
      </c>
      <c r="E15" s="3" t="s">
        <v>1116</v>
      </c>
      <c r="F15" s="3" t="s">
        <v>1117</v>
      </c>
      <c r="G15" s="3" t="s">
        <v>1163</v>
      </c>
      <c r="H15" s="3" t="str">
        <f>HYPERLINK("http://www.jccm.es/sede/tramite/JX4","ALTERACION DEL NOMBRE Y CAPITALIDAD DEL MUNICIPIO")</f>
        <v>ALTERACION DEL NOMBRE Y CAPITALIDAD DEL MUNICIPIO</v>
      </c>
      <c r="I15" s="3" t="s">
        <v>42</v>
      </c>
      <c r="J15" s="3" t="s">
        <v>41</v>
      </c>
      <c r="K15" s="3" t="s">
        <v>42</v>
      </c>
      <c r="L15" s="3" t="s">
        <v>41</v>
      </c>
    </row>
    <row r="16" spans="1:12" ht="99.95" customHeight="1">
      <c r="A16" s="3" t="s">
        <v>1164</v>
      </c>
      <c r="B16" s="3" t="s">
        <v>1165</v>
      </c>
      <c r="C16" s="3" t="s">
        <v>45</v>
      </c>
      <c r="D16" s="3" t="s">
        <v>37</v>
      </c>
      <c r="E16" s="3" t="s">
        <v>1116</v>
      </c>
      <c r="F16" s="3" t="s">
        <v>1117</v>
      </c>
      <c r="G16" s="3" t="s">
        <v>1166</v>
      </c>
      <c r="H16" s="3" t="str">
        <f>HYPERLINK("http://www.jccm.es/sede/tramite/K0X","RATIFICACION EXTINCION FUNDACION")</f>
        <v>RATIFICACION EXTINCION FUNDACION</v>
      </c>
      <c r="I16" s="3" t="s">
        <v>42</v>
      </c>
      <c r="J16" s="3" t="s">
        <v>41</v>
      </c>
      <c r="K16" s="3" t="s">
        <v>42</v>
      </c>
      <c r="L16" s="3" t="s">
        <v>41</v>
      </c>
    </row>
    <row r="17" spans="1:12" ht="99.95" customHeight="1">
      <c r="A17" s="3" t="s">
        <v>1167</v>
      </c>
      <c r="B17" s="3" t="s">
        <v>1168</v>
      </c>
      <c r="C17" s="3" t="s">
        <v>62</v>
      </c>
      <c r="D17" s="3" t="s">
        <v>37</v>
      </c>
      <c r="E17" s="3" t="s">
        <v>1116</v>
      </c>
      <c r="F17" s="3" t="s">
        <v>1169</v>
      </c>
      <c r="G17" s="3" t="s">
        <v>1170</v>
      </c>
      <c r="H17" s="3" t="str">
        <f>HYPERLINK("http://www.jccm.es/sede/tramite/K3U","AUTORIZACION DE ACTIVIDADES DE PUBLICIDAD, PATROCINIO Y PROMOCION DE JUEGOS Y LAS APUESTAS.")</f>
        <v>AUTORIZACION DE ACTIVIDADES DE PUBLICIDAD, PATROCINIO Y PROMOCION DE JUEGOS Y LAS APUESTAS.</v>
      </c>
      <c r="I17" s="3" t="s">
        <v>42</v>
      </c>
      <c r="J17" s="3" t="s">
        <v>41</v>
      </c>
      <c r="K17" s="3" t="s">
        <v>42</v>
      </c>
      <c r="L17" s="3" t="s">
        <v>41</v>
      </c>
    </row>
    <row r="18" spans="1:12" ht="99.95" customHeight="1">
      <c r="A18" s="3" t="s">
        <v>1171</v>
      </c>
      <c r="B18" s="3" t="s">
        <v>1172</v>
      </c>
      <c r="C18" s="3" t="s">
        <v>1173</v>
      </c>
      <c r="D18" s="3" t="s">
        <v>46</v>
      </c>
      <c r="E18" s="3" t="s">
        <v>1116</v>
      </c>
      <c r="F18" s="3" t="s">
        <v>1169</v>
      </c>
      <c r="G18" s="3" t="s">
        <v>1174</v>
      </c>
      <c r="H18" s="3" t="str">
        <f>HYPERLINK("http://www.jccm.es/sede/tramite/K3W","AUTORIZACION DE RIFAS O TOMBOLAS")</f>
        <v>AUTORIZACION DE RIFAS O TOMBOLAS</v>
      </c>
      <c r="I18" s="3" t="s">
        <v>42</v>
      </c>
      <c r="J18" s="3" t="s">
        <v>41</v>
      </c>
      <c r="K18" s="3" t="s">
        <v>42</v>
      </c>
      <c r="L18" s="3" t="s">
        <v>41</v>
      </c>
    </row>
    <row r="19" spans="1:12" ht="99.95" customHeight="1">
      <c r="A19" s="3" t="s">
        <v>1175</v>
      </c>
      <c r="B19" s="3" t="s">
        <v>1176</v>
      </c>
      <c r="C19" s="3" t="s">
        <v>45</v>
      </c>
      <c r="D19" s="3" t="s">
        <v>46</v>
      </c>
      <c r="E19" s="3" t="s">
        <v>1116</v>
      </c>
      <c r="F19" s="3" t="s">
        <v>1169</v>
      </c>
      <c r="G19" s="3" t="s">
        <v>1177</v>
      </c>
      <c r="H19" s="3" t="str">
        <f>HYPERLINK("http://www.jccm.es/sede/tramite/K44","AUTORIZACION DE ACTIVIDADES DE JUEGOS ESPORADICOS POR CANALES ELECTRONICOS, INFORMATICOS, TELEMATICOS O INTERACTIVOS.")</f>
        <v>AUTORIZACION DE ACTIVIDADES DE JUEGOS ESPORADICOS POR CANALES ELECTRONICOS, INFORMATICOS, TELEMATICOS O INTERACTIVOS.</v>
      </c>
      <c r="I19" s="3" t="s">
        <v>42</v>
      </c>
      <c r="J19" s="3" t="s">
        <v>41</v>
      </c>
      <c r="K19" s="3" t="s">
        <v>42</v>
      </c>
      <c r="L19" s="3" t="s">
        <v>41</v>
      </c>
    </row>
    <row r="20" spans="1:12" ht="99.95" customHeight="1">
      <c r="A20" s="3" t="s">
        <v>1178</v>
      </c>
      <c r="B20" s="3" t="s">
        <v>1179</v>
      </c>
      <c r="C20" s="3" t="s">
        <v>45</v>
      </c>
      <c r="D20" s="3" t="s">
        <v>46</v>
      </c>
      <c r="E20" s="3" t="s">
        <v>1116</v>
      </c>
      <c r="F20" s="3" t="s">
        <v>1169</v>
      </c>
      <c r="G20" s="3" t="s">
        <v>1180</v>
      </c>
      <c r="H20" s="3" t="str">
        <f>HYPERLINK("http://www.jccm.es/sede/tramite/K45","TRANSMISION DE LA AUTORIZACION DE JUEGOS PERMANENTES POR CANALES ELECTRONICOS, INFORMATICOS, TELEMATICOS O INTERACTIVOS.")</f>
        <v>TRANSMISION DE LA AUTORIZACION DE JUEGOS PERMANENTES POR CANALES ELECTRONICOS, INFORMATICOS, TELEMATICOS O INTERACTIVOS.</v>
      </c>
      <c r="I20" s="3" t="s">
        <v>42</v>
      </c>
      <c r="J20" s="3" t="s">
        <v>41</v>
      </c>
      <c r="K20" s="3" t="s">
        <v>42</v>
      </c>
      <c r="L20" s="3" t="s">
        <v>41</v>
      </c>
    </row>
    <row r="21" spans="1:12" ht="99.95" customHeight="1">
      <c r="A21" s="3" t="s">
        <v>1181</v>
      </c>
      <c r="B21" s="3" t="s">
        <v>1182</v>
      </c>
      <c r="C21" s="3" t="s">
        <v>327</v>
      </c>
      <c r="D21" s="3" t="s">
        <v>46</v>
      </c>
      <c r="E21" s="3" t="s">
        <v>1116</v>
      </c>
      <c r="F21" s="3" t="s">
        <v>1169</v>
      </c>
      <c r="G21" s="3" t="s">
        <v>1183</v>
      </c>
      <c r="H21" s="3" t="str">
        <f>HYPERLINK("http://www.jccm.es/sede/tramite/K46","HOMOLOGACION, CONVALIDACION, MODIFICACION SUSTANCIAL DE LOS SISTEMAS TECNICOS DE JUEGO.")</f>
        <v>HOMOLOGACION, CONVALIDACION, MODIFICACION SUSTANCIAL DE LOS SISTEMAS TECNICOS DE JUEGO.</v>
      </c>
      <c r="I21" s="3" t="s">
        <v>42</v>
      </c>
      <c r="J21" s="3" t="s">
        <v>41</v>
      </c>
      <c r="K21" s="3" t="s">
        <v>42</v>
      </c>
      <c r="L21" s="3" t="s">
        <v>41</v>
      </c>
    </row>
    <row r="22" spans="1:12" ht="99.95" customHeight="1">
      <c r="A22" s="3" t="s">
        <v>1184</v>
      </c>
      <c r="B22" s="3" t="s">
        <v>1185</v>
      </c>
      <c r="C22" s="3" t="s">
        <v>327</v>
      </c>
      <c r="D22" s="3" t="s">
        <v>46</v>
      </c>
      <c r="E22" s="3" t="s">
        <v>1116</v>
      </c>
      <c r="F22" s="3" t="s">
        <v>1169</v>
      </c>
      <c r="G22" s="3" t="s">
        <v>1186</v>
      </c>
      <c r="H22" s="3" t="str">
        <f>HYPERLINK("http://www.jccm.es/sede/tramite/K4I","AUTORIZACION  DE INSTALACION  ZONAS DE APUESTAS.")</f>
        <v>AUTORIZACION  DE INSTALACION  ZONAS DE APUESTAS.</v>
      </c>
      <c r="I22" s="3" t="s">
        <v>42</v>
      </c>
      <c r="J22" s="3" t="s">
        <v>41</v>
      </c>
      <c r="K22" s="3" t="s">
        <v>42</v>
      </c>
      <c r="L22" s="3" t="s">
        <v>41</v>
      </c>
    </row>
    <row r="23" spans="1:12" ht="99.95" customHeight="1">
      <c r="A23" s="3" t="s">
        <v>1187</v>
      </c>
      <c r="B23" s="3" t="s">
        <v>1188</v>
      </c>
      <c r="C23" s="3" t="s">
        <v>45</v>
      </c>
      <c r="D23" s="3" t="s">
        <v>46</v>
      </c>
      <c r="E23" s="3" t="s">
        <v>1116</v>
      </c>
      <c r="F23" s="3" t="s">
        <v>1169</v>
      </c>
      <c r="G23" s="3" t="s">
        <v>1189</v>
      </c>
      <c r="H23" s="3" t="str">
        <f>HYPERLINK("http://www.jccm.es/sede/tramite/K4S","AUTORIZACION DE SISTEMAS DE INTERCONEXIONADO.")</f>
        <v>AUTORIZACION DE SISTEMAS DE INTERCONEXIONADO.</v>
      </c>
      <c r="I23" s="3" t="s">
        <v>42</v>
      </c>
      <c r="J23" s="3" t="s">
        <v>41</v>
      </c>
      <c r="K23" s="3" t="s">
        <v>42</v>
      </c>
      <c r="L23" s="3" t="s">
        <v>41</v>
      </c>
    </row>
    <row r="24" spans="1:12" ht="99.95" customHeight="1">
      <c r="A24" s="3" t="s">
        <v>1190</v>
      </c>
      <c r="B24" s="3" t="s">
        <v>1191</v>
      </c>
      <c r="C24" s="3" t="s">
        <v>45</v>
      </c>
      <c r="D24" s="3" t="s">
        <v>46</v>
      </c>
      <c r="E24" s="3" t="s">
        <v>1116</v>
      </c>
      <c r="F24" s="3" t="s">
        <v>1169</v>
      </c>
      <c r="G24" s="3" t="s">
        <v>1192</v>
      </c>
      <c r="H24" s="3" t="str">
        <f>HYPERLINK("http://www.jccm.es/sede/tramite/K59","TRANSMISION DE LA AUTORIZACION  DE INSTALACION  DE CASINOS DE JUEGO Y  ESTABLECIMIENTOS DE JUEGO.")</f>
        <v>TRANSMISION DE LA AUTORIZACION  DE INSTALACION  DE CASINOS DE JUEGO Y  ESTABLECIMIENTOS DE JUEGO.</v>
      </c>
      <c r="I24" s="3" t="s">
        <v>42</v>
      </c>
      <c r="J24" s="3" t="s">
        <v>41</v>
      </c>
      <c r="K24" s="3" t="s">
        <v>42</v>
      </c>
      <c r="L24" s="3" t="s">
        <v>41</v>
      </c>
    </row>
    <row r="25" spans="1:12" ht="99.95" customHeight="1">
      <c r="A25" s="3" t="s">
        <v>1193</v>
      </c>
      <c r="B25" s="3" t="s">
        <v>1194</v>
      </c>
      <c r="C25" s="3" t="s">
        <v>45</v>
      </c>
      <c r="D25" s="3" t="s">
        <v>37</v>
      </c>
      <c r="E25" s="3" t="s">
        <v>1116</v>
      </c>
      <c r="F25" s="3" t="s">
        <v>1169</v>
      </c>
      <c r="G25" s="3" t="s">
        <v>1195</v>
      </c>
      <c r="H25" s="3" t="str">
        <f>HYPERLINK("http://www.jccm.es/sede/tramite/K5G","SOLICITUD DE CLAVES DE ACCESO A LA TRAMITACION TELEMATICA JUEGO Y  A LA APLICACION DEL CONTROL ACCESO DE LOS ESTABLECIMIENTOS DE JUEGO")</f>
        <v>SOLICITUD DE CLAVES DE ACCESO A LA TRAMITACION TELEMATICA JUEGO Y  A LA APLICACION DEL CONTROL ACCESO DE LOS ESTABLECIMIENTOS DE JUEGO</v>
      </c>
      <c r="I25" s="3" t="s">
        <v>42</v>
      </c>
      <c r="J25" s="3" t="s">
        <v>41</v>
      </c>
      <c r="K25" s="3" t="s">
        <v>42</v>
      </c>
      <c r="L25" s="3" t="s">
        <v>41</v>
      </c>
    </row>
    <row r="26" spans="1:12" ht="99.95" customHeight="1">
      <c r="A26" s="3" t="s">
        <v>1196</v>
      </c>
      <c r="B26" s="3" t="s">
        <v>1197</v>
      </c>
      <c r="C26" s="3" t="s">
        <v>327</v>
      </c>
      <c r="D26" s="3" t="s">
        <v>37</v>
      </c>
      <c r="E26" s="3" t="s">
        <v>1116</v>
      </c>
      <c r="F26" s="3" t="s">
        <v>1117</v>
      </c>
      <c r="G26" s="3" t="s">
        <v>1198</v>
      </c>
      <c r="H26" s="3" t="str">
        <f>HYPERLINK("http://www.jccm.es/sede/tramite/K9K","CREACION DE UN COLEGIO PROFESIONAL/ CONSEJO DE COLEGIOS PROFESIONALES")</f>
        <v>CREACION DE UN COLEGIO PROFESIONAL/ CONSEJO DE COLEGIOS PROFESIONALES</v>
      </c>
      <c r="I26" s="3" t="s">
        <v>42</v>
      </c>
      <c r="J26" s="3" t="s">
        <v>41</v>
      </c>
      <c r="K26" s="3" t="s">
        <v>42</v>
      </c>
      <c r="L26" s="3" t="s">
        <v>41</v>
      </c>
    </row>
    <row r="27" spans="1:12" ht="99.95" customHeight="1">
      <c r="A27" s="3" t="s">
        <v>1199</v>
      </c>
      <c r="B27" s="3" t="s">
        <v>1200</v>
      </c>
      <c r="C27" s="3" t="s">
        <v>36</v>
      </c>
      <c r="D27" s="3" t="s">
        <v>46</v>
      </c>
      <c r="E27" s="3" t="s">
        <v>1116</v>
      </c>
      <c r="F27" s="3" t="s">
        <v>1201</v>
      </c>
      <c r="G27" s="3" t="s">
        <v>1202</v>
      </c>
      <c r="H27" s="3" t="str">
        <f>HYPERLINK("http://www.jccm.es/sede/tramite/F69","AUTORIZACION DE COMPATIBILIDAD PARA EL EJERCICIO DE ACTIVIDADES PUBLICAS")</f>
        <v>AUTORIZACION DE COMPATIBILIDAD PARA EL EJERCICIO DE ACTIVIDADES PUBLICAS</v>
      </c>
      <c r="I27" s="3" t="s">
        <v>41</v>
      </c>
      <c r="J27" s="3" t="s">
        <v>41</v>
      </c>
      <c r="K27" s="3" t="s">
        <v>42</v>
      </c>
      <c r="L27" s="3" t="s">
        <v>41</v>
      </c>
    </row>
    <row r="28" spans="1:12" ht="99.95" customHeight="1">
      <c r="A28" s="3" t="s">
        <v>1203</v>
      </c>
      <c r="B28" s="3" t="s">
        <v>1204</v>
      </c>
      <c r="C28" s="3" t="s">
        <v>95</v>
      </c>
      <c r="D28" s="3" t="s">
        <v>37</v>
      </c>
      <c r="E28" s="3" t="s">
        <v>1116</v>
      </c>
      <c r="F28" s="3" t="s">
        <v>1117</v>
      </c>
      <c r="G28" s="3" t="s">
        <v>1205</v>
      </c>
      <c r="H28" s="3" t="str">
        <f>HYPERLINK("http://www.jccm.es/sede/tramite/KTT","OBTENCION DE PUBLICIDAD REGISTRAL SOBRE COLEGIOS PROFESIONALES")</f>
        <v>OBTENCION DE PUBLICIDAD REGISTRAL SOBRE COLEGIOS PROFESIONALES</v>
      </c>
      <c r="I28" s="3" t="s">
        <v>42</v>
      </c>
      <c r="J28" s="3" t="s">
        <v>41</v>
      </c>
      <c r="K28" s="3" t="s">
        <v>42</v>
      </c>
      <c r="L28" s="3" t="s">
        <v>41</v>
      </c>
    </row>
    <row r="29" spans="1:12" ht="99.95" customHeight="1">
      <c r="A29" s="3" t="s">
        <v>1206</v>
      </c>
      <c r="B29" s="3" t="s">
        <v>1207</v>
      </c>
      <c r="C29" s="3" t="s">
        <v>45</v>
      </c>
      <c r="D29" s="3" t="s">
        <v>37</v>
      </c>
      <c r="E29" s="3" t="s">
        <v>1116</v>
      </c>
      <c r="F29" s="3" t="s">
        <v>1169</v>
      </c>
      <c r="G29" s="3" t="s">
        <v>1208</v>
      </c>
      <c r="H29" s="3" t="str">
        <f>HYPERLINK("http://www.jccm.es/sede/tramite/KUZ","SOLICITUD GENERAL EN MATERIA DE JUEGOS Y APUESTAS.")</f>
        <v>SOLICITUD GENERAL EN MATERIA DE JUEGOS Y APUESTAS.</v>
      </c>
      <c r="I29" s="3" t="s">
        <v>42</v>
      </c>
      <c r="J29" s="3" t="s">
        <v>41</v>
      </c>
      <c r="K29" s="3" t="s">
        <v>42</v>
      </c>
      <c r="L29" s="3" t="s">
        <v>41</v>
      </c>
    </row>
    <row r="30" spans="1:12" ht="99.95" customHeight="1">
      <c r="A30" s="3" t="s">
        <v>1209</v>
      </c>
      <c r="B30" s="3" t="s">
        <v>1210</v>
      </c>
      <c r="C30" s="3" t="s">
        <v>45</v>
      </c>
      <c r="D30" s="3" t="s">
        <v>37</v>
      </c>
      <c r="E30" s="3" t="s">
        <v>1116</v>
      </c>
      <c r="F30" s="3" t="s">
        <v>1125</v>
      </c>
      <c r="G30" s="3" t="s">
        <v>1211</v>
      </c>
      <c r="H30" s="3" t="str">
        <f>HYPERLINK("http://www.jccm.es/sede/tramite/L9R","AUTORIZACION O COMUNICACION DE MODIFICACION DE HORARIOS GENERALES")</f>
        <v>AUTORIZACION O COMUNICACION DE MODIFICACION DE HORARIOS GENERALES</v>
      </c>
      <c r="I30" s="3" t="s">
        <v>41</v>
      </c>
      <c r="J30" s="3" t="s">
        <v>41</v>
      </c>
      <c r="K30" s="3" t="s">
        <v>42</v>
      </c>
      <c r="L30" s="3" t="s">
        <v>41</v>
      </c>
    </row>
    <row r="31" spans="1:12" ht="99.95" customHeight="1">
      <c r="A31" s="3" t="s">
        <v>1212</v>
      </c>
      <c r="B31" s="3" t="s">
        <v>1213</v>
      </c>
      <c r="C31" s="3" t="s">
        <v>327</v>
      </c>
      <c r="D31" s="3" t="s">
        <v>46</v>
      </c>
      <c r="E31" s="3" t="s">
        <v>1116</v>
      </c>
      <c r="F31" s="3" t="s">
        <v>1169</v>
      </c>
      <c r="G31" s="3" t="s">
        <v>1214</v>
      </c>
      <c r="H31" s="3" t="str">
        <f>HYPERLINK("http://www.jccm.es/sede/tramite/LQ1","RENOVACION DE LA AUTORIZACION  DE INSTALACION  DE CASINOS DE JUEGO Y ESTABLECIMIENTOS DE JUEGO.")</f>
        <v>RENOVACION DE LA AUTORIZACION  DE INSTALACION  DE CASINOS DE JUEGO Y ESTABLECIMIENTOS DE JUEGO.</v>
      </c>
      <c r="I31" s="3" t="s">
        <v>42</v>
      </c>
      <c r="J31" s="3" t="s">
        <v>41</v>
      </c>
      <c r="K31" s="3" t="s">
        <v>42</v>
      </c>
      <c r="L31" s="3" t="s">
        <v>41</v>
      </c>
    </row>
    <row r="32" spans="1:12" ht="99.95" customHeight="1">
      <c r="A32" s="3" t="s">
        <v>1215</v>
      </c>
      <c r="B32" s="3" t="s">
        <v>1216</v>
      </c>
      <c r="C32" s="3" t="s">
        <v>1217</v>
      </c>
      <c r="D32" s="3" t="s">
        <v>46</v>
      </c>
      <c r="E32" s="3" t="s">
        <v>1116</v>
      </c>
      <c r="F32" s="3" t="s">
        <v>1169</v>
      </c>
      <c r="G32" s="3" t="s">
        <v>1218</v>
      </c>
      <c r="H32" s="3" t="str">
        <f>HYPERLINK("http://www.jccm.es/sede/tramite/LQ2","RENOVACION DE LA AUTORIZACION DE  ESTABLECIMIENTOS DE HOSTELERIA O SIMILAR.")</f>
        <v>RENOVACION DE LA AUTORIZACION DE  ESTABLECIMIENTOS DE HOSTELERIA O SIMILAR.</v>
      </c>
      <c r="I32" s="3" t="s">
        <v>42</v>
      </c>
      <c r="J32" s="3" t="s">
        <v>41</v>
      </c>
      <c r="K32" s="3" t="s">
        <v>42</v>
      </c>
      <c r="L32" s="3" t="s">
        <v>41</v>
      </c>
    </row>
    <row r="33" spans="1:12" ht="99.95" customHeight="1">
      <c r="A33" s="3" t="s">
        <v>1219</v>
      </c>
      <c r="B33" s="3" t="s">
        <v>1220</v>
      </c>
      <c r="C33" s="3" t="s">
        <v>327</v>
      </c>
      <c r="D33" s="3" t="s">
        <v>37</v>
      </c>
      <c r="E33" s="3" t="s">
        <v>1116</v>
      </c>
      <c r="F33" s="3" t="s">
        <v>1117</v>
      </c>
      <c r="G33" s="3" t="s">
        <v>1221</v>
      </c>
      <c r="H33" s="3" t="str">
        <f>HYPERLINK("http://www.jccm.es/sede/tramite/J8E","AUTORIZACION DE PERMUTA DE BIENES INMUEBLES PATRIMONIALES CUANDO SUPEREN EL 25 POR 100 DE LOS RECURSOS ORDINARIOS DEL PRESUPUESTO DE LA CORPORACION LOCAL")</f>
        <v>AUTORIZACION DE PERMUTA DE BIENES INMUEBLES PATRIMONIALES CUANDO SUPEREN EL 25 POR 100 DE LOS RECURSOS ORDINARIOS DEL PRESUPUESTO DE LA CORPORACION LOCAL</v>
      </c>
      <c r="I33" s="3" t="s">
        <v>42</v>
      </c>
      <c r="J33" s="3" t="s">
        <v>41</v>
      </c>
      <c r="K33" s="3" t="s">
        <v>42</v>
      </c>
      <c r="L33" s="3" t="s">
        <v>41</v>
      </c>
    </row>
    <row r="34" spans="1:12" ht="99.95" customHeight="1">
      <c r="A34" s="3" t="s">
        <v>1222</v>
      </c>
      <c r="B34" s="3" t="s">
        <v>1223</v>
      </c>
      <c r="C34" s="3" t="s">
        <v>327</v>
      </c>
      <c r="D34" s="3" t="s">
        <v>37</v>
      </c>
      <c r="E34" s="3" t="s">
        <v>1116</v>
      </c>
      <c r="F34" s="3" t="s">
        <v>1117</v>
      </c>
      <c r="G34" s="3" t="s">
        <v>1224</v>
      </c>
      <c r="H34" s="3" t="str">
        <f>HYPERLINK("http://www.jccm.es/sede/tramite/J8C","AUTORIZACION DE ENAJENACION DE BIENES Y DERECHOS CUYA CUANTIA SUPERE EL 25 POR 100 DE LOS RECURSOS ORDINARIOS DEL PRESUPUESTO DE LA CORPORACION LOCAL.")</f>
        <v>AUTORIZACION DE ENAJENACION DE BIENES Y DERECHOS CUYA CUANTIA SUPERE EL 25 POR 100 DE LOS RECURSOS ORDINARIOS DEL PRESUPUESTO DE LA CORPORACION LOCAL.</v>
      </c>
      <c r="I34" s="3" t="s">
        <v>42</v>
      </c>
      <c r="J34" s="3" t="s">
        <v>41</v>
      </c>
      <c r="K34" s="3" t="s">
        <v>42</v>
      </c>
      <c r="L34" s="3" t="s">
        <v>41</v>
      </c>
    </row>
    <row r="35" spans="1:12" ht="99.95" customHeight="1">
      <c r="A35" s="3" t="s">
        <v>1225</v>
      </c>
      <c r="B35" s="3" t="s">
        <v>1226</v>
      </c>
      <c r="C35" s="3" t="s">
        <v>1227</v>
      </c>
      <c r="D35" s="3" t="s">
        <v>37</v>
      </c>
      <c r="E35" s="3" t="s">
        <v>1116</v>
      </c>
      <c r="F35" s="3" t="s">
        <v>1125</v>
      </c>
      <c r="G35" s="3" t="s">
        <v>1228</v>
      </c>
      <c r="H35" s="3" t="str">
        <f>HYPERLINK("http://www.jccm.es/sede/tramite/L0D","CLASE PRACTICA DE ESCUELA TAURINA DENTRO DE SU SEDE")</f>
        <v>CLASE PRACTICA DE ESCUELA TAURINA DENTRO DE SU SEDE</v>
      </c>
      <c r="I35" s="3" t="s">
        <v>41</v>
      </c>
      <c r="J35" s="3" t="s">
        <v>41</v>
      </c>
      <c r="K35" s="3" t="s">
        <v>42</v>
      </c>
      <c r="L35" s="3" t="s">
        <v>41</v>
      </c>
    </row>
    <row r="36" spans="1:12" ht="99.95" customHeight="1">
      <c r="A36" s="3" t="s">
        <v>1229</v>
      </c>
      <c r="B36" s="3" t="s">
        <v>1230</v>
      </c>
      <c r="C36" s="3" t="s">
        <v>1227</v>
      </c>
      <c r="D36" s="3" t="s">
        <v>37</v>
      </c>
      <c r="E36" s="3" t="s">
        <v>1116</v>
      </c>
      <c r="F36" s="3" t="s">
        <v>1125</v>
      </c>
      <c r="G36" s="3" t="s">
        <v>1231</v>
      </c>
      <c r="H36" s="3" t="str">
        <f>HYPERLINK("http://www.jccm.es/sede/tramite/JGE","CLASE PRACTICA DE ESCUELA TAURINA FUERA DE SU SEDE.")</f>
        <v>CLASE PRACTICA DE ESCUELA TAURINA FUERA DE SU SEDE.</v>
      </c>
      <c r="I36" s="3" t="s">
        <v>41</v>
      </c>
      <c r="J36" s="3" t="s">
        <v>41</v>
      </c>
      <c r="K36" s="3" t="s">
        <v>42</v>
      </c>
      <c r="L36" s="3" t="s">
        <v>41</v>
      </c>
    </row>
    <row r="37" spans="1:12" ht="99.95" customHeight="1">
      <c r="A37" s="3" t="s">
        <v>1232</v>
      </c>
      <c r="B37" s="3" t="s">
        <v>1233</v>
      </c>
      <c r="C37" s="3" t="s">
        <v>1234</v>
      </c>
      <c r="D37" s="3" t="s">
        <v>46</v>
      </c>
      <c r="E37" s="3" t="s">
        <v>1116</v>
      </c>
      <c r="F37" s="3" t="s">
        <v>1169</v>
      </c>
      <c r="G37" s="3" t="s">
        <v>1235</v>
      </c>
      <c r="H37" s="3" t="str">
        <f>HYPERLINK("http://www.jccm.es/sede/tramite/K40","COMUNICACION PREVIA MODIFICACIONES NO ESENCIALES QUE SE PRETENDAN REALIZAR DURANTE EL EJERCICIO DE SU ACTIVIDAD DE JUEGO REALIZADOS POR CANALES ELECTRONICOS, INFORMATICOS, TELEMATICOS O INTERACTIVOS.")</f>
        <v>COMUNICACION PREVIA MODIFICACIONES NO ESENCIALES QUE SE PRETENDAN REALIZAR DURANTE EL EJERCICIO DE SU ACTIVIDAD DE JUEGO REALIZADOS POR CANALES ELECTRONICOS, INFORMATICOS, TELEMATICOS O INTERACTIVOS.</v>
      </c>
      <c r="I37" s="3" t="s">
        <v>42</v>
      </c>
      <c r="J37" s="3" t="s">
        <v>41</v>
      </c>
      <c r="K37" s="3" t="s">
        <v>42</v>
      </c>
      <c r="L37" s="3" t="s">
        <v>41</v>
      </c>
    </row>
    <row r="38" spans="1:12" ht="99.95" customHeight="1">
      <c r="A38" s="3" t="s">
        <v>1236</v>
      </c>
      <c r="B38" s="3" t="s">
        <v>1237</v>
      </c>
      <c r="C38" s="3" t="s">
        <v>327</v>
      </c>
      <c r="D38" s="3" t="s">
        <v>46</v>
      </c>
      <c r="E38" s="3" t="s">
        <v>1116</v>
      </c>
      <c r="F38" s="3" t="s">
        <v>1169</v>
      </c>
      <c r="G38" s="3" t="s">
        <v>1238</v>
      </c>
      <c r="H38" s="3" t="str">
        <f>HYPERLINK("http://www.jccm.es/sede/tramite/K42","AUTORIZACION DE ACTIVIDADES DE JUEGOS PERMANENTES POR CANALES ELECTRONICOS, INFORMATICOS, TELEMATICOS O INTERACTIVOS.")</f>
        <v>AUTORIZACION DE ACTIVIDADES DE JUEGOS PERMANENTES POR CANALES ELECTRONICOS, INFORMATICOS, TELEMATICOS O INTERACTIVOS.</v>
      </c>
      <c r="I38" s="3" t="s">
        <v>42</v>
      </c>
      <c r="J38" s="3" t="s">
        <v>41</v>
      </c>
      <c r="K38" s="3" t="s">
        <v>42</v>
      </c>
      <c r="L38" s="3" t="s">
        <v>41</v>
      </c>
    </row>
    <row r="39" spans="1:12" ht="99.95" customHeight="1">
      <c r="A39" s="3" t="s">
        <v>1239</v>
      </c>
      <c r="B39" s="3" t="s">
        <v>1240</v>
      </c>
      <c r="C39" s="3" t="s">
        <v>327</v>
      </c>
      <c r="D39" s="3" t="s">
        <v>46</v>
      </c>
      <c r="E39" s="3" t="s">
        <v>1116</v>
      </c>
      <c r="F39" s="3" t="s">
        <v>1169</v>
      </c>
      <c r="G39" s="3" t="s">
        <v>1241</v>
      </c>
      <c r="H39" s="3" t="str">
        <f>HYPERLINK("http://www.jccm.es/sede/tramite/K43","AUTORIZACION DE MODIFICACIONES ESENCIALES DE LA AUTORIZACION DE JUEGOS PERMANENTES POR CANALES ELECTRONICOS, INFORMATICOS, TELEMATICOS O INTERACTIVOS.")</f>
        <v>AUTORIZACION DE MODIFICACIONES ESENCIALES DE LA AUTORIZACION DE JUEGOS PERMANENTES POR CANALES ELECTRONICOS, INFORMATICOS, TELEMATICOS O INTERACTIVOS.</v>
      </c>
      <c r="I39" s="3" t="s">
        <v>42</v>
      </c>
      <c r="J39" s="3" t="s">
        <v>41</v>
      </c>
      <c r="K39" s="3" t="s">
        <v>42</v>
      </c>
      <c r="L39" s="3" t="s">
        <v>41</v>
      </c>
    </row>
    <row r="40" spans="1:12" ht="99.95" customHeight="1">
      <c r="A40" s="3" t="s">
        <v>1242</v>
      </c>
      <c r="B40" s="3" t="s">
        <v>1243</v>
      </c>
      <c r="C40" s="3" t="s">
        <v>327</v>
      </c>
      <c r="D40" s="3" t="s">
        <v>46</v>
      </c>
      <c r="E40" s="3" t="s">
        <v>1116</v>
      </c>
      <c r="F40" s="3" t="s">
        <v>1169</v>
      </c>
      <c r="G40" s="3" t="s">
        <v>1244</v>
      </c>
      <c r="H40" s="3" t="str">
        <f>HYPERLINK("http://www.jccm.es/sede/tramite/K4G","AUTORIZACION  DE INSTALACION  DE CASINOS DE JUEGO Y  ESTABLECIMIENTOS DE JUEGO.")</f>
        <v>AUTORIZACION  DE INSTALACION  DE CASINOS DE JUEGO Y  ESTABLECIMIENTOS DE JUEGO.</v>
      </c>
      <c r="I40" s="3" t="s">
        <v>42</v>
      </c>
      <c r="J40" s="3" t="s">
        <v>41</v>
      </c>
      <c r="K40" s="3" t="s">
        <v>42</v>
      </c>
      <c r="L40" s="3" t="s">
        <v>41</v>
      </c>
    </row>
    <row r="41" spans="1:12" ht="99.95" customHeight="1">
      <c r="A41" s="3" t="s">
        <v>1245</v>
      </c>
      <c r="B41" s="3" t="s">
        <v>1246</v>
      </c>
      <c r="C41" s="3" t="s">
        <v>327</v>
      </c>
      <c r="D41" s="3" t="s">
        <v>46</v>
      </c>
      <c r="E41" s="3" t="s">
        <v>1116</v>
      </c>
      <c r="F41" s="3" t="s">
        <v>1169</v>
      </c>
      <c r="G41" s="3" t="s">
        <v>1247</v>
      </c>
      <c r="H41" s="3" t="str">
        <f>HYPERLINK("http://www.jccm.es/sede/tramite/K4H","MODIFICACION SUSTANCIAL AUTORIZACION  DE INSTALACION  DE CASINOS DE JUEGO Y  ESTABLECIMIENTOS DE JUEGO.")</f>
        <v>MODIFICACION SUSTANCIAL AUTORIZACION  DE INSTALACION  DE CASINOS DE JUEGO Y  ESTABLECIMIENTOS DE JUEGO.</v>
      </c>
      <c r="I41" s="3" t="s">
        <v>42</v>
      </c>
      <c r="J41" s="3" t="s">
        <v>41</v>
      </c>
      <c r="K41" s="3" t="s">
        <v>42</v>
      </c>
      <c r="L41" s="3" t="s">
        <v>41</v>
      </c>
    </row>
    <row r="42" spans="1:12" ht="99.95" customHeight="1">
      <c r="A42" s="3" t="s">
        <v>1248</v>
      </c>
      <c r="B42" s="3" t="s">
        <v>1249</v>
      </c>
      <c r="C42" s="3" t="s">
        <v>45</v>
      </c>
      <c r="D42" s="3" t="s">
        <v>46</v>
      </c>
      <c r="E42" s="3" t="s">
        <v>1116</v>
      </c>
      <c r="F42" s="3" t="s">
        <v>1169</v>
      </c>
      <c r="G42" s="3" t="s">
        <v>1250</v>
      </c>
      <c r="H42" s="3" t="str">
        <f>HYPERLINK("http://www.jccm.es/sede/tramite/K4K","RENUNCIA DE MUTUO ACUERDO A LA AUTORIZACION DE INSTALACION DE ESTABLECIMIENTOS DE HOSTELERIA O SIMILAR.")</f>
        <v>RENUNCIA DE MUTUO ACUERDO A LA AUTORIZACION DE INSTALACION DE ESTABLECIMIENTOS DE HOSTELERIA O SIMILAR.</v>
      </c>
      <c r="I42" s="3" t="s">
        <v>42</v>
      </c>
      <c r="J42" s="3" t="s">
        <v>41</v>
      </c>
      <c r="K42" s="3" t="s">
        <v>42</v>
      </c>
      <c r="L42" s="3" t="s">
        <v>41</v>
      </c>
    </row>
    <row r="43" spans="1:12" ht="99.95" customHeight="1">
      <c r="A43" s="3" t="s">
        <v>1251</v>
      </c>
      <c r="B43" s="3" t="s">
        <v>1252</v>
      </c>
      <c r="C43" s="3" t="s">
        <v>45</v>
      </c>
      <c r="D43" s="3" t="s">
        <v>46</v>
      </c>
      <c r="E43" s="3" t="s">
        <v>1116</v>
      </c>
      <c r="F43" s="3" t="s">
        <v>1169</v>
      </c>
      <c r="G43" s="3" t="s">
        <v>1253</v>
      </c>
      <c r="H43" s="3" t="str">
        <f>HYPERLINK("http://www.jccm.es/sede/tramite/K4J","AUTORIZACION DE INSTALACION DE ESTABLECIMIENTOS DE HOSTELERIA O SIMILAR")</f>
        <v>AUTORIZACION DE INSTALACION DE ESTABLECIMIENTOS DE HOSTELERIA O SIMILAR</v>
      </c>
      <c r="I43" s="3" t="s">
        <v>42</v>
      </c>
      <c r="J43" s="3" t="s">
        <v>41</v>
      </c>
      <c r="K43" s="3" t="s">
        <v>42</v>
      </c>
      <c r="L43" s="3" t="s">
        <v>41</v>
      </c>
    </row>
    <row r="44" spans="1:12" ht="99.95" customHeight="1">
      <c r="A44" s="3" t="s">
        <v>1254</v>
      </c>
      <c r="B44" s="3" t="s">
        <v>1255</v>
      </c>
      <c r="C44" s="3" t="s">
        <v>45</v>
      </c>
      <c r="D44" s="3" t="s">
        <v>46</v>
      </c>
      <c r="E44" s="3" t="s">
        <v>1116</v>
      </c>
      <c r="F44" s="3" t="s">
        <v>1169</v>
      </c>
      <c r="G44" s="3" t="s">
        <v>1256</v>
      </c>
      <c r="H44" s="3" t="str">
        <f>HYPERLINK("http://www.jccm.es/sede/tramite/K4L","AUTORIZACION DE INICIO DE ACTIVIDAD DE EMPRESAS DE JUEGO Y APUESTAS.")</f>
        <v>AUTORIZACION DE INICIO DE ACTIVIDAD DE EMPRESAS DE JUEGO Y APUESTAS.</v>
      </c>
      <c r="I44" s="3" t="s">
        <v>42</v>
      </c>
      <c r="J44" s="3" t="s">
        <v>41</v>
      </c>
      <c r="K44" s="3" t="s">
        <v>42</v>
      </c>
      <c r="L44" s="3" t="s">
        <v>41</v>
      </c>
    </row>
    <row r="45" spans="1:12" ht="99.95" customHeight="1">
      <c r="A45" s="3" t="s">
        <v>1257</v>
      </c>
      <c r="B45" s="3" t="s">
        <v>1258</v>
      </c>
      <c r="C45" s="3" t="s">
        <v>45</v>
      </c>
      <c r="D45" s="3" t="s">
        <v>46</v>
      </c>
      <c r="E45" s="3" t="s">
        <v>1116</v>
      </c>
      <c r="F45" s="3" t="s">
        <v>1169</v>
      </c>
      <c r="G45" s="3" t="s">
        <v>1259</v>
      </c>
      <c r="H45" s="3" t="str">
        <f>HYPERLINK("http://www.jccm.es/sede/tramite/K4M","MODIFICACION SUSTANCIAL INICIO DE ACTIVIDAD EMPRESAS DE JUEGO")</f>
        <v>MODIFICACION SUSTANCIAL INICIO DE ACTIVIDAD EMPRESAS DE JUEGO</v>
      </c>
      <c r="I45" s="3" t="s">
        <v>42</v>
      </c>
      <c r="J45" s="3" t="s">
        <v>41</v>
      </c>
      <c r="K45" s="3" t="s">
        <v>42</v>
      </c>
      <c r="L45" s="3" t="s">
        <v>41</v>
      </c>
    </row>
    <row r="46" spans="1:12" ht="99.95" customHeight="1">
      <c r="A46" s="3" t="s">
        <v>1260</v>
      </c>
      <c r="B46" s="3" t="s">
        <v>1261</v>
      </c>
      <c r="C46" s="3" t="s">
        <v>45</v>
      </c>
      <c r="D46" s="3" t="s">
        <v>46</v>
      </c>
      <c r="E46" s="3" t="s">
        <v>1116</v>
      </c>
      <c r="F46" s="3" t="s">
        <v>1169</v>
      </c>
      <c r="G46" s="3" t="s">
        <v>1262</v>
      </c>
      <c r="H46" s="3" t="str">
        <f>HYPERLINK("http://www.jccm.es/sede/tramite/K4N","AUTORIZACION LABORATORIO DE ENSAYO.")</f>
        <v>AUTORIZACION LABORATORIO DE ENSAYO.</v>
      </c>
      <c r="I46" s="3" t="s">
        <v>42</v>
      </c>
      <c r="J46" s="3" t="s">
        <v>41</v>
      </c>
      <c r="K46" s="3" t="s">
        <v>42</v>
      </c>
      <c r="L46" s="3" t="s">
        <v>41</v>
      </c>
    </row>
    <row r="47" spans="1:12" ht="99.95" customHeight="1">
      <c r="A47" s="3" t="s">
        <v>1263</v>
      </c>
      <c r="B47" s="3" t="s">
        <v>1264</v>
      </c>
      <c r="C47" s="3" t="s">
        <v>45</v>
      </c>
      <c r="D47" s="3" t="s">
        <v>46</v>
      </c>
      <c r="E47" s="3" t="s">
        <v>1116</v>
      </c>
      <c r="F47" s="3" t="s">
        <v>1169</v>
      </c>
      <c r="G47" s="3" t="s">
        <v>1265</v>
      </c>
      <c r="H47" s="3" t="str">
        <f>HYPERLINK("http://www.jccm.es/sede/tramite/K4O","HOMOLOGACION, CONVALIDACION Y MODIFICACION SUSTANCIAL DEL MATERIAL DE JUEGO Y APUESTAS.")</f>
        <v>HOMOLOGACION, CONVALIDACION Y MODIFICACION SUSTANCIAL DEL MATERIAL DE JUEGO Y APUESTAS.</v>
      </c>
      <c r="I47" s="3" t="s">
        <v>42</v>
      </c>
      <c r="J47" s="3" t="s">
        <v>41</v>
      </c>
      <c r="K47" s="3" t="s">
        <v>42</v>
      </c>
      <c r="L47" s="3" t="s">
        <v>41</v>
      </c>
    </row>
    <row r="48" spans="1:12" ht="99.95" customHeight="1">
      <c r="A48" s="3" t="s">
        <v>1266</v>
      </c>
      <c r="B48" s="3" t="s">
        <v>1267</v>
      </c>
      <c r="C48" s="3" t="s">
        <v>70</v>
      </c>
      <c r="D48" s="3" t="s">
        <v>46</v>
      </c>
      <c r="E48" s="3" t="s">
        <v>1116</v>
      </c>
      <c r="F48" s="3" t="s">
        <v>1169</v>
      </c>
      <c r="G48" s="3" t="s">
        <v>1268</v>
      </c>
      <c r="H48" s="3" t="str">
        <f>HYPERLINK("http://www.jccm.es/sede/tramite/K4R","BAJA TEMPORAL O REACTIVACION DE LA AUTORIZACION DE EXPLOTACION DE MAQUINAS DE JUEGO.")</f>
        <v>BAJA TEMPORAL O REACTIVACION DE LA AUTORIZACION DE EXPLOTACION DE MAQUINAS DE JUEGO.</v>
      </c>
      <c r="I48" s="3" t="s">
        <v>42</v>
      </c>
      <c r="J48" s="3" t="s">
        <v>41</v>
      </c>
      <c r="K48" s="3" t="s">
        <v>42</v>
      </c>
      <c r="L48" s="3" t="s">
        <v>41</v>
      </c>
    </row>
    <row r="49" spans="1:12" ht="99.95" customHeight="1">
      <c r="A49" s="3" t="s">
        <v>1269</v>
      </c>
      <c r="B49" s="3" t="s">
        <v>1270</v>
      </c>
      <c r="C49" s="3" t="s">
        <v>70</v>
      </c>
      <c r="D49" s="3" t="s">
        <v>46</v>
      </c>
      <c r="E49" s="3" t="s">
        <v>1116</v>
      </c>
      <c r="F49" s="3" t="s">
        <v>1169</v>
      </c>
      <c r="G49" s="3" t="s">
        <v>1271</v>
      </c>
      <c r="H49" s="3" t="str">
        <f>HYPERLINK("http://www.jccm.es/sede/tramite/K4P","AUTORIZACION DE EXPLOTACION  DE MAQUINAS DE JUEGO.")</f>
        <v>AUTORIZACION DE EXPLOTACION  DE MAQUINAS DE JUEGO.</v>
      </c>
      <c r="I49" s="3" t="s">
        <v>42</v>
      </c>
      <c r="J49" s="3" t="s">
        <v>41</v>
      </c>
      <c r="K49" s="3" t="s">
        <v>42</v>
      </c>
      <c r="L49" s="3" t="s">
        <v>41</v>
      </c>
    </row>
    <row r="50" spans="1:12" ht="99.95" customHeight="1">
      <c r="A50" s="3" t="s">
        <v>1272</v>
      </c>
      <c r="B50" s="3" t="s">
        <v>1273</v>
      </c>
      <c r="C50" s="3" t="s">
        <v>70</v>
      </c>
      <c r="D50" s="3" t="s">
        <v>46</v>
      </c>
      <c r="E50" s="3" t="s">
        <v>1116</v>
      </c>
      <c r="F50" s="3" t="s">
        <v>1169</v>
      </c>
      <c r="G50" s="3" t="s">
        <v>1274</v>
      </c>
      <c r="H50" s="3" t="str">
        <f>HYPERLINK("http://www.jccm.es/sede/tramite/K4Q","TRANSMISION DE LA AUTORIZACION DE EXPLOTACION DE  MAQUINAS DE JUEGO.")</f>
        <v>TRANSMISION DE LA AUTORIZACION DE EXPLOTACION DE  MAQUINAS DE JUEGO.</v>
      </c>
      <c r="I50" s="3" t="s">
        <v>42</v>
      </c>
      <c r="J50" s="3" t="s">
        <v>41</v>
      </c>
      <c r="K50" s="3" t="s">
        <v>42</v>
      </c>
      <c r="L50" s="3" t="s">
        <v>41</v>
      </c>
    </row>
    <row r="51" spans="1:12" ht="99.95" customHeight="1">
      <c r="A51" s="3" t="s">
        <v>1275</v>
      </c>
      <c r="B51" s="3" t="s">
        <v>1276</v>
      </c>
      <c r="C51" s="3" t="s">
        <v>1234</v>
      </c>
      <c r="D51" s="3" t="s">
        <v>46</v>
      </c>
      <c r="E51" s="3" t="s">
        <v>1116</v>
      </c>
      <c r="F51" s="3" t="s">
        <v>1169</v>
      </c>
      <c r="G51" s="3" t="s">
        <v>1277</v>
      </c>
      <c r="H51" s="3" t="str">
        <f>HYPERLINK("http://www.jccm.es/sede/tramite/K55","COMUNICACION PREVIA DE MODIFICACIONES NO SUSTANCIALES.")</f>
        <v>COMUNICACION PREVIA DE MODIFICACIONES NO SUSTANCIALES.</v>
      </c>
      <c r="I51" s="3" t="s">
        <v>42</v>
      </c>
      <c r="J51" s="3" t="s">
        <v>41</v>
      </c>
      <c r="K51" s="3" t="s">
        <v>42</v>
      </c>
      <c r="L51" s="3" t="s">
        <v>41</v>
      </c>
    </row>
    <row r="52" spans="1:12" ht="99.95" customHeight="1">
      <c r="A52" s="3" t="s">
        <v>1278</v>
      </c>
      <c r="B52" s="3" t="s">
        <v>1279</v>
      </c>
      <c r="C52" s="3" t="s">
        <v>1234</v>
      </c>
      <c r="D52" s="3" t="s">
        <v>46</v>
      </c>
      <c r="E52" s="3" t="s">
        <v>1116</v>
      </c>
      <c r="F52" s="3" t="s">
        <v>1169</v>
      </c>
      <c r="G52" s="3" t="s">
        <v>1280</v>
      </c>
      <c r="H52" s="3" t="str">
        <f>HYPERLINK("http://www.jccm.es/sede/tramite/K56","COMUNICACION PREVIA DE TRANSMISION, AMPLIACION, DISMINUCION DE ACCIONES O PARTICIPACIONES DE LA SOCIEDAD MERCANTILES DEDICADAS AL JUEGO Y CUALESQUIERA OTRAS MODIFICACIONES SOCIETARIAS.")</f>
        <v>COMUNICACION PREVIA DE TRANSMISION, AMPLIACION, DISMINUCION DE ACCIONES O PARTICIPACIONES DE LA SOCIEDAD MERCANTILES DEDICADAS AL JUEGO Y CUALESQUIERA OTRAS MODIFICACIONES SOCIETARIAS.</v>
      </c>
      <c r="I52" s="3" t="s">
        <v>42</v>
      </c>
      <c r="J52" s="3" t="s">
        <v>41</v>
      </c>
      <c r="K52" s="3" t="s">
        <v>42</v>
      </c>
      <c r="L52" s="3" t="s">
        <v>41</v>
      </c>
    </row>
    <row r="53" spans="1:12" ht="99.95" customHeight="1">
      <c r="A53" s="3" t="s">
        <v>1281</v>
      </c>
      <c r="B53" s="3" t="s">
        <v>1282</v>
      </c>
      <c r="C53" s="3" t="s">
        <v>1234</v>
      </c>
      <c r="D53" s="3" t="s">
        <v>46</v>
      </c>
      <c r="E53" s="3" t="s">
        <v>1116</v>
      </c>
      <c r="F53" s="3" t="s">
        <v>1169</v>
      </c>
      <c r="G53" s="3" t="s">
        <v>1283</v>
      </c>
      <c r="H53" s="3" t="str">
        <f>HYPERLINK("http://www.jccm.es/sede/tramite/K57","COMUNICACION PREVIA DE TRANSMISION DE LA AUTORIZACION DE HOMOLOGACION DE MAQUINAS DE JUEGO, SISTEMAS DE INTERCONEXION Y MATERIAL PARA LA PRACTICA DEL JUEGO.")</f>
        <v>COMUNICACION PREVIA DE TRANSMISION DE LA AUTORIZACION DE HOMOLOGACION DE MAQUINAS DE JUEGO, SISTEMAS DE INTERCONEXION Y MATERIAL PARA LA PRACTICA DEL JUEGO.</v>
      </c>
      <c r="I53" s="3" t="s">
        <v>42</v>
      </c>
      <c r="J53" s="3" t="s">
        <v>41</v>
      </c>
      <c r="K53" s="3" t="s">
        <v>42</v>
      </c>
      <c r="L53" s="3" t="s">
        <v>41</v>
      </c>
    </row>
    <row r="54" spans="1:12" ht="99.95" customHeight="1">
      <c r="A54" s="3" t="s">
        <v>1284</v>
      </c>
      <c r="B54" s="3" t="s">
        <v>1285</v>
      </c>
      <c r="C54" s="3" t="s">
        <v>45</v>
      </c>
      <c r="D54" s="3" t="s">
        <v>46</v>
      </c>
      <c r="E54" s="3" t="s">
        <v>1116</v>
      </c>
      <c r="F54" s="3" t="s">
        <v>1286</v>
      </c>
      <c r="G54" s="3" t="s">
        <v>1287</v>
      </c>
      <c r="H54" s="3" t="str">
        <f>HYPERLINK("http://www.jccm.es/sede/tramite/IK1","INSCRIPCION EN EL REGISTRO OFICIAL DE LICITADORES Y EMPRESAS CLASIFICADAS DEL SECTOR PUBLICO A TRAVES DEL REGISTRO OFICIAL DE LICITADORES DE CASTILLA-LA MANCHA")</f>
        <v>INSCRIPCION EN EL REGISTRO OFICIAL DE LICITADORES Y EMPRESAS CLASIFICADAS DEL SECTOR PUBLICO A TRAVES DEL REGISTRO OFICIAL DE LICITADORES DE CASTILLA-LA MANCHA</v>
      </c>
      <c r="I54" s="3" t="s">
        <v>41</v>
      </c>
      <c r="J54" s="3" t="s">
        <v>41</v>
      </c>
      <c r="K54" s="3" t="s">
        <v>42</v>
      </c>
      <c r="L54" s="3" t="s">
        <v>41</v>
      </c>
    </row>
    <row r="55" spans="1:12" ht="99.95" customHeight="1">
      <c r="A55" s="3" t="s">
        <v>1288</v>
      </c>
      <c r="B55" s="3" t="s">
        <v>1289</v>
      </c>
      <c r="C55" s="3" t="s">
        <v>95</v>
      </c>
      <c r="D55" s="3" t="s">
        <v>95</v>
      </c>
      <c r="E55" s="3" t="s">
        <v>1116</v>
      </c>
      <c r="F55" s="3" t="s">
        <v>1290</v>
      </c>
      <c r="G55" s="3" t="s">
        <v>1291</v>
      </c>
      <c r="H55" s="3" t="str">
        <f>HYPERLINK("http://www.jccm.es/sede/tramite/ISE","DOCUMENTACION ESTADISTICO-CONTABLE Y DEL NEGOCIO DE LOS MEDIADORES DE SEGUROS")</f>
        <v>DOCUMENTACION ESTADISTICO-CONTABLE Y DEL NEGOCIO DE LOS MEDIADORES DE SEGUROS</v>
      </c>
      <c r="I55" s="3" t="s">
        <v>41</v>
      </c>
      <c r="J55" s="3" t="s">
        <v>41</v>
      </c>
      <c r="K55" s="3" t="s">
        <v>42</v>
      </c>
      <c r="L55" s="3" t="s">
        <v>41</v>
      </c>
    </row>
    <row r="56" spans="1:12" ht="99.95" customHeight="1">
      <c r="A56" s="3" t="s">
        <v>1292</v>
      </c>
      <c r="B56" s="3" t="s">
        <v>1293</v>
      </c>
      <c r="C56" s="3" t="s">
        <v>1294</v>
      </c>
      <c r="D56" s="3" t="s">
        <v>37</v>
      </c>
      <c r="E56" s="3" t="s">
        <v>1116</v>
      </c>
      <c r="F56" s="3" t="s">
        <v>1117</v>
      </c>
      <c r="G56" s="3" t="s">
        <v>1295</v>
      </c>
      <c r="H56" s="3" t="str">
        <f>HYPERLINK("http://www.jccm.es/sede/tramite/706","REGISTRO DE FUNDACIONES DE CASTILLA-LA MANCHA")</f>
        <v>REGISTRO DE FUNDACIONES DE CASTILLA-LA MANCHA</v>
      </c>
      <c r="I56" s="3" t="s">
        <v>42</v>
      </c>
      <c r="J56" s="3" t="s">
        <v>41</v>
      </c>
      <c r="K56" s="3" t="s">
        <v>41</v>
      </c>
      <c r="L56" s="3" t="s">
        <v>41</v>
      </c>
    </row>
    <row r="57" spans="1:12" ht="99.95" customHeight="1">
      <c r="A57" s="3" t="s">
        <v>1296</v>
      </c>
      <c r="B57" s="3" t="s">
        <v>1297</v>
      </c>
      <c r="C57" s="3" t="s">
        <v>45</v>
      </c>
      <c r="D57" s="3" t="s">
        <v>37</v>
      </c>
      <c r="E57" s="3" t="s">
        <v>1116</v>
      </c>
      <c r="F57" s="3" t="s">
        <v>1117</v>
      </c>
      <c r="G57" s="3" t="s">
        <v>1298</v>
      </c>
      <c r="H57" s="3" t="str">
        <f>HYPERLINK("http://www.jccm.es/sede/tramite/056","INSCRIPCION EN EL REGISTRO DE COLEGIOS  Y CONSEJOS DE COLEGIOS PROFESIONALES  DE CASTILLA-LA MANCHA.")</f>
        <v>INSCRIPCION EN EL REGISTRO DE COLEGIOS  Y CONSEJOS DE COLEGIOS PROFESIONALES  DE CASTILLA-LA MANCHA.</v>
      </c>
      <c r="I57" s="3" t="s">
        <v>42</v>
      </c>
      <c r="J57" s="3" t="s">
        <v>41</v>
      </c>
      <c r="K57" s="3" t="s">
        <v>42</v>
      </c>
      <c r="L57" s="3" t="s">
        <v>41</v>
      </c>
    </row>
    <row r="58" spans="1:12" ht="99.95" customHeight="1">
      <c r="A58" s="3" t="s">
        <v>1299</v>
      </c>
      <c r="B58" s="3" t="s">
        <v>1300</v>
      </c>
      <c r="C58" s="3" t="s">
        <v>45</v>
      </c>
      <c r="D58" s="3" t="s">
        <v>37</v>
      </c>
      <c r="E58" s="3" t="s">
        <v>1116</v>
      </c>
      <c r="F58" s="3" t="s">
        <v>1117</v>
      </c>
      <c r="G58" s="3" t="s">
        <v>1301</v>
      </c>
      <c r="H58" s="3" t="str">
        <f>HYPERLINK("http://www.jccm.es/sede/tramite/673","INSCRIPCION EN EL REGISTRO DE ASOCIACIONES DE CASTILLA-LA MANCHA")</f>
        <v>INSCRIPCION EN EL REGISTRO DE ASOCIACIONES DE CASTILLA-LA MANCHA</v>
      </c>
      <c r="I58" s="3" t="s">
        <v>42</v>
      </c>
      <c r="J58" s="3" t="s">
        <v>41</v>
      </c>
      <c r="K58" s="3" t="s">
        <v>42</v>
      </c>
      <c r="L58" s="3" t="s">
        <v>41</v>
      </c>
    </row>
    <row r="59" spans="1:12" ht="99.95" customHeight="1">
      <c r="A59" s="3" t="s">
        <v>1302</v>
      </c>
      <c r="B59" s="3" t="s">
        <v>1303</v>
      </c>
      <c r="C59" s="3" t="s">
        <v>45</v>
      </c>
      <c r="D59" s="3" t="s">
        <v>37</v>
      </c>
      <c r="E59" s="3" t="s">
        <v>1116</v>
      </c>
      <c r="F59" s="3" t="s">
        <v>1117</v>
      </c>
      <c r="G59" s="3" t="s">
        <v>1304</v>
      </c>
      <c r="H59" s="3" t="str">
        <f>HYPERLINK("http://www.jccm.es/sede/tramite/I4H","REGISTRO DE PAREJAS DE HECHO")</f>
        <v>REGISTRO DE PAREJAS DE HECHO</v>
      </c>
      <c r="I59" s="3" t="s">
        <v>42</v>
      </c>
      <c r="J59" s="3" t="s">
        <v>41</v>
      </c>
      <c r="K59" s="3" t="s">
        <v>42</v>
      </c>
      <c r="L59" s="3" t="s">
        <v>41</v>
      </c>
    </row>
    <row r="60" spans="1:12" ht="99.95" customHeight="1">
      <c r="A60" s="3" t="s">
        <v>1305</v>
      </c>
      <c r="B60" s="3" t="s">
        <v>1306</v>
      </c>
      <c r="C60" s="3" t="s">
        <v>51</v>
      </c>
      <c r="D60" s="3" t="s">
        <v>37</v>
      </c>
      <c r="E60" s="3" t="s">
        <v>1116</v>
      </c>
      <c r="F60" s="3" t="s">
        <v>1125</v>
      </c>
      <c r="G60" s="3" t="s">
        <v>1307</v>
      </c>
      <c r="H60" s="3" t="str">
        <f>HYPERLINK("http://www.jccm.es/sede/tramite/ILT","REGISTRO DE AGRUPACIONES DE VOLUNTARIOS DE PROTECCION CIVIL DE CASTILLA-LA MANCHA")</f>
        <v>REGISTRO DE AGRUPACIONES DE VOLUNTARIOS DE PROTECCION CIVIL DE CASTILLA-LA MANCHA</v>
      </c>
      <c r="I60" s="3" t="s">
        <v>42</v>
      </c>
      <c r="J60" s="3" t="s">
        <v>41</v>
      </c>
      <c r="K60" s="3" t="s">
        <v>42</v>
      </c>
      <c r="L60" s="3" t="s">
        <v>41</v>
      </c>
    </row>
    <row r="61" spans="1:12" ht="99.95" customHeight="1">
      <c r="A61" s="3" t="s">
        <v>1308</v>
      </c>
      <c r="B61" s="3" t="s">
        <v>1309</v>
      </c>
      <c r="C61" s="3" t="s">
        <v>62</v>
      </c>
      <c r="D61" s="3" t="s">
        <v>37</v>
      </c>
      <c r="E61" s="3" t="s">
        <v>1116</v>
      </c>
      <c r="F61" s="3" t="s">
        <v>1125</v>
      </c>
      <c r="G61" s="3" t="s">
        <v>1310</v>
      </c>
      <c r="H61" s="3" t="str">
        <f>HYPERLINK("http://www.jccm.es/sede/tramite/J33","RED DE TRANSMISIONES DE PROTECCION CIVIL DE CASTILLA-LA MANCHA.")</f>
        <v>RED DE TRANSMISIONES DE PROTECCION CIVIL DE CASTILLA-LA MANCHA.</v>
      </c>
      <c r="I61" s="3" t="s">
        <v>41</v>
      </c>
      <c r="J61" s="3" t="s">
        <v>41</v>
      </c>
      <c r="K61" s="3" t="s">
        <v>42</v>
      </c>
      <c r="L61" s="3" t="s">
        <v>41</v>
      </c>
    </row>
    <row r="62" spans="1:12" ht="99.95" customHeight="1">
      <c r="A62" s="3" t="s">
        <v>1311</v>
      </c>
      <c r="B62" s="3" t="s">
        <v>1312</v>
      </c>
      <c r="C62" s="3" t="s">
        <v>62</v>
      </c>
      <c r="D62" s="3" t="s">
        <v>46</v>
      </c>
      <c r="E62" s="3" t="s">
        <v>1116</v>
      </c>
      <c r="F62" s="3" t="s">
        <v>1313</v>
      </c>
      <c r="G62" s="3" t="s">
        <v>1314</v>
      </c>
      <c r="H62" s="3" t="str">
        <f>HYPERLINK("http://www.jccm.es/sede/tramite/J5X","EJERCICIO DE LO DERECHOS DE  ACCESO, RECTIFICACION, SUPRESION, OPOSICION, LIMITACION, PORTABILIDAD Y DECISIONES AUTOMATIZADAS A LOS TRATAMIENTOS DE LA JUNTA DE COMUNIDADES DE CASTILLA-LA MANCHA")</f>
        <v>EJERCICIO DE LO DERECHOS DE  ACCESO, RECTIFICACION, SUPRESION, OPOSICION, LIMITACION, PORTABILIDAD Y DECISIONES AUTOMATIZADAS A LOS TRATAMIENTOS DE LA JUNTA DE COMUNIDADES DE CASTILLA-LA MANCHA</v>
      </c>
      <c r="I62" s="3" t="s">
        <v>42</v>
      </c>
      <c r="J62" s="3" t="s">
        <v>41</v>
      </c>
      <c r="K62" s="3" t="s">
        <v>42</v>
      </c>
      <c r="L62" s="3" t="s">
        <v>41</v>
      </c>
    </row>
    <row r="63" spans="1:12" ht="99.95" customHeight="1">
      <c r="A63" s="3" t="s">
        <v>1315</v>
      </c>
      <c r="B63" s="3" t="s">
        <v>1316</v>
      </c>
      <c r="C63" s="3" t="s">
        <v>51</v>
      </c>
      <c r="D63" s="3" t="s">
        <v>37</v>
      </c>
      <c r="E63" s="3" t="s">
        <v>1116</v>
      </c>
      <c r="F63" s="3" t="s">
        <v>1125</v>
      </c>
      <c r="G63" s="3" t="s">
        <v>1317</v>
      </c>
      <c r="H63" s="3" t="str">
        <f>HYPERLINK("http://www.jccm.es/sede/tramite/IZ9","REGISTRO DE POLICIAS LOCALES DE LA COMUNIDAD AUTONOMA DE CASTILLA-LA MANCHA, A INSTANCIA DE LAS ENTIDADES LOCALES")</f>
        <v>REGISTRO DE POLICIAS LOCALES DE LA COMUNIDAD AUTONOMA DE CASTILLA-LA MANCHA, A INSTANCIA DE LAS ENTIDADES LOCALES</v>
      </c>
      <c r="I63" s="3" t="s">
        <v>42</v>
      </c>
      <c r="J63" s="3" t="s">
        <v>41</v>
      </c>
      <c r="K63" s="3" t="s">
        <v>42</v>
      </c>
      <c r="L63" s="3" t="s">
        <v>41</v>
      </c>
    </row>
    <row r="64" spans="1:12" ht="99.95" customHeight="1">
      <c r="A64" s="3" t="s">
        <v>1318</v>
      </c>
      <c r="B64" s="3" t="s">
        <v>1319</v>
      </c>
      <c r="C64" s="3" t="s">
        <v>51</v>
      </c>
      <c r="D64" s="3" t="s">
        <v>37</v>
      </c>
      <c r="E64" s="3" t="s">
        <v>1116</v>
      </c>
      <c r="F64" s="3" t="s">
        <v>1125</v>
      </c>
      <c r="G64" s="3" t="s">
        <v>1320</v>
      </c>
      <c r="H64" s="3" t="str">
        <f>HYPERLINK("http://www.jccm.es/sede/tramite/JMA","REGISTRO DE PROFESORES COLABORADORES DE LA ESCUELA DE PROTECCION CIUDADANA DE CASTILLA LA MANCHA.")</f>
        <v>REGISTRO DE PROFESORES COLABORADORES DE LA ESCUELA DE PROTECCION CIUDADANA DE CASTILLA LA MANCHA.</v>
      </c>
      <c r="I64" s="3" t="s">
        <v>42</v>
      </c>
      <c r="J64" s="3" t="s">
        <v>41</v>
      </c>
      <c r="K64" s="3" t="s">
        <v>42</v>
      </c>
      <c r="L64" s="3" t="s">
        <v>41</v>
      </c>
    </row>
    <row r="65" spans="1:12" ht="99.95" customHeight="1">
      <c r="A65" s="3" t="s">
        <v>1321</v>
      </c>
      <c r="B65" s="3" t="s">
        <v>1322</v>
      </c>
      <c r="C65" s="3" t="s">
        <v>1323</v>
      </c>
      <c r="D65" s="3" t="s">
        <v>37</v>
      </c>
      <c r="E65" s="3" t="s">
        <v>1116</v>
      </c>
      <c r="F65" s="3" t="s">
        <v>1125</v>
      </c>
      <c r="G65" s="3" t="s">
        <v>1324</v>
      </c>
      <c r="H65" s="3" t="str">
        <f>HYPERLINK("http://www.jccm.es/sede/tramite/JRU","ACCESO AL SERVICIO PARA PERSONAS CON DISCAPACIDAD AUDITIVA Y/O DEL LENGUAJE EN EL DISPOSITIVO DE ATENCION ESPECIFICO DEL 112 DE CASTILLA-LA MANCHA")</f>
        <v>ACCESO AL SERVICIO PARA PERSONAS CON DISCAPACIDAD AUDITIVA Y/O DEL LENGUAJE EN EL DISPOSITIVO DE ATENCION ESPECIFICO DEL 112 DE CASTILLA-LA MANCHA</v>
      </c>
      <c r="I65" s="3" t="s">
        <v>42</v>
      </c>
      <c r="J65" s="3" t="s">
        <v>41</v>
      </c>
      <c r="K65" s="3" t="s">
        <v>42</v>
      </c>
      <c r="L65" s="3" t="s">
        <v>41</v>
      </c>
    </row>
    <row r="66" spans="1:12" ht="99.95" customHeight="1">
      <c r="A66" s="3" t="s">
        <v>1325</v>
      </c>
      <c r="B66" s="3" t="s">
        <v>1326</v>
      </c>
      <c r="C66" s="3" t="s">
        <v>45</v>
      </c>
      <c r="D66" s="3" t="s">
        <v>37</v>
      </c>
      <c r="E66" s="3" t="s">
        <v>1116</v>
      </c>
      <c r="F66" s="3" t="s">
        <v>1201</v>
      </c>
      <c r="G66" s="3" t="s">
        <v>1327</v>
      </c>
      <c r="H66" s="3" t="str">
        <f>HYPERLINK("http://www.jccm.es/sede/tramite/JPT","REGISTRO DE PROFESORADO COLABORADOR DE LA ESCUELA DE ADMINISTRACION REGIONAL DE CASTILLA-LA MANCHA (EAR)")</f>
        <v>REGISTRO DE PROFESORADO COLABORADOR DE LA ESCUELA DE ADMINISTRACION REGIONAL DE CASTILLA-LA MANCHA (EAR)</v>
      </c>
      <c r="I66" s="3" t="s">
        <v>42</v>
      </c>
      <c r="J66" s="3" t="s">
        <v>41</v>
      </c>
      <c r="K66" s="3" t="s">
        <v>42</v>
      </c>
      <c r="L66" s="3" t="s">
        <v>41</v>
      </c>
    </row>
    <row r="67" spans="1:12" ht="99.95" customHeight="1">
      <c r="A67" s="3" t="s">
        <v>1328</v>
      </c>
      <c r="B67" s="3" t="s">
        <v>1329</v>
      </c>
      <c r="C67" s="3" t="s">
        <v>51</v>
      </c>
      <c r="D67" s="3" t="s">
        <v>37</v>
      </c>
      <c r="E67" s="3" t="s">
        <v>1116</v>
      </c>
      <c r="F67" s="3" t="s">
        <v>1125</v>
      </c>
      <c r="G67" s="3" t="s">
        <v>1330</v>
      </c>
      <c r="H67" s="3" t="str">
        <f>HYPERLINK("http://www.jccm.es/sede/tramite/JRT","ANOTACION EN EL REGISTRO DE POLICIAS LOCALES DE LA COMUNIDAD AUTONOMA DE CASTILLA-LA MANCHA DE TITULACIONES ACADEMICAS O FORMACION PROFESIONAL A PETICION DE INTERESADO")</f>
        <v>ANOTACION EN EL REGISTRO DE POLICIAS LOCALES DE LA COMUNIDAD AUTONOMA DE CASTILLA-LA MANCHA DE TITULACIONES ACADEMICAS O FORMACION PROFESIONAL A PETICION DE INTERESADO</v>
      </c>
      <c r="I67" s="3" t="s">
        <v>41</v>
      </c>
      <c r="J67" s="3" t="s">
        <v>41</v>
      </c>
      <c r="K67" s="3" t="s">
        <v>42</v>
      </c>
      <c r="L67" s="3" t="s">
        <v>41</v>
      </c>
    </row>
    <row r="68" spans="1:12" ht="99.95" customHeight="1">
      <c r="A68" s="3" t="s">
        <v>1331</v>
      </c>
      <c r="B68" s="3" t="s">
        <v>1332</v>
      </c>
      <c r="C68" s="3" t="s">
        <v>1323</v>
      </c>
      <c r="D68" s="3" t="s">
        <v>37</v>
      </c>
      <c r="E68" s="3" t="s">
        <v>1116</v>
      </c>
      <c r="F68" s="3" t="s">
        <v>1117</v>
      </c>
      <c r="G68" s="3" t="s">
        <v>1333</v>
      </c>
      <c r="H68" s="3" t="str">
        <f>HYPERLINK("http://www.jccm.es/sede/tramite/K1P","ACCESO AL SERVICIO 012 PARA PERSONAS CON DISCAPACIDAD AUDITIVA Y/O DEL LENGUAJE")</f>
        <v>ACCESO AL SERVICIO 012 PARA PERSONAS CON DISCAPACIDAD AUDITIVA Y/O DEL LENGUAJE</v>
      </c>
      <c r="I68" s="3" t="s">
        <v>42</v>
      </c>
      <c r="J68" s="3" t="s">
        <v>41</v>
      </c>
      <c r="K68" s="3" t="s">
        <v>42</v>
      </c>
      <c r="L68" s="3" t="s">
        <v>41</v>
      </c>
    </row>
    <row r="69" spans="1:12" ht="99.95" customHeight="1">
      <c r="A69" s="3" t="s">
        <v>1334</v>
      </c>
      <c r="B69" s="3" t="s">
        <v>1335</v>
      </c>
      <c r="C69" s="3" t="s">
        <v>1234</v>
      </c>
      <c r="D69" s="3" t="s">
        <v>46</v>
      </c>
      <c r="E69" s="3" t="s">
        <v>1116</v>
      </c>
      <c r="F69" s="3" t="s">
        <v>1169</v>
      </c>
      <c r="G69" s="3" t="s">
        <v>1336</v>
      </c>
      <c r="H69" s="3" t="str">
        <f>HYPERLINK("http://www.jccm.es/sede/tramite/K3T","INSCRIPCION O CANCELACION EN EL REGISTRO DE INTERDICCION DE ACCESO AL JUEGO.")</f>
        <v>INSCRIPCION O CANCELACION EN EL REGISTRO DE INTERDICCION DE ACCESO AL JUEGO.</v>
      </c>
      <c r="I69" s="3" t="s">
        <v>42</v>
      </c>
      <c r="J69" s="3" t="s">
        <v>41</v>
      </c>
      <c r="K69" s="3" t="s">
        <v>42</v>
      </c>
      <c r="L69" s="3" t="s">
        <v>41</v>
      </c>
    </row>
    <row r="70" spans="1:12" ht="99.95" customHeight="1">
      <c r="A70" s="3" t="s">
        <v>1337</v>
      </c>
      <c r="B70" s="3" t="s">
        <v>1338</v>
      </c>
      <c r="C70" s="3" t="s">
        <v>45</v>
      </c>
      <c r="D70" s="3" t="s">
        <v>37</v>
      </c>
      <c r="E70" s="3" t="s">
        <v>1116</v>
      </c>
      <c r="F70" s="3" t="s">
        <v>1125</v>
      </c>
      <c r="G70" s="3" t="s">
        <v>1339</v>
      </c>
      <c r="H70" s="3" t="str">
        <f>HYPERLINK("http://www.jccm.es/sede/tramite/K5U","REGISTRO FESTEJOS TAURINOS TRADICIONALES.")</f>
        <v>REGISTRO FESTEJOS TAURINOS TRADICIONALES.</v>
      </c>
      <c r="I70" s="3" t="s">
        <v>41</v>
      </c>
      <c r="J70" s="3" t="s">
        <v>41</v>
      </c>
      <c r="K70" s="3" t="s">
        <v>42</v>
      </c>
      <c r="L70" s="3" t="s">
        <v>41</v>
      </c>
    </row>
    <row r="71" spans="1:12" ht="99.95" customHeight="1">
      <c r="A71" s="3" t="s">
        <v>1340</v>
      </c>
      <c r="B71" s="3" t="s">
        <v>1341</v>
      </c>
      <c r="C71" s="3" t="s">
        <v>1342</v>
      </c>
      <c r="D71" s="3" t="s">
        <v>95</v>
      </c>
      <c r="E71" s="3" t="s">
        <v>1116</v>
      </c>
      <c r="F71" s="3" t="s">
        <v>1117</v>
      </c>
      <c r="G71" s="3" t="s">
        <v>1343</v>
      </c>
      <c r="H71" s="3" t="str">
        <f>HYPERLINK("http://www.jccm.es/sede/tramite/JO1","PRESENTACION CUENTAS ANUALES, PLANES DE ACTUACION Y LEGALIZACION DE LIBROS (FUNDACIONES)")</f>
        <v>PRESENTACION CUENTAS ANUALES, PLANES DE ACTUACION Y LEGALIZACION DE LIBROS (FUNDACIONES)</v>
      </c>
      <c r="I71" s="3" t="s">
        <v>42</v>
      </c>
      <c r="J71" s="3" t="s">
        <v>41</v>
      </c>
      <c r="K71" s="3" t="s">
        <v>42</v>
      </c>
      <c r="L71" s="3" t="s">
        <v>41</v>
      </c>
    </row>
    <row r="72" spans="1:12" ht="99.95" customHeight="1">
      <c r="A72" s="3" t="s">
        <v>1344</v>
      </c>
      <c r="B72" s="3" t="s">
        <v>1345</v>
      </c>
      <c r="C72" s="3" t="s">
        <v>95</v>
      </c>
      <c r="D72" s="3" t="s">
        <v>95</v>
      </c>
      <c r="E72" s="3" t="s">
        <v>1116</v>
      </c>
      <c r="F72" s="3" t="s">
        <v>1117</v>
      </c>
      <c r="G72" s="3" t="s">
        <v>1346</v>
      </c>
      <c r="H72" s="3" t="str">
        <f>HYPERLINK("http://www.jccm.es/sede/tramite/KDF","RENDICION DE CUENTAS POR ASOCIACIONES DECLARADAS DE UTILIDAD PUBLICA")</f>
        <v>RENDICION DE CUENTAS POR ASOCIACIONES DECLARADAS DE UTILIDAD PUBLICA</v>
      </c>
      <c r="I72" s="3" t="s">
        <v>42</v>
      </c>
      <c r="J72" s="3" t="s">
        <v>41</v>
      </c>
      <c r="K72" s="3" t="s">
        <v>42</v>
      </c>
      <c r="L72" s="3" t="s">
        <v>41</v>
      </c>
    </row>
    <row r="73" spans="1:12" ht="99.95" customHeight="1">
      <c r="A73" s="3" t="s">
        <v>1347</v>
      </c>
      <c r="B73" s="3" t="s">
        <v>1348</v>
      </c>
      <c r="C73" s="3" t="s">
        <v>45</v>
      </c>
      <c r="D73" s="3" t="s">
        <v>37</v>
      </c>
      <c r="E73" s="3" t="s">
        <v>1116</v>
      </c>
      <c r="F73" s="3" t="s">
        <v>1290</v>
      </c>
      <c r="G73" s="3" t="s">
        <v>1349</v>
      </c>
      <c r="H73" s="3" t="str">
        <f>HYPERLINK("http://www.jccm.es/sede/tramite/J65","SOLICITUDES DE INSCRIPCION EN EL REGISTRO DE MEDIADORES DE SEGUROS DE CASTILLA-LA MANCHA")</f>
        <v>SOLICITUDES DE INSCRIPCION EN EL REGISTRO DE MEDIADORES DE SEGUROS DE CASTILLA-LA MANCHA</v>
      </c>
      <c r="I73" s="3" t="s">
        <v>42</v>
      </c>
      <c r="J73" s="3" t="s">
        <v>41</v>
      </c>
      <c r="K73" s="3" t="s">
        <v>42</v>
      </c>
      <c r="L73" s="3" t="s">
        <v>41</v>
      </c>
    </row>
    <row r="74" spans="1:12" ht="99.95" customHeight="1">
      <c r="A74" s="3" t="s">
        <v>1350</v>
      </c>
      <c r="B74" s="3" t="s">
        <v>1351</v>
      </c>
      <c r="C74" s="3" t="s">
        <v>45</v>
      </c>
      <c r="D74" s="3" t="s">
        <v>37</v>
      </c>
      <c r="E74" s="3" t="s">
        <v>1116</v>
      </c>
      <c r="F74" s="3" t="s">
        <v>1290</v>
      </c>
      <c r="G74" s="3" t="s">
        <v>1352</v>
      </c>
      <c r="H74" s="3" t="str">
        <f>HYPERLINK("http://www.jccm.es/sede/tramite/J64","PROCEDIMIENTOS DE MODIFICACION Y CERTIFICACION DE DATOS REGISTRALES")</f>
        <v>PROCEDIMIENTOS DE MODIFICACION Y CERTIFICACION DE DATOS REGISTRALES</v>
      </c>
      <c r="I74" s="3" t="s">
        <v>42</v>
      </c>
      <c r="J74" s="3" t="s">
        <v>41</v>
      </c>
      <c r="K74" s="3" t="s">
        <v>42</v>
      </c>
      <c r="L74" s="3" t="s">
        <v>41</v>
      </c>
    </row>
    <row r="75" spans="1:12" ht="99.95" customHeight="1">
      <c r="A75" s="3" t="s">
        <v>1353</v>
      </c>
      <c r="B75" s="3" t="s">
        <v>1354</v>
      </c>
      <c r="C75" s="3" t="s">
        <v>327</v>
      </c>
      <c r="D75" s="3" t="s">
        <v>37</v>
      </c>
      <c r="E75" s="3" t="s">
        <v>1116</v>
      </c>
      <c r="F75" s="3" t="s">
        <v>1355</v>
      </c>
      <c r="G75" s="3" t="s">
        <v>1356</v>
      </c>
      <c r="H75" s="3" t="str">
        <f>HYPERLINK("http://www.jccm.es/sede/tramite/JJ7","ALTA DE FACTURA ELECTRONICA DE LA JUNTA DE CASTILLA-LA MANCHA")</f>
        <v>ALTA DE FACTURA ELECTRONICA DE LA JUNTA DE CASTILLA-LA MANCHA</v>
      </c>
      <c r="I75" s="3" t="s">
        <v>41</v>
      </c>
      <c r="J75" s="3" t="s">
        <v>41</v>
      </c>
      <c r="K75" s="3" t="s">
        <v>42</v>
      </c>
      <c r="L75" s="3" t="s">
        <v>41</v>
      </c>
    </row>
    <row r="76" spans="1:12" ht="99.95" customHeight="1">
      <c r="A76" s="3" t="s">
        <v>1357</v>
      </c>
      <c r="B76" s="3" t="s">
        <v>1358</v>
      </c>
      <c r="C76" s="3" t="s">
        <v>45</v>
      </c>
      <c r="D76" s="3" t="s">
        <v>37</v>
      </c>
      <c r="E76" s="3" t="s">
        <v>1116</v>
      </c>
      <c r="F76" s="3" t="s">
        <v>1125</v>
      </c>
      <c r="G76" s="3" t="s">
        <v>1359</v>
      </c>
      <c r="H76" s="3" t="str">
        <f>HYPERLINK("http://www.jccm.es/sede/tramite/K73","CANCELACION DE LOS DATOS INSCRITOS EN EL REGISTRO DE PLANES DE AUTOPROTECCION DE CASTILLA-LA MANCHA")</f>
        <v>CANCELACION DE LOS DATOS INSCRITOS EN EL REGISTRO DE PLANES DE AUTOPROTECCION DE CASTILLA-LA MANCHA</v>
      </c>
      <c r="I76" s="3" t="s">
        <v>41</v>
      </c>
      <c r="J76" s="3" t="s">
        <v>41</v>
      </c>
      <c r="K76" s="3" t="s">
        <v>42</v>
      </c>
      <c r="L76" s="3" t="s">
        <v>41</v>
      </c>
    </row>
    <row r="77" spans="1:12" ht="99.95" customHeight="1">
      <c r="A77" s="3" t="s">
        <v>1360</v>
      </c>
      <c r="B77" s="3" t="s">
        <v>1361</v>
      </c>
      <c r="C77" s="3" t="s">
        <v>45</v>
      </c>
      <c r="D77" s="3" t="s">
        <v>37</v>
      </c>
      <c r="E77" s="3" t="s">
        <v>1116</v>
      </c>
      <c r="F77" s="3" t="s">
        <v>1125</v>
      </c>
      <c r="G77" s="3" t="s">
        <v>1362</v>
      </c>
      <c r="H77" s="3" t="str">
        <f>HYPERLINK("http://www.jccm.es/sede/tramite/K72","MODIFICACION DE LOS DATOS INSCRITOS EN EL REGISTRO DE PLANES DE AUTOPROTECCION DE CASTILLA-LA MANCHA")</f>
        <v>MODIFICACION DE LOS DATOS INSCRITOS EN EL REGISTRO DE PLANES DE AUTOPROTECCION DE CASTILLA-LA MANCHA</v>
      </c>
      <c r="I77" s="3" t="s">
        <v>41</v>
      </c>
      <c r="J77" s="3" t="s">
        <v>41</v>
      </c>
      <c r="K77" s="3" t="s">
        <v>42</v>
      </c>
      <c r="L77" s="3" t="s">
        <v>41</v>
      </c>
    </row>
    <row r="78" spans="1:12" ht="99.95" customHeight="1">
      <c r="A78" s="3" t="s">
        <v>1363</v>
      </c>
      <c r="B78" s="3" t="s">
        <v>1364</v>
      </c>
      <c r="C78" s="3" t="s">
        <v>45</v>
      </c>
      <c r="D78" s="3" t="s">
        <v>37</v>
      </c>
      <c r="E78" s="3" t="s">
        <v>1116</v>
      </c>
      <c r="F78" s="3" t="s">
        <v>1125</v>
      </c>
      <c r="G78" s="3" t="s">
        <v>1365</v>
      </c>
      <c r="H78" s="3" t="str">
        <f>HYPERLINK("http://www.jccm.es/sede/tramite/K6W","INSCRIPCION EN EL REGISTRO DE PLANES DE AUTOPROTECCION DE CASTILLA-LA MANCHA")</f>
        <v>INSCRIPCION EN EL REGISTRO DE PLANES DE AUTOPROTECCION DE CASTILLA-LA MANCHA</v>
      </c>
      <c r="I78" s="3" t="s">
        <v>41</v>
      </c>
      <c r="J78" s="3" t="s">
        <v>41</v>
      </c>
      <c r="K78" s="3" t="s">
        <v>42</v>
      </c>
      <c r="L78" s="3" t="s">
        <v>41</v>
      </c>
    </row>
    <row r="79" spans="1:12" ht="99.95" customHeight="1">
      <c r="A79" s="3" t="s">
        <v>1366</v>
      </c>
      <c r="B79" s="3" t="s">
        <v>1367</v>
      </c>
      <c r="C79" s="3" t="s">
        <v>327</v>
      </c>
      <c r="D79" s="3" t="s">
        <v>1368</v>
      </c>
      <c r="E79" s="3" t="s">
        <v>1116</v>
      </c>
      <c r="F79" s="3" t="s">
        <v>1117</v>
      </c>
      <c r="G79" s="3" t="s">
        <v>1369</v>
      </c>
      <c r="H79" s="3" t="str">
        <f>HYPERLINK("http://www.jccm.es/sede/tramite/IM8","PREMIO A LA EXCELENCIA Y CALIDAD DE LOS SERVICIOS PUBLICOS")</f>
        <v>PREMIO A LA EXCELENCIA Y CALIDAD DE LOS SERVICIOS PUBLICOS</v>
      </c>
      <c r="I79" s="3" t="s">
        <v>41</v>
      </c>
      <c r="J79" s="3" t="s">
        <v>41</v>
      </c>
      <c r="K79" s="3" t="s">
        <v>42</v>
      </c>
      <c r="L79" s="3" t="s">
        <v>41</v>
      </c>
    </row>
    <row r="80" spans="1:12" ht="99.95" customHeight="1">
      <c r="A80" s="3" t="s">
        <v>1370</v>
      </c>
      <c r="B80" s="3" t="s">
        <v>1371</v>
      </c>
      <c r="C80" s="3" t="s">
        <v>45</v>
      </c>
      <c r="D80" s="3" t="s">
        <v>46</v>
      </c>
      <c r="E80" s="3" t="s">
        <v>1116</v>
      </c>
      <c r="F80" s="3" t="s">
        <v>1117</v>
      </c>
      <c r="G80" s="3" t="s">
        <v>1372</v>
      </c>
      <c r="H80" s="3" t="str">
        <f>HYPERLINK("http://www.jccm.es/sede/tramite/J0W","AYUDAS PARA ACTUACIONES URGENTES E INCIDENCIAS IMPREVISIBLES CON CARGO AL FONDO REGIONAL DE COOPERACION LOCAL")</f>
        <v>AYUDAS PARA ACTUACIONES URGENTES E INCIDENCIAS IMPREVISIBLES CON CARGO AL FONDO REGIONAL DE COOPERACION LOCAL</v>
      </c>
      <c r="I80" s="3" t="s">
        <v>41</v>
      </c>
      <c r="J80" s="3" t="s">
        <v>41</v>
      </c>
      <c r="K80" s="3" t="s">
        <v>42</v>
      </c>
      <c r="L80" s="3" t="s">
        <v>41</v>
      </c>
    </row>
    <row r="81" spans="1:12" ht="99.95" customHeight="1">
      <c r="A81" s="3" t="s">
        <v>1373</v>
      </c>
      <c r="B81" s="3" t="s">
        <v>1374</v>
      </c>
      <c r="C81" s="3" t="s">
        <v>36</v>
      </c>
      <c r="D81" s="3" t="s">
        <v>46</v>
      </c>
      <c r="E81" s="3" t="s">
        <v>1116</v>
      </c>
      <c r="F81" s="3" t="s">
        <v>1125</v>
      </c>
      <c r="G81" s="3" t="s">
        <v>1375</v>
      </c>
      <c r="H81" s="3" t="str">
        <f>HYPERLINK("http://www.jccm.es/sede/tramite/ILR","SOLICITUD DE SUBVENCION DE LAS ENTIDADES LOCALES DE CASTILLA-LA MANCHA PARA LA DOTACION DE MEDIOS MATERIALES  PARA LAS AGRUPACIONES DE VOLUNTARIOS  DE PROTECCION CIVIL")</f>
        <v>SOLICITUD DE SUBVENCION DE LAS ENTIDADES LOCALES DE CASTILLA-LA MANCHA PARA LA DOTACION DE MEDIOS MATERIALES  PARA LAS AGRUPACIONES DE VOLUNTARIOS  DE PROTECCION CIVIL</v>
      </c>
      <c r="I81" s="3" t="s">
        <v>41</v>
      </c>
      <c r="J81" s="3" t="s">
        <v>41</v>
      </c>
      <c r="K81" s="3" t="s">
        <v>42</v>
      </c>
      <c r="L81" s="3" t="s">
        <v>41</v>
      </c>
    </row>
    <row r="82" spans="1:12" ht="99.95" customHeight="1">
      <c r="A82" s="3" t="s">
        <v>1376</v>
      </c>
      <c r="B82" s="3" t="s">
        <v>1377</v>
      </c>
      <c r="C82" s="3" t="s">
        <v>95</v>
      </c>
      <c r="D82" s="3" t="s">
        <v>46</v>
      </c>
      <c r="E82" s="3" t="s">
        <v>1116</v>
      </c>
      <c r="F82" s="3" t="s">
        <v>1125</v>
      </c>
      <c r="G82" s="3" t="s">
        <v>1378</v>
      </c>
      <c r="H82" s="3" t="str">
        <f>HYPERLINK("http://www.jccm.es/sede/tramite/ILP","ACTIVIDADES DE FORMACION INICIAL Y CONTINUA PARA PERSONAL DE POLICIA LOCAL, DE VIGILANCIA MUNICIPAL, BOMBERO/A, TECNICO Y  VOLUNTARIADO DE PROTECCION CIVIL.")</f>
        <v>ACTIVIDADES DE FORMACION INICIAL Y CONTINUA PARA PERSONAL DE POLICIA LOCAL, DE VIGILANCIA MUNICIPAL, BOMBERO/A, TECNICO Y  VOLUNTARIADO DE PROTECCION CIVIL.</v>
      </c>
      <c r="I82" s="3" t="s">
        <v>42</v>
      </c>
      <c r="J82" s="3" t="s">
        <v>41</v>
      </c>
      <c r="K82" s="3" t="s">
        <v>42</v>
      </c>
      <c r="L82" s="3" t="s">
        <v>41</v>
      </c>
    </row>
    <row r="83" spans="1:12" ht="99.95" customHeight="1">
      <c r="A83" s="3" t="s">
        <v>1379</v>
      </c>
      <c r="B83" s="3" t="s">
        <v>1380</v>
      </c>
      <c r="C83" s="3" t="s">
        <v>1217</v>
      </c>
      <c r="D83" s="3" t="s">
        <v>46</v>
      </c>
      <c r="E83" s="3" t="s">
        <v>1116</v>
      </c>
      <c r="F83" s="3" t="s">
        <v>1125</v>
      </c>
      <c r="G83" s="3" t="s">
        <v>1381</v>
      </c>
      <c r="H83" s="3" t="str">
        <f>HYPERLINK("http://www.jccm.es/sede/tramite/K5V","CONDECORACIONES POLICIA LOCAL DE CASTILLA-LA MANCHA")</f>
        <v>CONDECORACIONES POLICIA LOCAL DE CASTILLA-LA MANCHA</v>
      </c>
      <c r="I83" s="3" t="s">
        <v>42</v>
      </c>
      <c r="J83" s="3" t="s">
        <v>41</v>
      </c>
      <c r="K83" s="3" t="s">
        <v>41</v>
      </c>
      <c r="L83" s="3" t="s">
        <v>41</v>
      </c>
    </row>
    <row r="84" spans="1:12" ht="99.95" customHeight="1">
      <c r="A84" s="3" t="s">
        <v>1382</v>
      </c>
      <c r="B84" s="3" t="s">
        <v>1383</v>
      </c>
      <c r="C84" s="3" t="s">
        <v>36</v>
      </c>
      <c r="D84" s="3" t="s">
        <v>46</v>
      </c>
      <c r="E84" s="3" t="s">
        <v>1116</v>
      </c>
      <c r="F84" s="3" t="s">
        <v>1125</v>
      </c>
      <c r="G84" s="3" t="s">
        <v>1384</v>
      </c>
      <c r="H84" s="3" t="str">
        <f>HYPERLINK("http://www.jccm.es/sede/tramite/KEF","SUBVENCIONES DIRIGIDAS A LAS ENTIDADES LOCALES DE CASTILLA-LA MANCHA PARA LA ELABORACION DE PLANES DE PROTECCION CIVIL DE AMBITO MUNICIPAL")</f>
        <v>SUBVENCIONES DIRIGIDAS A LAS ENTIDADES LOCALES DE CASTILLA-LA MANCHA PARA LA ELABORACION DE PLANES DE PROTECCION CIVIL DE AMBITO MUNICIPAL</v>
      </c>
      <c r="I84" s="3" t="s">
        <v>41</v>
      </c>
      <c r="J84" s="3" t="s">
        <v>41</v>
      </c>
      <c r="K84" s="3" t="s">
        <v>42</v>
      </c>
      <c r="L84" s="3" t="s">
        <v>41</v>
      </c>
    </row>
    <row r="85" spans="1:12" ht="99.95" customHeight="1">
      <c r="A85" s="3" t="s">
        <v>1385</v>
      </c>
      <c r="B85" s="3" t="s">
        <v>1386</v>
      </c>
      <c r="C85" s="3" t="s">
        <v>232</v>
      </c>
      <c r="D85" s="3" t="s">
        <v>46</v>
      </c>
      <c r="E85" s="3" t="s">
        <v>1116</v>
      </c>
      <c r="F85" s="3" t="s">
        <v>1387</v>
      </c>
      <c r="G85" s="3" t="s">
        <v>1388</v>
      </c>
      <c r="H85" s="3" t="str">
        <f>HYPERLINK("http://www.jccm.es/sede/tramite/KQX","CONVOCATORIA DE SUBVENCIONES DESTINADAS A LA FINANCIACION DE PLANES DE FORMACION PARA LAS/OS EMPLEADAS/OS PUBLICAS/OS DE LAS ENTIDADES LOCALES EN EL MARCO DEL AFEDAP.")</f>
        <v>CONVOCATORIA DE SUBVENCIONES DESTINADAS A LA FINANCIACION DE PLANES DE FORMACION PARA LAS/OS EMPLEADAS/OS PUBLICAS/OS DE LAS ENTIDADES LOCALES EN EL MARCO DEL AFEDAP.</v>
      </c>
      <c r="I85" s="3" t="s">
        <v>41</v>
      </c>
      <c r="J85" s="3" t="s">
        <v>41</v>
      </c>
      <c r="K85" s="3" t="s">
        <v>42</v>
      </c>
      <c r="L85" s="3" t="s">
        <v>41</v>
      </c>
    </row>
    <row r="86" spans="1:12" ht="99.95" customHeight="1">
      <c r="A86" s="3" t="s">
        <v>1389</v>
      </c>
      <c r="B86" s="3" t="s">
        <v>1390</v>
      </c>
      <c r="C86" s="3" t="s">
        <v>1391</v>
      </c>
      <c r="D86" s="3" t="s">
        <v>46</v>
      </c>
      <c r="E86" s="3" t="s">
        <v>1116</v>
      </c>
      <c r="F86" s="3" t="s">
        <v>1313</v>
      </c>
      <c r="G86" s="3" t="s">
        <v>1392</v>
      </c>
      <c r="H86" s="3" t="str">
        <f>HYPERLINK("http://www.jccm.es/sede/tramite/KZ1","CONVOCATORIA EXPRESIONES DE INTERES PARA LA SELECCION Y EJECUCION DE PROYECTOS, EN EL MARCO DEL PO FEDER CASILLA-LA MANCHA 2014-2020, RELATIVAS A LA ADHESION DE PUNTOS DE INCLUSION DIGITAL.")</f>
        <v>CONVOCATORIA EXPRESIONES DE INTERES PARA LA SELECCION Y EJECUCION DE PROYECTOS, EN EL MARCO DEL PO FEDER CASILLA-LA MANCHA 2014-2020, RELATIVAS A LA ADHESION DE PUNTOS DE INCLUSION DIGITAL.</v>
      </c>
      <c r="I86" s="3" t="s">
        <v>41</v>
      </c>
      <c r="J86" s="3" t="s">
        <v>41</v>
      </c>
      <c r="K86" s="3" t="s">
        <v>42</v>
      </c>
      <c r="L86" s="3" t="s">
        <v>41</v>
      </c>
    </row>
    <row r="87" spans="1:12" ht="99.95" customHeight="1">
      <c r="A87" s="3" t="s">
        <v>1393</v>
      </c>
      <c r="B87" s="3" t="s">
        <v>1394</v>
      </c>
      <c r="C87" s="3" t="s">
        <v>1391</v>
      </c>
      <c r="D87" s="3" t="s">
        <v>46</v>
      </c>
      <c r="E87" s="3" t="s">
        <v>1116</v>
      </c>
      <c r="F87" s="3" t="s">
        <v>1313</v>
      </c>
      <c r="G87" s="3" t="s">
        <v>1395</v>
      </c>
      <c r="H87" s="3" t="str">
        <f>HYPERLINK("http://www.jccm.es/sede/tramite/L5S","CONV. EXPRESIONES DE INTERES PARA LA SELECCION Y EJECUCION DE PROYECTOS, EN EL MARCO DEL PO FEDER CASILLA-LA MANCHA 2014-2020, RELATIVAS A LA ADHESION DE PUNTOS DE INCLUSION DIGITAL MUNICIPALES.")</f>
        <v>CONV. EXPRESIONES DE INTERES PARA LA SELECCION Y EJECUCION DE PROYECTOS, EN EL MARCO DEL PO FEDER CASILLA-LA MANCHA 2014-2020, RELATIVAS A LA ADHESION DE PUNTOS DE INCLUSION DIGITAL MUNICIPALES.</v>
      </c>
      <c r="I87" s="3" t="s">
        <v>41</v>
      </c>
      <c r="J87" s="3" t="s">
        <v>41</v>
      </c>
      <c r="K87" s="3" t="s">
        <v>42</v>
      </c>
      <c r="L87" s="3" t="s">
        <v>41</v>
      </c>
    </row>
    <row r="88" spans="1:12" ht="99.95" customHeight="1">
      <c r="A88" s="3" t="s">
        <v>1396</v>
      </c>
      <c r="B88" s="3" t="s">
        <v>1397</v>
      </c>
      <c r="C88" s="3" t="s">
        <v>95</v>
      </c>
      <c r="D88" s="3" t="s">
        <v>46</v>
      </c>
      <c r="E88" s="3" t="s">
        <v>1116</v>
      </c>
      <c r="F88" s="3" t="s">
        <v>1125</v>
      </c>
      <c r="G88" s="3" t="s">
        <v>1398</v>
      </c>
      <c r="H88" s="3" t="str">
        <f>HYPERLINK("http://www.jccm.es/sede/tramite/K77","USO DE LA GALERIA DE LA ESCUELA DE PROTECCION CIUDADANA DE CASTILLA-LA MANCHA, PARA REALIZAR PRACTICAS DE TIRO POLICIAL.")</f>
        <v>USO DE LA GALERIA DE LA ESCUELA DE PROTECCION CIUDADANA DE CASTILLA-LA MANCHA, PARA REALIZAR PRACTICAS DE TIRO POLICIAL.</v>
      </c>
      <c r="I88" s="3" t="s">
        <v>42</v>
      </c>
      <c r="J88" s="3" t="s">
        <v>41</v>
      </c>
      <c r="K88" s="3" t="s">
        <v>42</v>
      </c>
      <c r="L88" s="3" t="s">
        <v>41</v>
      </c>
    </row>
    <row r="89" spans="1:12" ht="99.95" customHeight="1">
      <c r="A89" s="3" t="s">
        <v>1399</v>
      </c>
      <c r="B89" s="3" t="s">
        <v>1400</v>
      </c>
      <c r="C89" s="3" t="s">
        <v>1401</v>
      </c>
      <c r="D89" s="3" t="s">
        <v>46</v>
      </c>
      <c r="E89" s="3" t="s">
        <v>1116</v>
      </c>
      <c r="F89" s="3" t="s">
        <v>1117</v>
      </c>
      <c r="G89" s="3" t="s">
        <v>1402</v>
      </c>
      <c r="H89" s="3" t="str">
        <f>HYPERLINK("http://www.jccm.es/sede/tramite/J8P","ADOPCION DE ESCUDO HERALDICO/BANDERA MUNICIPAL POR CORPORACION LOCAL")</f>
        <v>ADOPCION DE ESCUDO HERALDICO/BANDERA MUNICIPAL POR CORPORACION LOCAL</v>
      </c>
      <c r="I89" s="3" t="s">
        <v>42</v>
      </c>
      <c r="J89" s="3" t="s">
        <v>41</v>
      </c>
      <c r="K89" s="3" t="s">
        <v>42</v>
      </c>
      <c r="L89" s="3" t="s">
        <v>41</v>
      </c>
    </row>
    <row r="90" spans="1:12" ht="99.95" customHeight="1">
      <c r="A90" s="3" t="s">
        <v>1403</v>
      </c>
      <c r="B90" s="3" t="s">
        <v>1404</v>
      </c>
      <c r="C90" s="3" t="s">
        <v>45</v>
      </c>
      <c r="D90" s="3" t="s">
        <v>37</v>
      </c>
      <c r="E90" s="3" t="s">
        <v>1116</v>
      </c>
      <c r="F90" s="3" t="s">
        <v>1117</v>
      </c>
      <c r="G90" s="3" t="s">
        <v>1405</v>
      </c>
      <c r="H90" s="3" t="str">
        <f>HYPERLINK("http://www.jccm.es/sede/tramite/J8L","EXENCION DE LA OBLIGACION DE MANTENER EL PUESTO DE TRABAJO CON FUNCIONES PUBLICAS DE SECRETARIA, CUYA RESPONSABILIDAD ADMINISTRATIVA ESTE RESERVADA A FUNCIONARIOS/AS CON HABILITACION")</f>
        <v>EXENCION DE LA OBLIGACION DE MANTENER EL PUESTO DE TRABAJO CON FUNCIONES PUBLICAS DE SECRETARIA, CUYA RESPONSABILIDAD ADMINISTRATIVA ESTE RESERVADA A FUNCIONARIOS/AS CON HABILITACION</v>
      </c>
      <c r="I90" s="3" t="s">
        <v>42</v>
      </c>
      <c r="J90" s="3" t="s">
        <v>41</v>
      </c>
      <c r="K90" s="3" t="s">
        <v>42</v>
      </c>
      <c r="L90" s="3" t="s">
        <v>41</v>
      </c>
    </row>
    <row r="91" spans="1:12" ht="99.95" customHeight="1">
      <c r="A91" s="3" t="s">
        <v>1406</v>
      </c>
      <c r="B91" s="3" t="s">
        <v>1407</v>
      </c>
      <c r="C91" s="3" t="s">
        <v>327</v>
      </c>
      <c r="D91" s="3" t="s">
        <v>46</v>
      </c>
      <c r="E91" s="3" t="s">
        <v>1116</v>
      </c>
      <c r="F91" s="3" t="s">
        <v>1117</v>
      </c>
      <c r="G91" s="3" t="s">
        <v>1408</v>
      </c>
      <c r="H91" s="3" t="str">
        <f>HYPERLINK("http://www.jccm.es/sede/tramite/069","APROBACION DE CONSTITUCION DE ENTIDAD DE AMBITO TERRITORIAL INFERIOR AL MUNICIPIO")</f>
        <v>APROBACION DE CONSTITUCION DE ENTIDAD DE AMBITO TERRITORIAL INFERIOR AL MUNICIPIO</v>
      </c>
      <c r="I91" s="3" t="s">
        <v>42</v>
      </c>
      <c r="J91" s="3" t="s">
        <v>41</v>
      </c>
      <c r="K91" s="3" t="s">
        <v>42</v>
      </c>
      <c r="L91" s="3" t="s">
        <v>41</v>
      </c>
    </row>
    <row r="92" spans="1:12" ht="99.95" customHeight="1">
      <c r="A92" s="3" t="s">
        <v>1409</v>
      </c>
      <c r="B92" s="3" t="s">
        <v>1410</v>
      </c>
      <c r="C92" s="3" t="s">
        <v>45</v>
      </c>
      <c r="D92" s="3" t="s">
        <v>37</v>
      </c>
      <c r="E92" s="3" t="s">
        <v>1116</v>
      </c>
      <c r="F92" s="3" t="s">
        <v>1117</v>
      </c>
      <c r="G92" s="3" t="s">
        <v>1411</v>
      </c>
      <c r="H92" s="3" t="str">
        <f>HYPERLINK("http://www.jccm.es/sede/tramite/J8J","CREACION Y CLASIFICACION DE PUESTO DE TRABAJO RESERVADO A FUNCIONARIO/A CON HABILITACION DE CARACTER ESTATAL")</f>
        <v>CREACION Y CLASIFICACION DE PUESTO DE TRABAJO RESERVADO A FUNCIONARIO/A CON HABILITACION DE CARACTER ESTATAL</v>
      </c>
      <c r="I92" s="3" t="s">
        <v>42</v>
      </c>
      <c r="J92" s="3" t="s">
        <v>41</v>
      </c>
      <c r="K92" s="3" t="s">
        <v>42</v>
      </c>
      <c r="L92" s="3" t="s">
        <v>41</v>
      </c>
    </row>
    <row r="93" spans="1:12" ht="99.95" customHeight="1">
      <c r="A93" s="3" t="s">
        <v>1412</v>
      </c>
      <c r="B93" s="3" t="s">
        <v>1413</v>
      </c>
      <c r="C93" s="3" t="s">
        <v>1401</v>
      </c>
      <c r="D93" s="3" t="s">
        <v>46</v>
      </c>
      <c r="E93" s="3" t="s">
        <v>1116</v>
      </c>
      <c r="F93" s="3" t="s">
        <v>1117</v>
      </c>
      <c r="G93" s="3" t="s">
        <v>1414</v>
      </c>
      <c r="H93" s="3" t="str">
        <f>HYPERLINK("http://www.jccm.es/sede/tramite/E98","DECLARACION DE URGENTE OCUPACION DE BIENES Y DERECHOS AFECTADOS POR EXPROPIACION FORZOSA EN EXPEDIENTES INSTRUIDOS POR CORPORACIONES LOCALES")</f>
        <v>DECLARACION DE URGENTE OCUPACION DE BIENES Y DERECHOS AFECTADOS POR EXPROPIACION FORZOSA EN EXPEDIENTES INSTRUIDOS POR CORPORACIONES LOCALES</v>
      </c>
      <c r="I93" s="3" t="s">
        <v>42</v>
      </c>
      <c r="J93" s="3" t="s">
        <v>41</v>
      </c>
      <c r="K93" s="3" t="s">
        <v>42</v>
      </c>
      <c r="L93" s="3" t="s">
        <v>41</v>
      </c>
    </row>
    <row r="94" spans="1:12" ht="99.95" customHeight="1">
      <c r="A94" s="3" t="s">
        <v>1415</v>
      </c>
      <c r="B94" s="3" t="s">
        <v>1416</v>
      </c>
      <c r="C94" s="3" t="s">
        <v>327</v>
      </c>
      <c r="D94" s="3" t="s">
        <v>37</v>
      </c>
      <c r="E94" s="3" t="s">
        <v>1116</v>
      </c>
      <c r="F94" s="3" t="s">
        <v>1117</v>
      </c>
      <c r="G94" s="3" t="s">
        <v>1417</v>
      </c>
      <c r="H94" s="3" t="str">
        <f>HYPERLINK("http://www.jccm.es/sede/tramite/J8B","APROBACION DE DESAFECTACION DE BIENES COMUNALES, QUE NO HUBIERAN SIDO OBJETO DE DISFRUTE DE ESTA INDOLE DURANTE MAS DE DIEZ AÑOS")</f>
        <v>APROBACION DE DESAFECTACION DE BIENES COMUNALES, QUE NO HUBIERAN SIDO OBJETO DE DISFRUTE DE ESTA INDOLE DURANTE MAS DE DIEZ AÑOS</v>
      </c>
      <c r="I94" s="3" t="s">
        <v>42</v>
      </c>
      <c r="J94" s="3" t="s">
        <v>41</v>
      </c>
      <c r="K94" s="3" t="s">
        <v>42</v>
      </c>
      <c r="L94" s="3" t="s">
        <v>41</v>
      </c>
    </row>
    <row r="95" spans="1:12" ht="99.95" customHeight="1">
      <c r="A95" s="3" t="s">
        <v>1418</v>
      </c>
      <c r="B95" s="3" t="s">
        <v>1419</v>
      </c>
      <c r="C95" s="3" t="s">
        <v>45</v>
      </c>
      <c r="D95" s="3" t="s">
        <v>46</v>
      </c>
      <c r="E95" s="3" t="s">
        <v>1116</v>
      </c>
      <c r="F95" s="3" t="s">
        <v>1125</v>
      </c>
      <c r="G95" s="3" t="s">
        <v>1420</v>
      </c>
      <c r="H95" s="3" t="str">
        <f>HYPERLINK("http://www.jccm.es/sede/tramite/ILS","CONDECORACIONES EN MATERIA DE PROTECCION CIVIL DE LA COMUNIDAD AUTONOMA DE CASTILLA-LA MANCHA")</f>
        <v>CONDECORACIONES EN MATERIA DE PROTECCION CIVIL DE LA COMUNIDAD AUTONOMA DE CASTILLA-LA MANCHA</v>
      </c>
      <c r="I95" s="3" t="s">
        <v>42</v>
      </c>
      <c r="J95" s="3" t="s">
        <v>41</v>
      </c>
      <c r="K95" s="3" t="s">
        <v>42</v>
      </c>
      <c r="L95" s="3" t="s">
        <v>41</v>
      </c>
    </row>
    <row r="96" spans="1:12" ht="99.95" customHeight="1">
      <c r="A96" s="3" t="s">
        <v>1421</v>
      </c>
      <c r="B96" s="3" t="s">
        <v>1422</v>
      </c>
      <c r="C96" s="3" t="s">
        <v>1423</v>
      </c>
      <c r="D96" s="3" t="s">
        <v>46</v>
      </c>
      <c r="E96" s="3" t="s">
        <v>1116</v>
      </c>
      <c r="F96" s="3" t="s">
        <v>1169</v>
      </c>
      <c r="G96" s="3" t="s">
        <v>1424</v>
      </c>
      <c r="H96" s="3" t="str">
        <f>HYPERLINK("http://www.jccm.es/sede/tramite/IM1","EMISION DE CERTIFICADO DE ESTAR AL CORRIENTE DE LAS OBLIGACIONES TRIBUTARIAS.")</f>
        <v>EMISION DE CERTIFICADO DE ESTAR AL CORRIENTE DE LAS OBLIGACIONES TRIBUTARIAS.</v>
      </c>
      <c r="I96" s="3" t="s">
        <v>42</v>
      </c>
      <c r="J96" s="3" t="s">
        <v>41</v>
      </c>
      <c r="K96" s="3" t="s">
        <v>42</v>
      </c>
      <c r="L96" s="3" t="s">
        <v>41</v>
      </c>
    </row>
    <row r="97" spans="1:12" ht="99.95" customHeight="1">
      <c r="A97" s="3" t="s">
        <v>1425</v>
      </c>
      <c r="B97" s="3" t="s">
        <v>1426</v>
      </c>
      <c r="C97" s="3" t="s">
        <v>1427</v>
      </c>
      <c r="D97" s="3" t="s">
        <v>95</v>
      </c>
      <c r="E97" s="3" t="s">
        <v>1116</v>
      </c>
      <c r="F97" s="3" t="s">
        <v>1125</v>
      </c>
      <c r="G97" s="3" t="s">
        <v>1428</v>
      </c>
      <c r="H97" s="3" t="str">
        <f>HYPERLINK("http://www.jccm.es/sede/tramite/JR8","SOLICITUDES DE INFORMACION RELATIVAS A INCIDENTES GESTIONADOS EN EL SERVICIO DE EMERGENCIAS 112 DE CASTILLA-LA MANCHA.")</f>
        <v>SOLICITUDES DE INFORMACION RELATIVAS A INCIDENTES GESTIONADOS EN EL SERVICIO DE EMERGENCIAS 112 DE CASTILLA-LA MANCHA.</v>
      </c>
      <c r="I97" s="3" t="s">
        <v>42</v>
      </c>
      <c r="J97" s="3" t="s">
        <v>41</v>
      </c>
      <c r="K97" s="3" t="s">
        <v>42</v>
      </c>
      <c r="L97" s="3" t="s">
        <v>41</v>
      </c>
    </row>
    <row r="98" spans="1:12" ht="99.95" customHeight="1">
      <c r="A98" s="3" t="s">
        <v>1429</v>
      </c>
      <c r="B98" s="3" t="s">
        <v>1430</v>
      </c>
      <c r="C98" s="3" t="s">
        <v>95</v>
      </c>
      <c r="D98" s="3" t="s">
        <v>95</v>
      </c>
      <c r="E98" s="3" t="s">
        <v>1116</v>
      </c>
      <c r="F98" s="3" t="s">
        <v>1117</v>
      </c>
      <c r="G98" s="3" t="s">
        <v>1431</v>
      </c>
      <c r="H98" s="3" t="str">
        <f>HYPERLINK("http://www.jccm.es/sede/tramite/J7T","DECLARACION DE UTILIDAD PUBLICA (ASOCIACIONES)")</f>
        <v>DECLARACION DE UTILIDAD PUBLICA (ASOCIACIONES)</v>
      </c>
      <c r="I98" s="3" t="s">
        <v>42</v>
      </c>
      <c r="J98" s="3" t="s">
        <v>41</v>
      </c>
      <c r="K98" s="3" t="s">
        <v>42</v>
      </c>
      <c r="L98" s="3" t="s">
        <v>41</v>
      </c>
    </row>
    <row r="99" spans="1:12" ht="99.95" customHeight="1">
      <c r="A99" s="3" t="s">
        <v>1432</v>
      </c>
      <c r="B99" s="3" t="s">
        <v>1433</v>
      </c>
      <c r="C99" s="3" t="s">
        <v>62</v>
      </c>
      <c r="D99" s="3" t="s">
        <v>46</v>
      </c>
      <c r="E99" s="3" t="s">
        <v>1116</v>
      </c>
      <c r="F99" s="3" t="s">
        <v>1201</v>
      </c>
      <c r="G99" s="3" t="s">
        <v>1434</v>
      </c>
      <c r="H99" s="3" t="str">
        <f>HYPERLINK("http://www.jccm.es/sede/tramite/JNS","LEGALIZACION DE FIRMAS")</f>
        <v>LEGALIZACION DE FIRMAS</v>
      </c>
      <c r="I99" s="3" t="s">
        <v>42</v>
      </c>
      <c r="J99" s="3" t="s">
        <v>41</v>
      </c>
      <c r="K99" s="3" t="s">
        <v>42</v>
      </c>
      <c r="L99" s="3" t="s">
        <v>41</v>
      </c>
    </row>
    <row r="100" spans="1:12" ht="99.95" customHeight="1">
      <c r="A100" s="3" t="s">
        <v>1435</v>
      </c>
      <c r="B100" s="3" t="s">
        <v>1436</v>
      </c>
      <c r="C100" s="3" t="s">
        <v>95</v>
      </c>
      <c r="D100" s="3" t="s">
        <v>95</v>
      </c>
      <c r="E100" s="3" t="s">
        <v>1116</v>
      </c>
      <c r="F100" s="3" t="s">
        <v>1117</v>
      </c>
      <c r="G100" s="3" t="s">
        <v>1437</v>
      </c>
      <c r="H100" s="3" t="str">
        <f>HYPERLINK("http://www.jccm.es/sede/tramite/JUX","REMISION ELECTRONICA DE ACTOS Y ACUERDOS DE LAS ENTIDADES LOCALES A LA ADMINISTRACION DE LA JUNTA DE COMUNIDADES DE CASTILLA-LA MANCHA")</f>
        <v>REMISION ELECTRONICA DE ACTOS Y ACUERDOS DE LAS ENTIDADES LOCALES A LA ADMINISTRACION DE LA JUNTA DE COMUNIDADES DE CASTILLA-LA MANCHA</v>
      </c>
      <c r="I100" s="3" t="s">
        <v>41</v>
      </c>
      <c r="J100" s="3" t="s">
        <v>41</v>
      </c>
      <c r="K100" s="3" t="s">
        <v>42</v>
      </c>
      <c r="L100" s="3" t="s">
        <v>41</v>
      </c>
    </row>
    <row r="101" spans="1:12" ht="99.95" customHeight="1">
      <c r="A101" s="3" t="s">
        <v>1438</v>
      </c>
      <c r="B101" s="3" t="s">
        <v>1439</v>
      </c>
      <c r="C101" s="3" t="s">
        <v>158</v>
      </c>
      <c r="D101" s="3" t="s">
        <v>95</v>
      </c>
      <c r="E101" s="3" t="s">
        <v>1116</v>
      </c>
      <c r="F101" s="3" t="s">
        <v>1117</v>
      </c>
      <c r="G101" s="3" t="s">
        <v>1440</v>
      </c>
      <c r="H101" s="3" t="str">
        <f>HYPERLINK("http://www.jccm.es/sede/tramite/K0Y","OBTENCION DE PUBLICIDAD REGISTRAL FUNDACIONES")</f>
        <v>OBTENCION DE PUBLICIDAD REGISTRAL FUNDACIONES</v>
      </c>
      <c r="I101" s="3" t="s">
        <v>42</v>
      </c>
      <c r="J101" s="3" t="s">
        <v>41</v>
      </c>
      <c r="K101" s="3" t="s">
        <v>42</v>
      </c>
      <c r="L101" s="3" t="s">
        <v>41</v>
      </c>
    </row>
    <row r="102" spans="1:12" ht="99.95" customHeight="1">
      <c r="A102" s="3" t="s">
        <v>1441</v>
      </c>
      <c r="B102" s="3" t="s">
        <v>1442</v>
      </c>
      <c r="C102" s="3" t="s">
        <v>327</v>
      </c>
      <c r="D102" s="3" t="s">
        <v>37</v>
      </c>
      <c r="E102" s="3" t="s">
        <v>1116</v>
      </c>
      <c r="F102" s="3" t="s">
        <v>1117</v>
      </c>
      <c r="G102" s="3" t="s">
        <v>1443</v>
      </c>
      <c r="H102" s="3" t="str">
        <f>HYPERLINK("http://www.jccm.es/sede/tramite/C04","APROBACION DE CONSTITUCION DE AGRUPACIONES DE MUNICIPIOS PARA EL MANTENIMIENTO DEL PUESTO DE SECRETARIO")</f>
        <v>APROBACION DE CONSTITUCION DE AGRUPACIONES DE MUNICIPIOS PARA EL MANTENIMIENTO DEL PUESTO DE SECRETARIO</v>
      </c>
      <c r="I102" s="3" t="s">
        <v>41</v>
      </c>
      <c r="J102" s="3" t="s">
        <v>41</v>
      </c>
      <c r="K102" s="3" t="s">
        <v>41</v>
      </c>
      <c r="L102" s="3" t="s">
        <v>41</v>
      </c>
    </row>
    <row r="103" spans="1:12" ht="99.95" customHeight="1">
      <c r="A103" s="3" t="s">
        <v>1444</v>
      </c>
      <c r="B103" s="3" t="s">
        <v>1445</v>
      </c>
      <c r="C103" s="3" t="s">
        <v>1234</v>
      </c>
      <c r="D103" s="3" t="s">
        <v>46</v>
      </c>
      <c r="E103" s="3" t="s">
        <v>1116</v>
      </c>
      <c r="F103" s="3" t="s">
        <v>1169</v>
      </c>
      <c r="G103" s="3" t="s">
        <v>1446</v>
      </c>
      <c r="H103" s="3" t="str">
        <f>HYPERLINK("http://www.jccm.es/sede/tramite/K3V","DECLARACION RESPONSABLE DE COMBINACION ALEATORIA")</f>
        <v>DECLARACION RESPONSABLE DE COMBINACION ALEATORIA</v>
      </c>
      <c r="I103" s="3" t="s">
        <v>42</v>
      </c>
      <c r="J103" s="3" t="s">
        <v>41</v>
      </c>
      <c r="K103" s="3" t="s">
        <v>42</v>
      </c>
      <c r="L103" s="3" t="s">
        <v>41</v>
      </c>
    </row>
    <row r="104" spans="1:12" ht="99.95" customHeight="1">
      <c r="A104" s="3" t="s">
        <v>1447</v>
      </c>
      <c r="B104" s="3" t="s">
        <v>1448</v>
      </c>
      <c r="C104" s="3" t="s">
        <v>45</v>
      </c>
      <c r="D104" s="3" t="s">
        <v>95</v>
      </c>
      <c r="E104" s="3" t="s">
        <v>1116</v>
      </c>
      <c r="F104" s="3" t="s">
        <v>1169</v>
      </c>
      <c r="G104" s="3" t="s">
        <v>1449</v>
      </c>
      <c r="H104" s="3" t="str">
        <f>HYPERLINK("http://www.jccm.es/sede/tramite/K8K","INFORMACION SOBRE EL VALOR A EFECTOS FISCALES DE BIENES RUSTICOS")</f>
        <v>INFORMACION SOBRE EL VALOR A EFECTOS FISCALES DE BIENES RUSTICOS</v>
      </c>
      <c r="I104" s="3" t="s">
        <v>42</v>
      </c>
      <c r="J104" s="3" t="s">
        <v>41</v>
      </c>
      <c r="K104" s="3" t="s">
        <v>42</v>
      </c>
      <c r="L104" s="3" t="s">
        <v>41</v>
      </c>
    </row>
    <row r="105" spans="1:12" ht="99.95" customHeight="1">
      <c r="A105" s="3" t="s">
        <v>1450</v>
      </c>
      <c r="B105" s="3" t="s">
        <v>1451</v>
      </c>
      <c r="C105" s="3" t="s">
        <v>45</v>
      </c>
      <c r="D105" s="3" t="s">
        <v>95</v>
      </c>
      <c r="E105" s="3" t="s">
        <v>1116</v>
      </c>
      <c r="F105" s="3" t="s">
        <v>1117</v>
      </c>
      <c r="G105" s="3" t="s">
        <v>1452</v>
      </c>
      <c r="H105" s="3" t="str">
        <f>HYPERLINK("http://www.jccm.es/sede/tramite/355","CERTIFICADO DE DENOMINACION (FUNDACIONES)")</f>
        <v>CERTIFICADO DE DENOMINACION (FUNDACIONES)</v>
      </c>
      <c r="I105" s="3" t="s">
        <v>42</v>
      </c>
      <c r="J105" s="3" t="s">
        <v>41</v>
      </c>
      <c r="K105" s="3" t="s">
        <v>42</v>
      </c>
      <c r="L105" s="3" t="s">
        <v>41</v>
      </c>
    </row>
    <row r="106" spans="1:12" ht="99.95" customHeight="1">
      <c r="A106" s="3" t="s">
        <v>1453</v>
      </c>
      <c r="B106" s="3" t="s">
        <v>1454</v>
      </c>
      <c r="C106" s="3" t="s">
        <v>95</v>
      </c>
      <c r="D106" s="3" t="s">
        <v>95</v>
      </c>
      <c r="E106" s="3" t="s">
        <v>1116</v>
      </c>
      <c r="F106" s="3" t="s">
        <v>1117</v>
      </c>
      <c r="G106" s="3" t="s">
        <v>1455</v>
      </c>
      <c r="H106" s="3" t="str">
        <f>HYPERLINK("http://www.jccm.es/sede/tramite/KDE","OBTENCION DE PUBLICIDAD REGISTRAL SOBRE ASOCIACIONES")</f>
        <v>OBTENCION DE PUBLICIDAD REGISTRAL SOBRE ASOCIACIONES</v>
      </c>
      <c r="I106" s="3" t="s">
        <v>42</v>
      </c>
      <c r="J106" s="3" t="s">
        <v>41</v>
      </c>
      <c r="K106" s="3" t="s">
        <v>42</v>
      </c>
      <c r="L106" s="3" t="s">
        <v>41</v>
      </c>
    </row>
    <row r="107" spans="1:12" ht="99.95" customHeight="1">
      <c r="A107" s="3" t="s">
        <v>1456</v>
      </c>
      <c r="B107" s="3" t="s">
        <v>1457</v>
      </c>
      <c r="C107" s="3" t="s">
        <v>1458</v>
      </c>
      <c r="D107" s="3" t="s">
        <v>95</v>
      </c>
      <c r="E107" s="3" t="s">
        <v>1116</v>
      </c>
      <c r="F107" s="3" t="s">
        <v>1125</v>
      </c>
      <c r="G107" s="3" t="s">
        <v>1459</v>
      </c>
      <c r="H107" s="3" t="str">
        <f>HYPERLINK("http://www.jccm.es/sede/tramite/KDL","SOLICITUD DE CERTIFICACIONES ACREDITATIVAS DE FORMACION DE CONSUMIDORES RECONOCIDOS COMO EXPERTOS.")</f>
        <v>SOLICITUD DE CERTIFICACIONES ACREDITATIVAS DE FORMACION DE CONSUMIDORES RECONOCIDOS COMO EXPERTOS.</v>
      </c>
      <c r="I107" s="3" t="s">
        <v>42</v>
      </c>
      <c r="J107" s="3" t="s">
        <v>41</v>
      </c>
      <c r="K107" s="3" t="s">
        <v>42</v>
      </c>
      <c r="L107" s="3" t="s">
        <v>41</v>
      </c>
    </row>
    <row r="108" spans="1:12" ht="99.95" customHeight="1">
      <c r="A108" s="3" t="s">
        <v>1460</v>
      </c>
      <c r="B108" s="3" t="s">
        <v>1461</v>
      </c>
      <c r="C108" s="3" t="s">
        <v>1458</v>
      </c>
      <c r="D108" s="3" t="s">
        <v>95</v>
      </c>
      <c r="E108" s="3" t="s">
        <v>1116</v>
      </c>
      <c r="F108" s="3" t="s">
        <v>1125</v>
      </c>
      <c r="G108" s="3" t="s">
        <v>1462</v>
      </c>
      <c r="H108" s="3" t="str">
        <f>HYPERLINK("http://www.jccm.es/sede/tramite/KDM","SOLICITUD DE CERTIFICACION QUE CONVALIDA UNA CERTIFICACION ACREDITATIVA DE FORMACION DE CONSUMIDORES RECONOCIDOS COMO EXPERTOS DE OTRA PROVINCIA U OTRA ADMINISTRACION.")</f>
        <v>SOLICITUD DE CERTIFICACION QUE CONVALIDA UNA CERTIFICACION ACREDITATIVA DE FORMACION DE CONSUMIDORES RECONOCIDOS COMO EXPERTOS DE OTRA PROVINCIA U OTRA ADMINISTRACION.</v>
      </c>
      <c r="I108" s="3" t="s">
        <v>42</v>
      </c>
      <c r="J108" s="3" t="s">
        <v>41</v>
      </c>
      <c r="K108" s="3" t="s">
        <v>42</v>
      </c>
      <c r="L108" s="3" t="s">
        <v>41</v>
      </c>
    </row>
    <row r="109" spans="1:12" ht="99.95" customHeight="1">
      <c r="A109" s="3" t="s">
        <v>1463</v>
      </c>
      <c r="B109" s="3" t="s">
        <v>1464</v>
      </c>
      <c r="C109" s="3" t="s">
        <v>1458</v>
      </c>
      <c r="D109" s="3" t="s">
        <v>37</v>
      </c>
      <c r="E109" s="3" t="s">
        <v>1116</v>
      </c>
      <c r="F109" s="3" t="s">
        <v>1125</v>
      </c>
      <c r="G109" s="3" t="s">
        <v>1465</v>
      </c>
      <c r="H109" s="3" t="str">
        <f>HYPERLINK("http://www.jccm.es/sede/tramite/KDN","DECLARACION RESPONSABLE DE ENTIDAD EXTERNA DE FORMACION DE CONSUMIDORES RECONOCIDOS COMO EXPERTOS.")</f>
        <v>DECLARACION RESPONSABLE DE ENTIDAD EXTERNA DE FORMACION DE CONSUMIDORES RECONOCIDOS COMO EXPERTOS.</v>
      </c>
      <c r="I109" s="3" t="s">
        <v>42</v>
      </c>
      <c r="J109" s="3" t="s">
        <v>41</v>
      </c>
      <c r="K109" s="3" t="s">
        <v>42</v>
      </c>
      <c r="L109" s="3" t="s">
        <v>41</v>
      </c>
    </row>
    <row r="110" spans="1:12" ht="99.95" customHeight="1">
      <c r="A110" s="3" t="s">
        <v>1466</v>
      </c>
      <c r="B110" s="3" t="s">
        <v>1467</v>
      </c>
      <c r="C110" s="3" t="s">
        <v>95</v>
      </c>
      <c r="D110" s="3" t="s">
        <v>95</v>
      </c>
      <c r="E110" s="3" t="s">
        <v>1116</v>
      </c>
      <c r="F110" s="3" t="s">
        <v>1201</v>
      </c>
      <c r="G110" s="3" t="s">
        <v>1468</v>
      </c>
      <c r="H110" s="3" t="str">
        <f>HYPERLINK("http://www.jccm.es/sede/tramite/KN8","AUTORIZACION DEL PERSONAL EMPLEADO PUBLICO PARA SOLICITAR CERTIFICACION DEL REGISTRO CENTRAL DE DELINCUENTES SEXUALES")</f>
        <v>AUTORIZACION DEL PERSONAL EMPLEADO PUBLICO PARA SOLICITAR CERTIFICACION DEL REGISTRO CENTRAL DE DELINCUENTES SEXUALES</v>
      </c>
      <c r="I110" s="3" t="s">
        <v>41</v>
      </c>
      <c r="J110" s="3" t="s">
        <v>41</v>
      </c>
      <c r="K110" s="3" t="s">
        <v>42</v>
      </c>
      <c r="L110" s="3" t="s">
        <v>41</v>
      </c>
    </row>
    <row r="111" spans="1:12" ht="99.95" customHeight="1">
      <c r="A111" s="3" t="s">
        <v>1469</v>
      </c>
      <c r="B111" s="3" t="s">
        <v>1470</v>
      </c>
      <c r="C111" s="3" t="s">
        <v>95</v>
      </c>
      <c r="D111" s="3" t="s">
        <v>95</v>
      </c>
      <c r="E111" s="3" t="s">
        <v>1116</v>
      </c>
      <c r="F111" s="3" t="s">
        <v>1201</v>
      </c>
      <c r="G111" s="3" t="s">
        <v>1471</v>
      </c>
      <c r="H111" s="3" t="str">
        <f>HYPERLINK("http://www.jccm.es/sede/tramite/K0N","OBTENCION CERTIFICADO DE EMPLEADA  Y EMPLEADO PUBLICO")</f>
        <v>OBTENCION CERTIFICADO DE EMPLEADA  Y EMPLEADO PUBLICO</v>
      </c>
      <c r="I111" s="3" t="s">
        <v>41</v>
      </c>
      <c r="J111" s="3" t="s">
        <v>41</v>
      </c>
      <c r="K111" s="3" t="s">
        <v>42</v>
      </c>
      <c r="L111" s="3" t="s">
        <v>41</v>
      </c>
    </row>
    <row r="112" spans="1:12" ht="99.95" customHeight="1">
      <c r="A112" s="3" t="s">
        <v>1472</v>
      </c>
      <c r="B112" s="3" t="s">
        <v>1473</v>
      </c>
      <c r="C112" s="3" t="s">
        <v>45</v>
      </c>
      <c r="D112" s="3" t="s">
        <v>46</v>
      </c>
      <c r="E112" s="3" t="s">
        <v>1116</v>
      </c>
      <c r="F112" s="3" t="s">
        <v>1117</v>
      </c>
      <c r="G112" s="3" t="s">
        <v>1474</v>
      </c>
      <c r="H112" s="3" t="str">
        <f>HYPERLINK("http://www.jccm.es/sede/tramite/J8M","INFORME, SOBRE EXISTENCIA DE FUNCIONARIO/A CON HABILITACION DE CARACTER ESTATAL INTERESADO/A EN LA PROVISION DEL PUESTO DE TRABAJO, PARA NOMBRAMIENTO ACCIDENTAL")</f>
        <v>INFORME, SOBRE EXISTENCIA DE FUNCIONARIO/A CON HABILITACION DE CARACTER ESTATAL INTERESADO/A EN LA PROVISION DEL PUESTO DE TRABAJO, PARA NOMBRAMIENTO ACCIDENTAL</v>
      </c>
      <c r="I112" s="3" t="s">
        <v>42</v>
      </c>
      <c r="J112" s="3" t="s">
        <v>41</v>
      </c>
      <c r="K112" s="3" t="s">
        <v>42</v>
      </c>
      <c r="L112" s="3" t="s">
        <v>41</v>
      </c>
    </row>
    <row r="113" spans="1:12" ht="99.95" customHeight="1">
      <c r="A113" s="3" t="s">
        <v>1475</v>
      </c>
      <c r="B113" s="3" t="s">
        <v>1476</v>
      </c>
      <c r="C113" s="3" t="s">
        <v>45</v>
      </c>
      <c r="D113" s="3" t="s">
        <v>46</v>
      </c>
      <c r="E113" s="3" t="s">
        <v>1116</v>
      </c>
      <c r="F113" s="3" t="s">
        <v>1117</v>
      </c>
      <c r="G113" s="3" t="s">
        <v>1477</v>
      </c>
      <c r="H113" s="3" t="str">
        <f>HYPERLINK("http://www.jccm.es/sede/tramite/J8O","NOMBRAMIENTO PROVISIONAL EN PUESTOS RESERVADOS A FUNCIONARIOS/AS CON HABILITACION DE CARACTER ESTATAL")</f>
        <v>NOMBRAMIENTO PROVISIONAL EN PUESTOS RESERVADOS A FUNCIONARIOS/AS CON HABILITACION DE CARACTER ESTATAL</v>
      </c>
      <c r="I113" s="3" t="s">
        <v>42</v>
      </c>
      <c r="J113" s="3" t="s">
        <v>41</v>
      </c>
      <c r="K113" s="3" t="s">
        <v>42</v>
      </c>
      <c r="L113" s="3" t="s">
        <v>41</v>
      </c>
    </row>
    <row r="114" spans="1:12" ht="99.95" customHeight="1">
      <c r="A114" s="3" t="s">
        <v>1478</v>
      </c>
      <c r="B114" s="3" t="s">
        <v>1479</v>
      </c>
      <c r="C114" s="3" t="s">
        <v>45</v>
      </c>
      <c r="D114" s="3" t="s">
        <v>46</v>
      </c>
      <c r="E114" s="3" t="s">
        <v>1116</v>
      </c>
      <c r="F114" s="3" t="s">
        <v>1117</v>
      </c>
      <c r="G114" s="3" t="s">
        <v>1480</v>
      </c>
      <c r="H114" s="3" t="str">
        <f>HYPERLINK("http://www.jccm.es/sede/tramite/J8K","COMISION DE SERVICIOS EN PUESTOS RESERVADOS A FUNCIONARIOS/AS CON HABILITACION DE CARACTER ESTATAL")</f>
        <v>COMISION DE SERVICIOS EN PUESTOS RESERVADOS A FUNCIONARIOS/AS CON HABILITACION DE CARACTER ESTATAL</v>
      </c>
      <c r="I114" s="3" t="s">
        <v>41</v>
      </c>
      <c r="J114" s="3" t="s">
        <v>41</v>
      </c>
      <c r="K114" s="3" t="s">
        <v>42</v>
      </c>
      <c r="L114" s="3" t="s">
        <v>41</v>
      </c>
    </row>
    <row r="115" spans="1:12" ht="99.95" customHeight="1">
      <c r="A115" s="3" t="s">
        <v>1481</v>
      </c>
      <c r="B115" s="3" t="s">
        <v>1482</v>
      </c>
      <c r="C115" s="3" t="s">
        <v>1483</v>
      </c>
      <c r="D115" s="3" t="s">
        <v>95</v>
      </c>
      <c r="E115" s="3" t="s">
        <v>1116</v>
      </c>
      <c r="F115" s="3" t="s">
        <v>1201</v>
      </c>
      <c r="G115" s="3" t="s">
        <v>1484</v>
      </c>
      <c r="H115" s="3" t="str">
        <f>HYPERLINK("http://www.jccm.es/sede/tramite/KVK","CERTIFICADO DE LOS CURSOS IMPARTIDOS EN LA ESCUELA DE ADMINISTRACION REGIONAL DE CASTILLA-LA MANCHA.")</f>
        <v>CERTIFICADO DE LOS CURSOS IMPARTIDOS EN LA ESCUELA DE ADMINISTRACION REGIONAL DE CASTILLA-LA MANCHA.</v>
      </c>
      <c r="I115" s="3" t="s">
        <v>41</v>
      </c>
      <c r="J115" s="3" t="s">
        <v>41</v>
      </c>
      <c r="K115" s="3" t="s">
        <v>42</v>
      </c>
      <c r="L115" s="3" t="s">
        <v>41</v>
      </c>
    </row>
    <row r="116" spans="1:12" ht="99.95" customHeight="1">
      <c r="A116" s="3" t="s">
        <v>1485</v>
      </c>
      <c r="B116" s="3" t="s">
        <v>1486</v>
      </c>
      <c r="C116" s="3" t="s">
        <v>1483</v>
      </c>
      <c r="D116" s="3" t="s">
        <v>95</v>
      </c>
      <c r="E116" s="3" t="s">
        <v>1116</v>
      </c>
      <c r="F116" s="3" t="s">
        <v>1201</v>
      </c>
      <c r="G116" s="3" t="s">
        <v>1487</v>
      </c>
      <c r="H116" s="3" t="str">
        <f>HYPERLINK("http://www.jccm.es/sede/tramite/K3S","CERTIFICADO DE LOS CURSOS REALIZADOS O PROMOVIDOS POR LA ESCUELA DE ADMINISTRACION REGIONAL.")</f>
        <v>CERTIFICADO DE LOS CURSOS REALIZADOS O PROMOVIDOS POR LA ESCUELA DE ADMINISTRACION REGIONAL.</v>
      </c>
      <c r="I116" s="3" t="s">
        <v>42</v>
      </c>
      <c r="J116" s="3" t="s">
        <v>41</v>
      </c>
      <c r="K116" s="3" t="s">
        <v>42</v>
      </c>
      <c r="L116" s="3" t="s">
        <v>41</v>
      </c>
    </row>
    <row r="117" spans="1:12" ht="99.95" customHeight="1">
      <c r="A117" s="3" t="s">
        <v>1488</v>
      </c>
      <c r="B117" s="3" t="s">
        <v>1489</v>
      </c>
      <c r="C117" s="3" t="s">
        <v>1234</v>
      </c>
      <c r="D117" s="3" t="s">
        <v>46</v>
      </c>
      <c r="E117" s="3" t="s">
        <v>1116</v>
      </c>
      <c r="F117" s="3" t="s">
        <v>1169</v>
      </c>
      <c r="G117" s="3" t="s">
        <v>1490</v>
      </c>
      <c r="H117" s="3" t="str">
        <f>HYPERLINK("http://www.jccm.es/sede/tramite/K3Y","DECLARACION RESPONSABLE RENOVACION AUTORIZACION DE  JUEGOS PERMANENTES POR CANALES ELECTRONICOS, INFORMATICOS,  TELEMATICOS O INTERACTIVOS.")</f>
        <v>DECLARACION RESPONSABLE RENOVACION AUTORIZACION DE  JUEGOS PERMANENTES POR CANALES ELECTRONICOS, INFORMATICOS,  TELEMATICOS O INTERACTIVOS.</v>
      </c>
      <c r="I117" s="3" t="s">
        <v>42</v>
      </c>
      <c r="J117" s="3" t="s">
        <v>41</v>
      </c>
      <c r="K117" s="3" t="s">
        <v>42</v>
      </c>
      <c r="L117" s="3" t="s">
        <v>41</v>
      </c>
    </row>
    <row r="118" spans="1:12" ht="99.95" customHeight="1">
      <c r="A118" s="3" t="s">
        <v>1491</v>
      </c>
      <c r="B118" s="3" t="s">
        <v>1492</v>
      </c>
      <c r="C118" s="3" t="s">
        <v>1234</v>
      </c>
      <c r="D118" s="3" t="s">
        <v>46</v>
      </c>
      <c r="E118" s="3" t="s">
        <v>1116</v>
      </c>
      <c r="F118" s="3" t="s">
        <v>1169</v>
      </c>
      <c r="G118" s="3" t="s">
        <v>1493</v>
      </c>
      <c r="H118" s="3" t="str">
        <f>HYPERLINK("http://www.jccm.es/sede/tramite/K3Z","DECLARACION RESPONSABLE DE MODIFICACION NO SUSTANCIAL DE HOMOLOGACION DE SISTEMAS TECNICOS DE JUEGO POR CANALES ELECTRONICOS, INFORMATICOS, TELEMATICOS O INTERACTIVOS.")</f>
        <v>DECLARACION RESPONSABLE DE MODIFICACION NO SUSTANCIAL DE HOMOLOGACION DE SISTEMAS TECNICOS DE JUEGO POR CANALES ELECTRONICOS, INFORMATICOS, TELEMATICOS O INTERACTIVOS.</v>
      </c>
      <c r="I118" s="3" t="s">
        <v>42</v>
      </c>
      <c r="J118" s="3" t="s">
        <v>41</v>
      </c>
      <c r="K118" s="3" t="s">
        <v>42</v>
      </c>
      <c r="L118" s="3" t="s">
        <v>41</v>
      </c>
    </row>
    <row r="119" spans="1:12" ht="99.95" customHeight="1">
      <c r="A119" s="3" t="s">
        <v>1494</v>
      </c>
      <c r="B119" s="3" t="s">
        <v>1495</v>
      </c>
      <c r="C119" s="3" t="s">
        <v>1217</v>
      </c>
      <c r="D119" s="3" t="s">
        <v>46</v>
      </c>
      <c r="E119" s="3" t="s">
        <v>1116</v>
      </c>
      <c r="F119" s="3" t="s">
        <v>1169</v>
      </c>
      <c r="G119" s="3" t="s">
        <v>1496</v>
      </c>
      <c r="H119" s="3" t="str">
        <f>HYPERLINK("http://www.jccm.es/sede/tramite/K4Z","DECLARACION RESPONSABLE DE MODIFICACION NO SUSTANCIAL DE HOMOLOGACION DEL MATERIAL DE JUEGO.")</f>
        <v>DECLARACION RESPONSABLE DE MODIFICACION NO SUSTANCIAL DE HOMOLOGACION DEL MATERIAL DE JUEGO.</v>
      </c>
      <c r="I119" s="3" t="s">
        <v>42</v>
      </c>
      <c r="J119" s="3" t="s">
        <v>41</v>
      </c>
      <c r="K119" s="3" t="s">
        <v>42</v>
      </c>
      <c r="L119" s="3" t="s">
        <v>41</v>
      </c>
    </row>
    <row r="120" spans="1:12" ht="99.95" customHeight="1">
      <c r="A120" s="3" t="s">
        <v>1497</v>
      </c>
      <c r="B120" s="3" t="s">
        <v>1498</v>
      </c>
      <c r="C120" s="3" t="s">
        <v>1217</v>
      </c>
      <c r="D120" s="3" t="s">
        <v>46</v>
      </c>
      <c r="E120" s="3" t="s">
        <v>1116</v>
      </c>
      <c r="F120" s="3" t="s">
        <v>1169</v>
      </c>
      <c r="G120" s="3" t="s">
        <v>1499</v>
      </c>
      <c r="H120" s="3" t="str">
        <f>HYPERLINK("http://www.jccm.es/sede/tramite/K50","DECLARACION RESPONSABLE DE CAMBIO DE TITULAR DE LA AUTORIZACION INSTALACION DE ESTABLECIMIENTOS DE HOSTELERIA O SIMILAR.")</f>
        <v>DECLARACION RESPONSABLE DE CAMBIO DE TITULAR DE LA AUTORIZACION INSTALACION DE ESTABLECIMIENTOS DE HOSTELERIA O SIMILAR.</v>
      </c>
      <c r="I120" s="3" t="s">
        <v>42</v>
      </c>
      <c r="J120" s="3" t="s">
        <v>41</v>
      </c>
      <c r="K120" s="3" t="s">
        <v>42</v>
      </c>
      <c r="L120" s="3" t="s">
        <v>41</v>
      </c>
    </row>
    <row r="121" spans="1:12" ht="99.95" customHeight="1">
      <c r="A121" s="3" t="s">
        <v>1500</v>
      </c>
      <c r="B121" s="3" t="s">
        <v>1501</v>
      </c>
      <c r="C121" s="3" t="s">
        <v>1217</v>
      </c>
      <c r="D121" s="3" t="s">
        <v>46</v>
      </c>
      <c r="E121" s="3" t="s">
        <v>1116</v>
      </c>
      <c r="F121" s="3" t="s">
        <v>1169</v>
      </c>
      <c r="G121" s="3" t="s">
        <v>1502</v>
      </c>
      <c r="H121" s="3" t="str">
        <f>HYPERLINK("http://www.jccm.es/sede/tramite/K51","DECLARACION RESPONSABLE DE MODIFICACION  DE LOS SISTEMAS DE INTERCONEXIONADO")</f>
        <v>DECLARACION RESPONSABLE DE MODIFICACION  DE LOS SISTEMAS DE INTERCONEXIONADO</v>
      </c>
      <c r="I121" s="3" t="s">
        <v>42</v>
      </c>
      <c r="J121" s="3" t="s">
        <v>41</v>
      </c>
      <c r="K121" s="3" t="s">
        <v>42</v>
      </c>
      <c r="L121" s="3" t="s">
        <v>41</v>
      </c>
    </row>
    <row r="122" spans="1:12" ht="99.95" customHeight="1">
      <c r="A122" s="3" t="s">
        <v>1503</v>
      </c>
      <c r="B122" s="3" t="s">
        <v>1504</v>
      </c>
      <c r="C122" s="3" t="s">
        <v>1217</v>
      </c>
      <c r="D122" s="3" t="s">
        <v>46</v>
      </c>
      <c r="E122" s="3" t="s">
        <v>1116</v>
      </c>
      <c r="F122" s="3" t="s">
        <v>1169</v>
      </c>
      <c r="G122" s="3" t="s">
        <v>1505</v>
      </c>
      <c r="H122" s="3" t="str">
        <f>HYPERLINK("http://www.jccm.es/sede/tramite/K58","DECLARACION RESPONSABLE DE EMPLAZAMIENTO")</f>
        <v>DECLARACION RESPONSABLE DE EMPLAZAMIENTO</v>
      </c>
      <c r="I122" s="3" t="s">
        <v>42</v>
      </c>
      <c r="J122" s="3" t="s">
        <v>41</v>
      </c>
      <c r="K122" s="3" t="s">
        <v>42</v>
      </c>
      <c r="L122" s="3" t="s">
        <v>41</v>
      </c>
    </row>
    <row r="123" spans="1:12" ht="99.95" customHeight="1">
      <c r="A123" s="3" t="s">
        <v>1506</v>
      </c>
      <c r="B123" s="3" t="s">
        <v>1507</v>
      </c>
      <c r="C123" s="3" t="s">
        <v>1217</v>
      </c>
      <c r="D123" s="3" t="s">
        <v>46</v>
      </c>
      <c r="E123" s="3" t="s">
        <v>1116</v>
      </c>
      <c r="F123" s="3" t="s">
        <v>1169</v>
      </c>
      <c r="G123" s="3" t="s">
        <v>1508</v>
      </c>
      <c r="H123" s="3" t="str">
        <f>HYPERLINK("http://www.jccm.es/sede/tramite/K52","DECLARACION RESPONSABLE DE CELEBRACION DE TORNEOS.")</f>
        <v>DECLARACION RESPONSABLE DE CELEBRACION DE TORNEOS.</v>
      </c>
      <c r="I123" s="3" t="s">
        <v>42</v>
      </c>
      <c r="J123" s="3" t="s">
        <v>41</v>
      </c>
      <c r="K123" s="3" t="s">
        <v>42</v>
      </c>
      <c r="L123" s="3" t="s">
        <v>41</v>
      </c>
    </row>
    <row r="124" spans="1:12" ht="99.95" customHeight="1">
      <c r="A124" s="3" t="s">
        <v>1509</v>
      </c>
      <c r="B124" s="3" t="s">
        <v>1510</v>
      </c>
      <c r="C124" s="3" t="s">
        <v>1217</v>
      </c>
      <c r="D124" s="3" t="s">
        <v>46</v>
      </c>
      <c r="E124" s="3" t="s">
        <v>1116</v>
      </c>
      <c r="F124" s="3" t="s">
        <v>1169</v>
      </c>
      <c r="G124" s="3" t="s">
        <v>1511</v>
      </c>
      <c r="H124" s="3" t="str">
        <f>HYPERLINK("http://www.jccm.es/sede/tramite/K53","DECLARACION RESPONSABLE DE PUESTA EN FUNCIONAMIENTO DE ESCUELA DE CRUPIERES")</f>
        <v>DECLARACION RESPONSABLE DE PUESTA EN FUNCIONAMIENTO DE ESCUELA DE CRUPIERES</v>
      </c>
      <c r="I124" s="3" t="s">
        <v>42</v>
      </c>
      <c r="J124" s="3" t="s">
        <v>41</v>
      </c>
      <c r="K124" s="3" t="s">
        <v>42</v>
      </c>
      <c r="L124" s="3" t="s">
        <v>41</v>
      </c>
    </row>
    <row r="125" spans="1:12" ht="99.95" customHeight="1">
      <c r="A125" s="3" t="s">
        <v>1512</v>
      </c>
      <c r="B125" s="3" t="s">
        <v>1513</v>
      </c>
      <c r="C125" s="3" t="s">
        <v>1217</v>
      </c>
      <c r="D125" s="3" t="s">
        <v>46</v>
      </c>
      <c r="E125" s="3" t="s">
        <v>1116</v>
      </c>
      <c r="F125" s="3" t="s">
        <v>1169</v>
      </c>
      <c r="G125" s="3" t="s">
        <v>1514</v>
      </c>
      <c r="H125" s="3" t="str">
        <f>HYPERLINK("http://www.jccm.es/sede/tramite/K54","DATOS ESTADISTICOS EN MATERIA DE JUEGO.")</f>
        <v>DATOS ESTADISTICOS EN MATERIA DE JUEGO.</v>
      </c>
      <c r="I125" s="3" t="s">
        <v>42</v>
      </c>
      <c r="J125" s="3" t="s">
        <v>41</v>
      </c>
      <c r="K125" s="3" t="s">
        <v>42</v>
      </c>
      <c r="L125" s="3" t="s">
        <v>41</v>
      </c>
    </row>
    <row r="126" spans="1:12" ht="99.95" customHeight="1">
      <c r="A126" s="3" t="s">
        <v>1515</v>
      </c>
      <c r="B126" s="3" t="s">
        <v>1516</v>
      </c>
      <c r="C126" s="3" t="s">
        <v>1217</v>
      </c>
      <c r="D126" s="3" t="s">
        <v>46</v>
      </c>
      <c r="E126" s="3" t="s">
        <v>1116</v>
      </c>
      <c r="F126" s="3" t="s">
        <v>1169</v>
      </c>
      <c r="G126" s="3" t="s">
        <v>1517</v>
      </c>
      <c r="H126" s="3" t="str">
        <f>HYPERLINK("http://www.jccm.es/sede/tramite/K4T","DECLARACION RESPONSABLE DE BAJA DEFINITIVA DE MAQUINAS DE JUEGO")</f>
        <v>DECLARACION RESPONSABLE DE BAJA DEFINITIVA DE MAQUINAS DE JUEGO</v>
      </c>
      <c r="I126" s="3" t="s">
        <v>42</v>
      </c>
      <c r="J126" s="3" t="s">
        <v>41</v>
      </c>
      <c r="K126" s="3" t="s">
        <v>42</v>
      </c>
      <c r="L126" s="3" t="s">
        <v>41</v>
      </c>
    </row>
    <row r="127" spans="1:12" ht="99.95" customHeight="1">
      <c r="A127" s="3" t="s">
        <v>1518</v>
      </c>
      <c r="B127" s="3" t="s">
        <v>1519</v>
      </c>
      <c r="C127" s="3" t="s">
        <v>1217</v>
      </c>
      <c r="D127" s="3" t="s">
        <v>46</v>
      </c>
      <c r="E127" s="3" t="s">
        <v>1116</v>
      </c>
      <c r="F127" s="3" t="s">
        <v>1169</v>
      </c>
      <c r="G127" s="3" t="s">
        <v>1520</v>
      </c>
      <c r="H127" s="3" t="str">
        <f>HYPERLINK("http://www.jccm.es/sede/tramite/K4U","DECLARACION RESPONSABLE DE PUESTA EN FUNCIONAMIENTO")</f>
        <v>DECLARACION RESPONSABLE DE PUESTA EN FUNCIONAMIENTO</v>
      </c>
      <c r="I127" s="3" t="s">
        <v>42</v>
      </c>
      <c r="J127" s="3" t="s">
        <v>41</v>
      </c>
      <c r="K127" s="3" t="s">
        <v>42</v>
      </c>
      <c r="L127" s="3" t="s">
        <v>41</v>
      </c>
    </row>
    <row r="128" spans="1:12" ht="99.95" customHeight="1">
      <c r="A128" s="3" t="s">
        <v>1521</v>
      </c>
      <c r="B128" s="3" t="s">
        <v>1522</v>
      </c>
      <c r="C128" s="3" t="s">
        <v>1217</v>
      </c>
      <c r="D128" s="3" t="s">
        <v>46</v>
      </c>
      <c r="E128" s="3" t="s">
        <v>1116</v>
      </c>
      <c r="F128" s="3" t="s">
        <v>1169</v>
      </c>
      <c r="G128" s="3" t="s">
        <v>1523</v>
      </c>
      <c r="H128" s="3" t="str">
        <f>HYPERLINK("http://www.jccm.es/sede/tramite/K4V","DECLARACION RESPONSABLE DE RENOVACION DE LA AUTORIZACION DE  ZONAS DE APUESTAS.")</f>
        <v>DECLARACION RESPONSABLE DE RENOVACION DE LA AUTORIZACION DE  ZONAS DE APUESTAS.</v>
      </c>
      <c r="I128" s="3" t="s">
        <v>42</v>
      </c>
      <c r="J128" s="3" t="s">
        <v>41</v>
      </c>
      <c r="K128" s="3" t="s">
        <v>42</v>
      </c>
      <c r="L128" s="3" t="s">
        <v>41</v>
      </c>
    </row>
    <row r="129" spans="1:12" ht="99.95" customHeight="1">
      <c r="A129" s="3" t="s">
        <v>1524</v>
      </c>
      <c r="B129" s="3" t="s">
        <v>1525</v>
      </c>
      <c r="C129" s="3" t="s">
        <v>1217</v>
      </c>
      <c r="D129" s="3" t="s">
        <v>46</v>
      </c>
      <c r="E129" s="3" t="s">
        <v>1116</v>
      </c>
      <c r="F129" s="3" t="s">
        <v>1169</v>
      </c>
      <c r="G129" s="3" t="s">
        <v>1526</v>
      </c>
      <c r="H129" s="3" t="str">
        <f>HYPERLINK("http://www.jccm.es/sede/tramite/K4W","DECLARACION RESPONSABLE DE RENOVACION DE LA AUTORIZACION DE EXPLOTACION DE MAQUINAS DE JUEGO")</f>
        <v>DECLARACION RESPONSABLE DE RENOVACION DE LA AUTORIZACION DE EXPLOTACION DE MAQUINAS DE JUEGO</v>
      </c>
      <c r="I129" s="3" t="s">
        <v>42</v>
      </c>
      <c r="J129" s="3" t="s">
        <v>41</v>
      </c>
      <c r="K129" s="3" t="s">
        <v>42</v>
      </c>
      <c r="L129" s="3" t="s">
        <v>41</v>
      </c>
    </row>
    <row r="130" spans="1:12" ht="99.95" customHeight="1">
      <c r="A130" s="3" t="s">
        <v>1527</v>
      </c>
      <c r="B130" s="3" t="s">
        <v>1528</v>
      </c>
      <c r="C130" s="3" t="s">
        <v>1217</v>
      </c>
      <c r="D130" s="3" t="s">
        <v>46</v>
      </c>
      <c r="E130" s="3" t="s">
        <v>1116</v>
      </c>
      <c r="F130" s="3" t="s">
        <v>1169</v>
      </c>
      <c r="G130" s="3" t="s">
        <v>1529</v>
      </c>
      <c r="H130" s="3" t="str">
        <f>HYPERLINK("http://www.jccm.es/sede/tramite/K4X","DECLARACION RESPONSABLE DE RENOVACION ACTIVIDAD DE EMPRESAS DE JUEGO.")</f>
        <v>DECLARACION RESPONSABLE DE RENOVACION ACTIVIDAD DE EMPRESAS DE JUEGO.</v>
      </c>
      <c r="I130" s="3" t="s">
        <v>42</v>
      </c>
      <c r="J130" s="3" t="s">
        <v>41</v>
      </c>
      <c r="K130" s="3" t="s">
        <v>42</v>
      </c>
      <c r="L130" s="3" t="s">
        <v>41</v>
      </c>
    </row>
    <row r="131" spans="1:12" ht="99.95" customHeight="1">
      <c r="A131" s="3" t="s">
        <v>1530</v>
      </c>
      <c r="B131" s="3" t="s">
        <v>1531</v>
      </c>
      <c r="C131" s="3" t="s">
        <v>1217</v>
      </c>
      <c r="D131" s="3" t="s">
        <v>46</v>
      </c>
      <c r="E131" s="3" t="s">
        <v>1116</v>
      </c>
      <c r="F131" s="3" t="s">
        <v>1169</v>
      </c>
      <c r="G131" s="3" t="s">
        <v>1532</v>
      </c>
      <c r="H131" s="3" t="str">
        <f>HYPERLINK("http://www.jccm.es/sede/tramite/K4Y","DECLARACION RESPONSABLE DE RENOVACION AUTORIZACION LABORATORIO DE ENSAYO")</f>
        <v>DECLARACION RESPONSABLE DE RENOVACION AUTORIZACION LABORATORIO DE ENSAYO</v>
      </c>
      <c r="I131" s="3" t="s">
        <v>42</v>
      </c>
      <c r="J131" s="3" t="s">
        <v>41</v>
      </c>
      <c r="K131" s="3" t="s">
        <v>42</v>
      </c>
      <c r="L131" s="3" t="s">
        <v>41</v>
      </c>
    </row>
    <row r="132" spans="1:12" ht="99.95" customHeight="1">
      <c r="A132" s="3" t="s">
        <v>1533</v>
      </c>
      <c r="B132" s="3" t="s">
        <v>1534</v>
      </c>
      <c r="C132" s="3" t="s">
        <v>1535</v>
      </c>
      <c r="D132" s="3" t="s">
        <v>1368</v>
      </c>
      <c r="E132" s="3" t="s">
        <v>1116</v>
      </c>
      <c r="F132" s="3" t="s">
        <v>1355</v>
      </c>
      <c r="G132" s="3" t="s">
        <v>1536</v>
      </c>
      <c r="H132" s="3" t="str">
        <f>HYPERLINK("http://www.jccm.es/sede/tramite/KWG","CONTROL FINANCIERO DE OPERACIONES COFINANCIADAS CON FONDOS ESTRUCTURALES Y FEMP.")</f>
        <v>CONTROL FINANCIERO DE OPERACIONES COFINANCIADAS CON FONDOS ESTRUCTURALES Y FEMP.</v>
      </c>
      <c r="I132" s="3" t="s">
        <v>42</v>
      </c>
      <c r="J132" s="3" t="s">
        <v>41</v>
      </c>
      <c r="K132" s="3" t="s">
        <v>42</v>
      </c>
      <c r="L132" s="3" t="s">
        <v>41</v>
      </c>
    </row>
    <row r="133" spans="1:12" ht="99.95" customHeight="1">
      <c r="A133" s="3" t="s">
        <v>1537</v>
      </c>
      <c r="B133" s="3" t="s">
        <v>1538</v>
      </c>
      <c r="C133" s="3" t="s">
        <v>1535</v>
      </c>
      <c r="D133" s="3" t="s">
        <v>1368</v>
      </c>
      <c r="E133" s="3" t="s">
        <v>1116</v>
      </c>
      <c r="F133" s="3" t="s">
        <v>1355</v>
      </c>
      <c r="G133" s="3" t="s">
        <v>1539</v>
      </c>
      <c r="H133" s="3" t="str">
        <f>HYPERLINK("http://www.jccm.es/sede/tramite/KZU","CERTIFICACION DE LAS CUENTAS DEL ORGANISMO PAGADOR (FEAGA/FEADER)")</f>
        <v>CERTIFICACION DE LAS CUENTAS DEL ORGANISMO PAGADOR (FEAGA/FEADER)</v>
      </c>
      <c r="I133" s="3" t="s">
        <v>42</v>
      </c>
      <c r="J133" s="3" t="s">
        <v>41</v>
      </c>
      <c r="K133" s="3" t="s">
        <v>42</v>
      </c>
      <c r="L133" s="3" t="s">
        <v>41</v>
      </c>
    </row>
    <row r="134" spans="1:12" ht="99.95" customHeight="1">
      <c r="A134" s="3" t="s">
        <v>1540</v>
      </c>
      <c r="B134" s="3" t="s">
        <v>1541</v>
      </c>
      <c r="C134" s="3" t="s">
        <v>1535</v>
      </c>
      <c r="D134" s="3" t="s">
        <v>1368</v>
      </c>
      <c r="E134" s="3" t="s">
        <v>1116</v>
      </c>
      <c r="F134" s="3" t="s">
        <v>1355</v>
      </c>
      <c r="G134" s="3" t="s">
        <v>1542</v>
      </c>
      <c r="H134" s="3" t="str">
        <f>HYPERLINK("http://www.jccm.es/sede/tramite/KX4","CONTROL FINANCIERO DE OPERACIONES COFINANCIADAS CON EL FONDO FEAGA.")</f>
        <v>CONTROL FINANCIERO DE OPERACIONES COFINANCIADAS CON EL FONDO FEAGA.</v>
      </c>
      <c r="I134" s="3" t="s">
        <v>41</v>
      </c>
      <c r="J134" s="3" t="s">
        <v>41</v>
      </c>
      <c r="K134" s="3" t="s">
        <v>42</v>
      </c>
      <c r="L134" s="3" t="s">
        <v>41</v>
      </c>
    </row>
    <row r="135" spans="1:12" ht="99.95" customHeight="1">
      <c r="A135" s="3" t="s">
        <v>1543</v>
      </c>
      <c r="B135" s="3" t="s">
        <v>1544</v>
      </c>
      <c r="C135" s="3" t="s">
        <v>45</v>
      </c>
      <c r="D135" s="3" t="s">
        <v>46</v>
      </c>
      <c r="E135" s="3" t="s">
        <v>1116</v>
      </c>
      <c r="F135" s="3" t="s">
        <v>1286</v>
      </c>
      <c r="G135" s="3" t="s">
        <v>1545</v>
      </c>
      <c r="H135" s="3" t="str">
        <f>HYPERLINK("http://www.jccm.es/sede/tramite/JPX","FIJACION DEL JUSTIPRECIO EN EXPROPIACION FORZOSA CUANDO LA ADMINISTRACION EXPROPIANTE SEA LA JCCM O CUALQUIERA DE LAS DIPUTACIONES O MUNICIPIOS DE CASTILLA-LA MANCHA")</f>
        <v>FIJACION DEL JUSTIPRECIO EN EXPROPIACION FORZOSA CUANDO LA ADMINISTRACION EXPROPIANTE SEA LA JCCM O CUALQUIERA DE LAS DIPUTACIONES O MUNICIPIOS DE CASTILLA-LA MANCHA</v>
      </c>
      <c r="I135" s="3" t="s">
        <v>42</v>
      </c>
      <c r="J135" s="3" t="s">
        <v>41</v>
      </c>
      <c r="K135" s="3" t="s">
        <v>42</v>
      </c>
      <c r="L135" s="3" t="s">
        <v>41</v>
      </c>
    </row>
    <row r="136" spans="1:12" ht="99.95" customHeight="1">
      <c r="A136" s="3" t="s">
        <v>1546</v>
      </c>
      <c r="B136" s="3" t="s">
        <v>1547</v>
      </c>
      <c r="C136" s="3" t="s">
        <v>95</v>
      </c>
      <c r="D136" s="3" t="s">
        <v>95</v>
      </c>
      <c r="E136" s="3" t="s">
        <v>1116</v>
      </c>
      <c r="F136" s="3" t="s">
        <v>1286</v>
      </c>
      <c r="G136" s="3" t="s">
        <v>1548</v>
      </c>
      <c r="H136" s="3" t="str">
        <f>HYPERLINK("http://www.jccm.es/sede/tramite/KL7","GESTION ELECTRONICA DE LA CONTRATACION")</f>
        <v>GESTION ELECTRONICA DE LA CONTRATACION</v>
      </c>
      <c r="I136" s="3" t="s">
        <v>41</v>
      </c>
      <c r="J136" s="3" t="s">
        <v>41</v>
      </c>
      <c r="K136" s="3" t="s">
        <v>42</v>
      </c>
      <c r="L136" s="3" t="s">
        <v>41</v>
      </c>
    </row>
    <row r="137" spans="1:12" ht="99.95" customHeight="1">
      <c r="A137" s="3" t="s">
        <v>1549</v>
      </c>
      <c r="B137" s="3" t="s">
        <v>1550</v>
      </c>
      <c r="C137" s="3" t="s">
        <v>374</v>
      </c>
      <c r="D137" s="3" t="s">
        <v>1368</v>
      </c>
      <c r="E137" s="3" t="s">
        <v>1116</v>
      </c>
      <c r="F137" s="3" t="s">
        <v>1117</v>
      </c>
      <c r="G137" s="3" t="s">
        <v>1551</v>
      </c>
      <c r="H137" s="3" t="str">
        <f>HYPERLINK("http://www.jccm.es/sede/tramite/IZY","SOLICITUD QUEJAS, SUGERENCIAS E INCIDENCIAS EN LA TRAMITACION ELECTRONICA ANTE LA ADMINISTRACION DE LA JUNTA DE COMUNIDADES DE CASTILLA-LA MANCHA, EXCEPTO SESCAM")</f>
        <v>SOLICITUD QUEJAS, SUGERENCIAS E INCIDENCIAS EN LA TRAMITACION ELECTRONICA ANTE LA ADMINISTRACION DE LA JUNTA DE COMUNIDADES DE CASTILLA-LA MANCHA, EXCEPTO SESCAM</v>
      </c>
      <c r="I137" s="3" t="s">
        <v>41</v>
      </c>
      <c r="J137" s="3" t="s">
        <v>42</v>
      </c>
      <c r="K137" s="3" t="s">
        <v>42</v>
      </c>
      <c r="L137" s="3" t="s">
        <v>41</v>
      </c>
    </row>
    <row r="138" spans="1:12" ht="99.95" customHeight="1">
      <c r="A138" s="3" t="s">
        <v>1552</v>
      </c>
      <c r="B138" s="3" t="s">
        <v>1553</v>
      </c>
      <c r="C138" s="3" t="s">
        <v>374</v>
      </c>
      <c r="D138" s="3" t="s">
        <v>1368</v>
      </c>
      <c r="E138" s="3" t="s">
        <v>1116</v>
      </c>
      <c r="F138" s="3" t="s">
        <v>1117</v>
      </c>
      <c r="G138" s="3" t="s">
        <v>1554</v>
      </c>
      <c r="H138" s="3" t="str">
        <f>HYPERLINK("http://www.jccm.es/sede/tramite/JH7","CONSULTAS GENERICAS A LA ADMINISTRACION DE LA JUNTA DE COMUNIDADES DE CASTILLA-LA MANCHA")</f>
        <v>CONSULTAS GENERICAS A LA ADMINISTRACION DE LA JUNTA DE COMUNIDADES DE CASTILLA-LA MANCHA</v>
      </c>
      <c r="I138" s="3" t="s">
        <v>41</v>
      </c>
      <c r="J138" s="3" t="s">
        <v>41</v>
      </c>
      <c r="K138" s="3" t="s">
        <v>42</v>
      </c>
      <c r="L138" s="3" t="s">
        <v>41</v>
      </c>
    </row>
    <row r="139" spans="1:12" ht="99.95" customHeight="1">
      <c r="A139" s="3" t="s">
        <v>1555</v>
      </c>
      <c r="B139" s="3" t="s">
        <v>1556</v>
      </c>
      <c r="C139" s="3" t="s">
        <v>1557</v>
      </c>
      <c r="D139" s="3" t="s">
        <v>46</v>
      </c>
      <c r="E139" s="3" t="s">
        <v>1116</v>
      </c>
      <c r="F139" s="3" t="s">
        <v>1201</v>
      </c>
      <c r="G139" s="3" t="s">
        <v>1558</v>
      </c>
      <c r="H139" s="3" t="str">
        <f>HYPERLINK("http://www.jccm.es/sede/tramite/IW5","CONCURSO GENERAL DE MERITOS CGM F1/2021.")</f>
        <v>CONCURSO GENERAL DE MERITOS CGM F1/2021.</v>
      </c>
      <c r="I139" s="3" t="s">
        <v>42</v>
      </c>
      <c r="J139" s="3" t="s">
        <v>41</v>
      </c>
      <c r="K139" s="3" t="s">
        <v>42</v>
      </c>
      <c r="L139" s="3" t="s">
        <v>41</v>
      </c>
    </row>
    <row r="140" spans="1:12" ht="99.95" customHeight="1">
      <c r="A140" s="3" t="s">
        <v>1559</v>
      </c>
      <c r="B140" s="3" t="s">
        <v>1560</v>
      </c>
      <c r="C140" s="3" t="s">
        <v>45</v>
      </c>
      <c r="D140" s="3" t="s">
        <v>46</v>
      </c>
      <c r="E140" s="3" t="s">
        <v>1116</v>
      </c>
      <c r="F140" s="3" t="s">
        <v>1201</v>
      </c>
      <c r="G140" s="3" t="s">
        <v>1561</v>
      </c>
      <c r="H140" s="3" t="str">
        <f>HYPERLINK("http://www.jccm.es/sede/tramite/IHJ","SOLICITUD DE DESTINOS PROCESOS SELECTIVOS FUNCIONARIOS.")</f>
        <v>SOLICITUD DE DESTINOS PROCESOS SELECTIVOS FUNCIONARIOS.</v>
      </c>
      <c r="I140" s="3" t="s">
        <v>42</v>
      </c>
      <c r="J140" s="3" t="s">
        <v>41</v>
      </c>
      <c r="K140" s="3" t="s">
        <v>42</v>
      </c>
      <c r="L140" s="3" t="s">
        <v>41</v>
      </c>
    </row>
    <row r="141" spans="1:12" ht="99.95" customHeight="1">
      <c r="A141" s="3" t="s">
        <v>1562</v>
      </c>
      <c r="B141" s="3" t="s">
        <v>1563</v>
      </c>
      <c r="C141" s="3" t="s">
        <v>1564</v>
      </c>
      <c r="D141" s="3" t="s">
        <v>46</v>
      </c>
      <c r="E141" s="3" t="s">
        <v>1116</v>
      </c>
      <c r="F141" s="3" t="s">
        <v>1201</v>
      </c>
      <c r="G141" s="3" t="s">
        <v>1565</v>
      </c>
      <c r="H141" s="3" t="str">
        <f>HYPERLINK("http://www.jccm.es/sede/tramite/JOX","OFERTA A PERSONAL DE BOLSA DE TRABAJO DE FUNCIONARIOS INTERINOS")</f>
        <v>OFERTA A PERSONAL DE BOLSA DE TRABAJO DE FUNCIONARIOS INTERINOS</v>
      </c>
      <c r="I141" s="3" t="s">
        <v>42</v>
      </c>
      <c r="J141" s="3" t="s">
        <v>41</v>
      </c>
      <c r="K141" s="3" t="s">
        <v>42</v>
      </c>
      <c r="L141" s="3" t="s">
        <v>41</v>
      </c>
    </row>
    <row r="142" spans="1:12" ht="99.95" customHeight="1">
      <c r="A142" s="3" t="s">
        <v>1566</v>
      </c>
      <c r="B142" s="3" t="s">
        <v>1567</v>
      </c>
      <c r="C142" s="3" t="s">
        <v>45</v>
      </c>
      <c r="D142" s="3" t="s">
        <v>46</v>
      </c>
      <c r="E142" s="3" t="s">
        <v>1116</v>
      </c>
      <c r="F142" s="3" t="s">
        <v>1117</v>
      </c>
      <c r="G142" s="3" t="s">
        <v>1568</v>
      </c>
      <c r="H142" s="3" t="str">
        <f>HYPERLINK("http://www.jccm.es/sede/tramite/J8U","NOMBRAMIENTO INTERINO DE LISTA DE ESPERA PARA DESEMPEÑAR PUESTO DE TRABAJO RESERVADO A FUNCIONARIO/A CON HABILITACION DE CARACTER ESTATAL")</f>
        <v>NOMBRAMIENTO INTERINO DE LISTA DE ESPERA PARA DESEMPEÑAR PUESTO DE TRABAJO RESERVADO A FUNCIONARIO/A CON HABILITACION DE CARACTER ESTATAL</v>
      </c>
      <c r="I142" s="3" t="s">
        <v>41</v>
      </c>
      <c r="J142" s="3" t="s">
        <v>41</v>
      </c>
      <c r="K142" s="3" t="s">
        <v>42</v>
      </c>
      <c r="L142" s="3" t="s">
        <v>41</v>
      </c>
    </row>
    <row r="143" spans="1:12" ht="99.95" customHeight="1">
      <c r="A143" s="3" t="s">
        <v>1569</v>
      </c>
      <c r="B143" s="3" t="s">
        <v>1570</v>
      </c>
      <c r="C143" s="3" t="s">
        <v>1571</v>
      </c>
      <c r="D143" s="3" t="s">
        <v>46</v>
      </c>
      <c r="E143" s="3" t="s">
        <v>1116</v>
      </c>
      <c r="F143" s="3" t="s">
        <v>1201</v>
      </c>
      <c r="G143" s="3" t="s">
        <v>1572</v>
      </c>
      <c r="H143" s="3" t="str">
        <f>HYPERLINK("http://www.jccm.es/sede/tramite/IXF","CONVOCATORIA  PROCESO  SELECTIVO PARA EL INGRESO POR EL SISTEMA  GENERAL DE ACCESO LIBRE, CUERPO SUPERIOR,ESCALA SUPERIOR DE LETRADOS.")</f>
        <v>CONVOCATORIA  PROCESO  SELECTIVO PARA EL INGRESO POR EL SISTEMA  GENERAL DE ACCESO LIBRE, CUERPO SUPERIOR,ESCALA SUPERIOR DE LETRADOS.</v>
      </c>
      <c r="I143" s="3" t="s">
        <v>42</v>
      </c>
      <c r="J143" s="3" t="s">
        <v>41</v>
      </c>
      <c r="K143" s="3" t="s">
        <v>42</v>
      </c>
      <c r="L143" s="3" t="s">
        <v>41</v>
      </c>
    </row>
    <row r="144" spans="1:12" ht="99.95" customHeight="1">
      <c r="A144" s="3" t="s">
        <v>1573</v>
      </c>
      <c r="B144" s="3" t="s">
        <v>1574</v>
      </c>
      <c r="C144" s="3" t="s">
        <v>1571</v>
      </c>
      <c r="D144" s="3" t="s">
        <v>46</v>
      </c>
      <c r="E144" s="3" t="s">
        <v>1116</v>
      </c>
      <c r="F144" s="3" t="s">
        <v>1387</v>
      </c>
      <c r="G144" s="3" t="s">
        <v>1575</v>
      </c>
      <c r="H144" s="3" t="str">
        <f>HYPERLINK("http://www.jccm.es/sede/tramite/E05","CONVOCATORIAS  PROCESOS  SELECTIVOS PARA EL INGRESO POR EL SISTEMA  GENERAL DE ACCESO LIBRE Y DE PERSONAS CON DISCAPACIDAD, CUERPO SUPERIOR,E.SUPERIOR SANITARIOS LOCALES:  VETERINARIA Y FARMACIA.")</f>
        <v>CONVOCATORIAS  PROCESOS  SELECTIVOS PARA EL INGRESO POR EL SISTEMA  GENERAL DE ACCESO LIBRE Y DE PERSONAS CON DISCAPACIDAD, CUERPO SUPERIOR,E.SUPERIOR SANITARIOS LOCALES:  VETERINARIA Y FARMACIA.</v>
      </c>
      <c r="I144" s="3" t="s">
        <v>42</v>
      </c>
      <c r="J144" s="3" t="s">
        <v>41</v>
      </c>
      <c r="K144" s="3" t="s">
        <v>42</v>
      </c>
      <c r="L144" s="3" t="s">
        <v>41</v>
      </c>
    </row>
    <row r="145" spans="1:12" ht="99.95" customHeight="1">
      <c r="A145" s="3" t="s">
        <v>1576</v>
      </c>
      <c r="B145" s="3" t="s">
        <v>1577</v>
      </c>
      <c r="C145" s="3" t="s">
        <v>45</v>
      </c>
      <c r="D145" s="3" t="s">
        <v>46</v>
      </c>
      <c r="E145" s="3" t="s">
        <v>1116</v>
      </c>
      <c r="F145" s="3" t="s">
        <v>1125</v>
      </c>
      <c r="G145" s="3" t="s">
        <v>1578</v>
      </c>
      <c r="H145" s="3" t="str">
        <f>HYPERLINK("http://www.jccm.es/sede/tramite/LFA","SOLICITUD DE DESTINO DEL PROCESO SELECTIVO PARA EL INGRESO POR EL SISTEMA DE ACCESO LIBRE EN LA ESCALA BASICA, CATEGORIA DE POLICIA, DE LOS CUERPOS DE POLICIA LOCAL DE CASTILLA-LA MANCHA")</f>
        <v>SOLICITUD DE DESTINO DEL PROCESO SELECTIVO PARA EL INGRESO POR EL SISTEMA DE ACCESO LIBRE EN LA ESCALA BASICA, CATEGORIA DE POLICIA, DE LOS CUERPOS DE POLICIA LOCAL DE CASTILLA-LA MANCHA</v>
      </c>
      <c r="I145" s="3" t="s">
        <v>42</v>
      </c>
      <c r="J145" s="3" t="s">
        <v>41</v>
      </c>
      <c r="K145" s="3" t="s">
        <v>42</v>
      </c>
      <c r="L145" s="3" t="s">
        <v>41</v>
      </c>
    </row>
    <row r="146" spans="1:12" ht="99.95" customHeight="1">
      <c r="A146" s="3" t="s">
        <v>1579</v>
      </c>
      <c r="B146" s="3" t="s">
        <v>1580</v>
      </c>
      <c r="C146" s="3" t="s">
        <v>1401</v>
      </c>
      <c r="D146" s="3" t="s">
        <v>46</v>
      </c>
      <c r="E146" s="3" t="s">
        <v>1116</v>
      </c>
      <c r="F146" s="3" t="s">
        <v>1116</v>
      </c>
      <c r="G146" s="3" t="s">
        <v>1581</v>
      </c>
      <c r="H146" s="3" t="str">
        <f>HYPERLINK("http://www.jccm.es/sede/tramite/LIL","PROCESOS SELECTIVOS PARA EL ACCESO DE PERSONAS CON DISCAPACIDAD INTELECTUAL EN EL CUERPO AUXILIAR ADMINISTRATIVO Y EN LA ESCALA AUXILIAR DE ARCHIVOS Y BIBLIOTECAS DE PERSONAL FUNCIONARIO.")</f>
        <v>PROCESOS SELECTIVOS PARA EL ACCESO DE PERSONAS CON DISCAPACIDAD INTELECTUAL EN EL CUERPO AUXILIAR ADMINISTRATIVO Y EN LA ESCALA AUXILIAR DE ARCHIVOS Y BIBLIOTECAS DE PERSONAL FUNCIONARIO.</v>
      </c>
      <c r="I146" s="3" t="s">
        <v>42</v>
      </c>
      <c r="J146" s="3" t="s">
        <v>41</v>
      </c>
      <c r="K146" s="3" t="s">
        <v>42</v>
      </c>
      <c r="L146" s="3" t="s">
        <v>41</v>
      </c>
    </row>
    <row r="147" spans="1:12" ht="99.95" customHeight="1">
      <c r="A147" s="3" t="s">
        <v>1582</v>
      </c>
      <c r="B147" s="3" t="s">
        <v>1583</v>
      </c>
      <c r="C147" s="3" t="s">
        <v>1401</v>
      </c>
      <c r="D147" s="3" t="s">
        <v>46</v>
      </c>
      <c r="E147" s="3" t="s">
        <v>1116</v>
      </c>
      <c r="F147" s="3" t="s">
        <v>1387</v>
      </c>
      <c r="G147" s="3" t="s">
        <v>1584</v>
      </c>
      <c r="H147" s="3" t="str">
        <f>HYPERLINK("http://www.jccm.es/sede/tramite/LIN","PROCESOS SELECTIVOS PARA EL ACCESO DE PERSONAS CON DISCAPACIDAD INTELECTUAL EN LAS CATEGORIAS PROFESIONALES DE PERSONAL DE LIMPIEZA Y SERVICIOS DOMESTICOS Y PEON ESPECIALISTA DE PERSONAL LABORAL.")</f>
        <v>PROCESOS SELECTIVOS PARA EL ACCESO DE PERSONAS CON DISCAPACIDAD INTELECTUAL EN LAS CATEGORIAS PROFESIONALES DE PERSONAL DE LIMPIEZA Y SERVICIOS DOMESTICOS Y PEON ESPECIALISTA DE PERSONAL LABORAL.</v>
      </c>
      <c r="I147" s="3" t="s">
        <v>42</v>
      </c>
      <c r="J147" s="3" t="s">
        <v>41</v>
      </c>
      <c r="K147" s="3" t="s">
        <v>42</v>
      </c>
      <c r="L147" s="3" t="s">
        <v>41</v>
      </c>
    </row>
    <row r="148" spans="1:12" ht="99.95" customHeight="1">
      <c r="A148" s="3" t="s">
        <v>1585</v>
      </c>
      <c r="B148" s="3" t="s">
        <v>1586</v>
      </c>
      <c r="C148" s="3" t="s">
        <v>327</v>
      </c>
      <c r="D148" s="3" t="s">
        <v>46</v>
      </c>
      <c r="E148" s="3" t="s">
        <v>1116</v>
      </c>
      <c r="F148" s="3" t="s">
        <v>1201</v>
      </c>
      <c r="G148" s="3" t="s">
        <v>1587</v>
      </c>
      <c r="H148" s="3" t="str">
        <f>HYPERLINK("http://www.jccm.es/sede/tramite/LKW","PROCESO SELECTIVO PARA LA AMPLIACION DE LA BOLSA DE TRABAJO DEL CUERPO SUPERIOR ESPECIALIDAD JURIDICA")</f>
        <v>PROCESO SELECTIVO PARA LA AMPLIACION DE LA BOLSA DE TRABAJO DEL CUERPO SUPERIOR ESPECIALIDAD JURIDICA</v>
      </c>
      <c r="I148" s="3" t="s">
        <v>42</v>
      </c>
      <c r="J148" s="3" t="s">
        <v>41</v>
      </c>
      <c r="K148" s="3" t="s">
        <v>42</v>
      </c>
      <c r="L148" s="3" t="s">
        <v>41</v>
      </c>
    </row>
    <row r="149" spans="1:12" ht="99.95" customHeight="1">
      <c r="A149" s="3" t="s">
        <v>1588</v>
      </c>
      <c r="B149" s="3" t="s">
        <v>1589</v>
      </c>
      <c r="C149" s="3" t="s">
        <v>232</v>
      </c>
      <c r="D149" s="3" t="s">
        <v>46</v>
      </c>
      <c r="E149" s="3" t="s">
        <v>1116</v>
      </c>
      <c r="F149" s="3" t="s">
        <v>1201</v>
      </c>
      <c r="G149" s="3" t="s">
        <v>1590</v>
      </c>
      <c r="H149" s="3" t="str">
        <f>HYPERLINK("http://www.jccm.es/sede/tramite/LKY","PROCESO SELECTIVO PARA LA AMPLIACION DE LA BOLSA DE TRABAJO DEL CUERPO TECNICO ESPECIALIDAD GESTION ADMINISTRATIVA.")</f>
        <v>PROCESO SELECTIVO PARA LA AMPLIACION DE LA BOLSA DE TRABAJO DEL CUERPO TECNICO ESPECIALIDAD GESTION ADMINISTRATIVA.</v>
      </c>
      <c r="I149" s="3" t="s">
        <v>42</v>
      </c>
      <c r="J149" s="3" t="s">
        <v>41</v>
      </c>
      <c r="K149" s="3" t="s">
        <v>42</v>
      </c>
      <c r="L149" s="3" t="s">
        <v>41</v>
      </c>
    </row>
    <row r="150" spans="1:12" ht="99.95" customHeight="1">
      <c r="A150" s="3" t="s">
        <v>1591</v>
      </c>
      <c r="B150" s="3" t="s">
        <v>1592</v>
      </c>
      <c r="C150" s="3" t="s">
        <v>95</v>
      </c>
      <c r="D150" s="3" t="s">
        <v>95</v>
      </c>
      <c r="E150" s="3" t="s">
        <v>1116</v>
      </c>
      <c r="F150" s="3" t="s">
        <v>1116</v>
      </c>
      <c r="G150" s="3" t="s">
        <v>1593</v>
      </c>
      <c r="H150" s="3" t="str">
        <f>HYPERLINK("http://www.jccm.es/sede/tramite/LWD","PROCESO SELECTIVO PARA LA AMPLIACION DE LA LISTA DE ESPERA REGIONAL PARA NOMBRAMIENTOS DE INTERVENCION-TESORERIA, CATEGORIA DE ENTRADA EN REGIMEN DE INTERINIDAD.")</f>
        <v>PROCESO SELECTIVO PARA LA AMPLIACION DE LA LISTA DE ESPERA REGIONAL PARA NOMBRAMIENTOS DE INTERVENCION-TESORERIA, CATEGORIA DE ENTRADA EN REGIMEN DE INTERINIDAD.</v>
      </c>
      <c r="I150" s="3" t="s">
        <v>42</v>
      </c>
      <c r="J150" s="3" t="s">
        <v>41</v>
      </c>
      <c r="K150" s="3" t="s">
        <v>42</v>
      </c>
      <c r="L150" s="3" t="s">
        <v>41</v>
      </c>
    </row>
    <row r="151" spans="1:12" ht="99.95" customHeight="1">
      <c r="A151" s="3" t="s">
        <v>1594</v>
      </c>
      <c r="B151" s="3" t="s">
        <v>1595</v>
      </c>
      <c r="C151" s="3" t="s">
        <v>95</v>
      </c>
      <c r="D151" s="3" t="s">
        <v>95</v>
      </c>
      <c r="E151" s="3" t="s">
        <v>1116</v>
      </c>
      <c r="F151" s="3" t="s">
        <v>1116</v>
      </c>
      <c r="G151" s="3" t="s">
        <v>1596</v>
      </c>
      <c r="H151" s="3" t="str">
        <f>HYPERLINK("http://www.jccm.es/sede/tramite/LWE","PROCESO SELECTIVO PARA LA AMPLIACION DE LA LISTA DE ESPERA REGIONAL PARA NOMBRAMIENTOS DE SECRETARIA DE ENTRADA EN REGIMEN DE INTERINIDAD.")</f>
        <v>PROCESO SELECTIVO PARA LA AMPLIACION DE LA LISTA DE ESPERA REGIONAL PARA NOMBRAMIENTOS DE SECRETARIA DE ENTRADA EN REGIMEN DE INTERINIDAD.</v>
      </c>
      <c r="I151" s="3" t="s">
        <v>42</v>
      </c>
      <c r="J151" s="3" t="s">
        <v>41</v>
      </c>
      <c r="K151" s="3" t="s">
        <v>42</v>
      </c>
      <c r="L151" s="3" t="s">
        <v>41</v>
      </c>
    </row>
    <row r="152" spans="1:12" ht="99.95" customHeight="1">
      <c r="A152" s="3" t="s">
        <v>1597</v>
      </c>
      <c r="B152" s="3" t="s">
        <v>1598</v>
      </c>
      <c r="C152" s="3" t="s">
        <v>1571</v>
      </c>
      <c r="D152" s="3" t="s">
        <v>46</v>
      </c>
      <c r="E152" s="3" t="s">
        <v>1116</v>
      </c>
      <c r="F152" s="3" t="s">
        <v>1201</v>
      </c>
      <c r="G152" s="3" t="s">
        <v>1599</v>
      </c>
      <c r="H152" s="3" t="str">
        <f>HYPERLINK("http://www.jccm.es/sede/tramite/IAE","PROCESOS SELECTIVOS PERSONAL FUNCIONARIO O LABORAL")</f>
        <v>PROCESOS SELECTIVOS PERSONAL FUNCIONARIO O LABORAL</v>
      </c>
      <c r="I152" s="3" t="s">
        <v>42</v>
      </c>
      <c r="J152" s="3" t="s">
        <v>41</v>
      </c>
      <c r="K152" s="3" t="s">
        <v>42</v>
      </c>
      <c r="L152" s="3" t="s">
        <v>41</v>
      </c>
    </row>
    <row r="153" spans="1:12" ht="99.95" customHeight="1">
      <c r="A153" s="3" t="s">
        <v>1600</v>
      </c>
      <c r="B153" s="3" t="s">
        <v>1601</v>
      </c>
      <c r="C153" s="3" t="s">
        <v>1571</v>
      </c>
      <c r="D153" s="3" t="s">
        <v>46</v>
      </c>
      <c r="E153" s="3" t="s">
        <v>1116</v>
      </c>
      <c r="F153" s="3" t="s">
        <v>1201</v>
      </c>
      <c r="G153" s="3" t="s">
        <v>1602</v>
      </c>
      <c r="H153" s="3" t="str">
        <f>HYPERLINK("http://www.jccm.es/sede/tramite/JNR","VERIFICAR LA IDENTIDAD DE LAS PERSONAS QUE INGRESAN EN LA ADMINISTRACION MEDIANTE PROCESO SELECTIVO")</f>
        <v>VERIFICAR LA IDENTIDAD DE LAS PERSONAS QUE INGRESAN EN LA ADMINISTRACION MEDIANTE PROCESO SELECTIVO</v>
      </c>
      <c r="I153" s="3" t="s">
        <v>41</v>
      </c>
      <c r="J153" s="3" t="s">
        <v>41</v>
      </c>
      <c r="K153" s="3" t="s">
        <v>42</v>
      </c>
      <c r="L153" s="3" t="s">
        <v>41</v>
      </c>
    </row>
    <row r="154" spans="1:12" ht="99.95" customHeight="1">
      <c r="A154" s="3" t="s">
        <v>1603</v>
      </c>
      <c r="B154" s="3" t="s">
        <v>1604</v>
      </c>
      <c r="C154" s="3" t="s">
        <v>1571</v>
      </c>
      <c r="D154" s="3" t="s">
        <v>46</v>
      </c>
      <c r="E154" s="3" t="s">
        <v>1116</v>
      </c>
      <c r="F154" s="3" t="s">
        <v>1387</v>
      </c>
      <c r="G154" s="3" t="s">
        <v>1605</v>
      </c>
      <c r="H154" s="3" t="str">
        <f>HYPERLINK("http://www.jccm.es/sede/tramite/JOY","CONVOCATORIA PROCESOS SELECTIVOS PARA LA COBERTURA, CON CARACTER FIJO Y POR EL SISTEMA GENERAL ACCESO DE PERSONAS CON DISCAPACIDAD, DE VACANTES  CORRESPONDIENTES A LA PLANTILLA DE PERSONAL LABORAL.")</f>
        <v>CONVOCATORIA PROCESOS SELECTIVOS PARA LA COBERTURA, CON CARACTER FIJO Y POR EL SISTEMA GENERAL ACCESO DE PERSONAS CON DISCAPACIDAD, DE VACANTES  CORRESPONDIENTES A LA PLANTILLA DE PERSONAL LABORAL.</v>
      </c>
      <c r="I154" s="3" t="s">
        <v>42</v>
      </c>
      <c r="J154" s="3" t="s">
        <v>41</v>
      </c>
      <c r="K154" s="3" t="s">
        <v>42</v>
      </c>
      <c r="L154" s="3" t="s">
        <v>41</v>
      </c>
    </row>
    <row r="155" spans="1:12" ht="99.95" customHeight="1">
      <c r="A155" s="3" t="s">
        <v>1606</v>
      </c>
      <c r="B155" s="3" t="s">
        <v>1607</v>
      </c>
      <c r="C155" s="3" t="s">
        <v>1571</v>
      </c>
      <c r="D155" s="3" t="s">
        <v>46</v>
      </c>
      <c r="E155" s="3" t="s">
        <v>1116</v>
      </c>
      <c r="F155" s="3" t="s">
        <v>1387</v>
      </c>
      <c r="G155" s="3" t="s">
        <v>1608</v>
      </c>
      <c r="H155" s="3" t="str">
        <f>HYPERLINK("http://www.jccm.es/sede/tramite/IGO","CONVOCATORIA PROCESOS SELECTIVOS PARA LA COBERTURA, CON CARACTER FIJO Y POR EL SISTEMA DE PROMOCION INTERNA DE PUESTOS VACANTES CORRESPONDIENTES A LA PLANTILLA DE PERSONAL LABORAL.")</f>
        <v>CONVOCATORIA PROCESOS SELECTIVOS PARA LA COBERTURA, CON CARACTER FIJO Y POR EL SISTEMA DE PROMOCION INTERNA DE PUESTOS VACANTES CORRESPONDIENTES A LA PLANTILLA DE PERSONAL LABORAL.</v>
      </c>
      <c r="I155" s="3" t="s">
        <v>42</v>
      </c>
      <c r="J155" s="3" t="s">
        <v>41</v>
      </c>
      <c r="K155" s="3" t="s">
        <v>42</v>
      </c>
      <c r="L155" s="3" t="s">
        <v>41</v>
      </c>
    </row>
    <row r="156" spans="1:12" ht="99.95" customHeight="1">
      <c r="A156" s="3" t="s">
        <v>1609</v>
      </c>
      <c r="B156" s="3" t="s">
        <v>1610</v>
      </c>
      <c r="C156" s="3" t="s">
        <v>1571</v>
      </c>
      <c r="D156" s="3" t="s">
        <v>46</v>
      </c>
      <c r="E156" s="3" t="s">
        <v>1116</v>
      </c>
      <c r="F156" s="3" t="s">
        <v>1387</v>
      </c>
      <c r="G156" s="3" t="s">
        <v>1611</v>
      </c>
      <c r="H156" s="3" t="str">
        <f>HYPERLINK("http://www.jccm.es/sede/tramite/F11","CONVOCATORIA PROCESOS SELECTIVOS PARA LA COBERTURA, CON CARACTER FIJO Y POR EL SISTEMA GENERAL DE ACCESO LIBRE, DE PUESTOS VACANTES CORRESPONDIENTES A LA PLANTILLA DE PERSONAL LABORAL.")</f>
        <v>CONVOCATORIA PROCESOS SELECTIVOS PARA LA COBERTURA, CON CARACTER FIJO Y POR EL SISTEMA GENERAL DE ACCESO LIBRE, DE PUESTOS VACANTES CORRESPONDIENTES A LA PLANTILLA DE PERSONAL LABORAL.</v>
      </c>
      <c r="I156" s="3" t="s">
        <v>42</v>
      </c>
      <c r="J156" s="3" t="s">
        <v>41</v>
      </c>
      <c r="K156" s="3" t="s">
        <v>42</v>
      </c>
      <c r="L156" s="3" t="s">
        <v>41</v>
      </c>
    </row>
    <row r="157" spans="1:12" ht="99.95" customHeight="1">
      <c r="A157" s="3" t="s">
        <v>1612</v>
      </c>
      <c r="B157" s="3" t="s">
        <v>1613</v>
      </c>
      <c r="C157" s="3" t="s">
        <v>1571</v>
      </c>
      <c r="D157" s="3" t="s">
        <v>46</v>
      </c>
      <c r="E157" s="3" t="s">
        <v>1116</v>
      </c>
      <c r="F157" s="3" t="s">
        <v>1387</v>
      </c>
      <c r="G157" s="3" t="s">
        <v>1614</v>
      </c>
      <c r="H157" s="3" t="str">
        <f>HYPERLINK("http://www.jccm.es/sede/tramite/598","CONVOCATORIAS  PROCESOS  SELECTIVOS PARA EL INGRESO POR EL SISTEMA GENERAL DE ACCESO LIBRE EN LOS CUERPOS Y ESCALAS DEL PERSONAL FUNCIONARIO.")</f>
        <v>CONVOCATORIAS  PROCESOS  SELECTIVOS PARA EL INGRESO POR EL SISTEMA GENERAL DE ACCESO LIBRE EN LOS CUERPOS Y ESCALAS DEL PERSONAL FUNCIONARIO.</v>
      </c>
      <c r="I157" s="3" t="s">
        <v>42</v>
      </c>
      <c r="J157" s="3" t="s">
        <v>41</v>
      </c>
      <c r="K157" s="3" t="s">
        <v>42</v>
      </c>
      <c r="L157" s="3" t="s">
        <v>41</v>
      </c>
    </row>
    <row r="158" spans="1:12" ht="99.95" customHeight="1">
      <c r="A158" s="3" t="s">
        <v>1615</v>
      </c>
      <c r="B158" s="3" t="s">
        <v>1616</v>
      </c>
      <c r="C158" s="3" t="s">
        <v>1571</v>
      </c>
      <c r="D158" s="3" t="s">
        <v>46</v>
      </c>
      <c r="E158" s="3" t="s">
        <v>1116</v>
      </c>
      <c r="F158" s="3" t="s">
        <v>1387</v>
      </c>
      <c r="G158" s="3" t="s">
        <v>1617</v>
      </c>
      <c r="H158" s="3" t="str">
        <f>HYPERLINK("http://www.jccm.es/sede/tramite/JJ4","CONVOCATORIAS  PROCESOS  SELECTIVOS PARA EL INGRESO POR EL SISTEMA GENERAL DE ACCESO DE PERSONAS CON DISCAPACIDAD  EN LOS CUERPOS Y ESCALAS DEL PERSONAL FUNCIONARIO.")</f>
        <v>CONVOCATORIAS  PROCESOS  SELECTIVOS PARA EL INGRESO POR EL SISTEMA GENERAL DE ACCESO DE PERSONAS CON DISCAPACIDAD  EN LOS CUERPOS Y ESCALAS DEL PERSONAL FUNCIONARIO.</v>
      </c>
      <c r="I158" s="3" t="s">
        <v>42</v>
      </c>
      <c r="J158" s="3" t="s">
        <v>41</v>
      </c>
      <c r="K158" s="3" t="s">
        <v>42</v>
      </c>
      <c r="L158" s="3" t="s">
        <v>41</v>
      </c>
    </row>
    <row r="159" spans="1:12" ht="99.95" customHeight="1">
      <c r="A159" s="3" t="s">
        <v>1618</v>
      </c>
      <c r="B159" s="3" t="s">
        <v>1619</v>
      </c>
      <c r="C159" s="3" t="s">
        <v>1571</v>
      </c>
      <c r="D159" s="3" t="s">
        <v>46</v>
      </c>
      <c r="E159" s="3" t="s">
        <v>1116</v>
      </c>
      <c r="F159" s="3" t="s">
        <v>1387</v>
      </c>
      <c r="G159" s="3" t="s">
        <v>1620</v>
      </c>
      <c r="H159" s="3" t="str">
        <f>HYPERLINK("http://www.jccm.es/sede/tramite/I12","CONVOCATORIAS  PROCESOS  SELECTIVOS PARA EL INGRESO POR EL SISTEMA  DE PROMOCION INTERNA DIRECTA EN EL PUESTO  EN LOS CUERPOS Y ESCALAS DEL PERSONAL FUNCIONARIO.")</f>
        <v>CONVOCATORIAS  PROCESOS  SELECTIVOS PARA EL INGRESO POR EL SISTEMA  DE PROMOCION INTERNA DIRECTA EN EL PUESTO  EN LOS CUERPOS Y ESCALAS DEL PERSONAL FUNCIONARIO.</v>
      </c>
      <c r="I159" s="3" t="s">
        <v>42</v>
      </c>
      <c r="J159" s="3" t="s">
        <v>41</v>
      </c>
      <c r="K159" s="3" t="s">
        <v>42</v>
      </c>
      <c r="L159" s="3" t="s">
        <v>41</v>
      </c>
    </row>
    <row r="160" spans="1:12" ht="99.95" customHeight="1">
      <c r="A160" s="3" t="s">
        <v>1621</v>
      </c>
      <c r="B160" s="3" t="s">
        <v>1622</v>
      </c>
      <c r="C160" s="3" t="s">
        <v>1571</v>
      </c>
      <c r="D160" s="3" t="s">
        <v>46</v>
      </c>
      <c r="E160" s="3" t="s">
        <v>1116</v>
      </c>
      <c r="F160" s="3" t="s">
        <v>1201</v>
      </c>
      <c r="G160" s="3" t="s">
        <v>1623</v>
      </c>
      <c r="H160" s="3" t="str">
        <f>HYPERLINK("http://www.jccm.es/sede/tramite/H71","SOLICITUD DE DESTINOS PROCESOS SELECTIVOS LABORALES.")</f>
        <v>SOLICITUD DE DESTINOS PROCESOS SELECTIVOS LABORALES.</v>
      </c>
      <c r="I160" s="3" t="s">
        <v>42</v>
      </c>
      <c r="J160" s="3" t="s">
        <v>41</v>
      </c>
      <c r="K160" s="3" t="s">
        <v>42</v>
      </c>
      <c r="L160" s="3" t="s">
        <v>41</v>
      </c>
    </row>
    <row r="161" spans="1:12" ht="99.95" customHeight="1">
      <c r="A161" s="3" t="s">
        <v>1624</v>
      </c>
      <c r="B161" s="3" t="s">
        <v>1625</v>
      </c>
      <c r="C161" s="3" t="s">
        <v>95</v>
      </c>
      <c r="D161" s="3" t="s">
        <v>46</v>
      </c>
      <c r="E161" s="3" t="s">
        <v>1116</v>
      </c>
      <c r="F161" s="3" t="s">
        <v>1117</v>
      </c>
      <c r="G161" s="3" t="s">
        <v>1626</v>
      </c>
      <c r="H161" s="3" t="str">
        <f>HYPERLINK("http://www.jccm.es/sede/tramite/KK4","PROCESO SELECTIVO PARA LA AMPLIACION DE LA LISTA DE ESPERA REGIONAL PARA NOMBRAMIENTOS DE SECRETARIA-INTERVENCION EN REGIMEN DE INTERINIDAD.")</f>
        <v>PROCESO SELECTIVO PARA LA AMPLIACION DE LA LISTA DE ESPERA REGIONAL PARA NOMBRAMIENTOS DE SECRETARIA-INTERVENCION EN REGIMEN DE INTERINIDAD.</v>
      </c>
      <c r="I161" s="3" t="s">
        <v>41</v>
      </c>
      <c r="J161" s="3" t="s">
        <v>41</v>
      </c>
      <c r="K161" s="3" t="s">
        <v>42</v>
      </c>
      <c r="L161" s="3" t="s">
        <v>41</v>
      </c>
    </row>
    <row r="162" spans="1:12" ht="99.95" customHeight="1">
      <c r="A162" s="3" t="s">
        <v>1627</v>
      </c>
      <c r="B162" s="3" t="s">
        <v>1628</v>
      </c>
      <c r="C162" s="3" t="s">
        <v>95</v>
      </c>
      <c r="D162" s="3" t="s">
        <v>46</v>
      </c>
      <c r="E162" s="3" t="s">
        <v>1116</v>
      </c>
      <c r="F162" s="3" t="s">
        <v>1201</v>
      </c>
      <c r="G162" s="3" t="s">
        <v>1629</v>
      </c>
      <c r="H162" s="3" t="str">
        <f>HYPERLINK("http://www.jccm.es/sede/tramite/L5V","ADAPTACION O CAMBIO DE PUESTO DE TRABAJO POR RIESGO DURANTE EL EMBARAZO O DURANTE LA LACTANCIA NATURAL")</f>
        <v>ADAPTACION O CAMBIO DE PUESTO DE TRABAJO POR RIESGO DURANTE EL EMBARAZO O DURANTE LA LACTANCIA NATURAL</v>
      </c>
      <c r="I162" s="3" t="s">
        <v>41</v>
      </c>
      <c r="J162" s="3" t="s">
        <v>41</v>
      </c>
      <c r="K162" s="3" t="s">
        <v>42</v>
      </c>
      <c r="L162" s="3" t="s">
        <v>41</v>
      </c>
    </row>
    <row r="163" spans="1:12" ht="99.95" customHeight="1">
      <c r="A163" s="3" t="s">
        <v>1630</v>
      </c>
      <c r="B163" s="3" t="s">
        <v>1631</v>
      </c>
      <c r="C163" s="3" t="s">
        <v>1632</v>
      </c>
      <c r="D163" s="3" t="s">
        <v>46</v>
      </c>
      <c r="E163" s="3" t="s">
        <v>1116</v>
      </c>
      <c r="F163" s="3" t="s">
        <v>1286</v>
      </c>
      <c r="G163" s="3" t="s">
        <v>1633</v>
      </c>
      <c r="H163" s="3" t="str">
        <f>HYPERLINK("http://www.jccm.es/sede/tramite/LY7","RECLAMACION DE RESPONSABILIDAD PATRIMONIAL DE LA CONSEJERIA DE HACIENDA Y ADMINISTRACIONES PUBLICAS.")</f>
        <v>RECLAMACION DE RESPONSABILIDAD PATRIMONIAL DE LA CONSEJERIA DE HACIENDA Y ADMINISTRACIONES PUBLICAS.</v>
      </c>
      <c r="I163" s="3" t="s">
        <v>41</v>
      </c>
      <c r="J163" s="3" t="s">
        <v>41</v>
      </c>
      <c r="K163" s="3" t="s">
        <v>42</v>
      </c>
      <c r="L163" s="3" t="s">
        <v>41</v>
      </c>
    </row>
    <row r="164" spans="1:12" ht="99.95" customHeight="1">
      <c r="A164" s="3" t="s">
        <v>1634</v>
      </c>
      <c r="B164" s="3" t="s">
        <v>1635</v>
      </c>
      <c r="C164" s="3" t="s">
        <v>45</v>
      </c>
      <c r="D164" s="3" t="s">
        <v>46</v>
      </c>
      <c r="E164" s="3" t="s">
        <v>1116</v>
      </c>
      <c r="F164" s="3" t="s">
        <v>1116</v>
      </c>
      <c r="G164" s="3" t="s">
        <v>1636</v>
      </c>
      <c r="H164" s="3" t="str">
        <f>HYPERLINK("http://www.jccm.es/sede/tramite/KGU","RECURSO DE ALZADA ANTE ORGANOS DE LA ADMINISTRACION DE LA JUNTA Y SUS ORGANISMOS AUTONOMOS.")</f>
        <v>RECURSO DE ALZADA ANTE ORGANOS DE LA ADMINISTRACION DE LA JUNTA Y SUS ORGANISMOS AUTONOMOS.</v>
      </c>
      <c r="I164" s="3" t="s">
        <v>42</v>
      </c>
      <c r="J164" s="3" t="s">
        <v>41</v>
      </c>
      <c r="K164" s="3" t="s">
        <v>42</v>
      </c>
      <c r="L164" s="3" t="s">
        <v>41</v>
      </c>
    </row>
    <row r="165" spans="1:12" ht="99.95" customHeight="1">
      <c r="A165" s="3" t="s">
        <v>1637</v>
      </c>
      <c r="B165" s="3" t="s">
        <v>1638</v>
      </c>
      <c r="C165" s="3" t="s">
        <v>62</v>
      </c>
      <c r="D165" s="3" t="s">
        <v>46</v>
      </c>
      <c r="E165" s="3" t="s">
        <v>1116</v>
      </c>
      <c r="F165" s="3" t="s">
        <v>1116</v>
      </c>
      <c r="G165" s="3" t="s">
        <v>1639</v>
      </c>
      <c r="H165" s="3" t="str">
        <f>HYPERLINK("http://www.jccm.es/sede/tramite/KGW","RECURSO DE REPOSICION ANTE ORGANOS DE LA ADMINISTRACION DE LA JUNTA Y SUS ORGANISMOS AUTONOMOS (EXCEPTO EN MATERIA TRIBUTARIA)")</f>
        <v>RECURSO DE REPOSICION ANTE ORGANOS DE LA ADMINISTRACION DE LA JUNTA Y SUS ORGANISMOS AUTONOMOS (EXCEPTO EN MATERIA TRIBUTARIA)</v>
      </c>
      <c r="I165" s="3" t="s">
        <v>42</v>
      </c>
      <c r="J165" s="3" t="s">
        <v>41</v>
      </c>
      <c r="K165" s="3" t="s">
        <v>42</v>
      </c>
      <c r="L165" s="3" t="s">
        <v>41</v>
      </c>
    </row>
    <row r="166" spans="1:12" ht="99.95" customHeight="1">
      <c r="A166" s="3" t="s">
        <v>1640</v>
      </c>
      <c r="B166" s="3" t="s">
        <v>1641</v>
      </c>
      <c r="C166" s="3" t="s">
        <v>45</v>
      </c>
      <c r="D166" s="3" t="s">
        <v>46</v>
      </c>
      <c r="E166" s="3" t="s">
        <v>1116</v>
      </c>
      <c r="F166" s="3" t="s">
        <v>1286</v>
      </c>
      <c r="G166" s="3" t="s">
        <v>1642</v>
      </c>
      <c r="H166" s="3" t="str">
        <f>HYPERLINK("http://www.jccm.es/sede/tramite/KQT","RECURSO EXTRAORDINARIO DE REVISION ANTE ORGANOS DE LA ADMINISTRACION DE LA JUNTA Y SUS ORGANISMOS AUTONOMOS.")</f>
        <v>RECURSO EXTRAORDINARIO DE REVISION ANTE ORGANOS DE LA ADMINISTRACION DE LA JUNTA Y SUS ORGANISMOS AUTONOMOS.</v>
      </c>
      <c r="I166" s="3" t="s">
        <v>42</v>
      </c>
      <c r="J166" s="3" t="s">
        <v>41</v>
      </c>
      <c r="K166" s="3" t="s">
        <v>42</v>
      </c>
      <c r="L166" s="3" t="s">
        <v>41</v>
      </c>
    </row>
    <row r="167" spans="1:12" ht="99.95" customHeight="1">
      <c r="A167" s="3" t="s">
        <v>1643</v>
      </c>
      <c r="B167" s="3" t="s">
        <v>1644</v>
      </c>
      <c r="C167" s="3" t="s">
        <v>1645</v>
      </c>
      <c r="D167" s="3" t="s">
        <v>46</v>
      </c>
      <c r="E167" s="3" t="s">
        <v>1116</v>
      </c>
      <c r="F167" s="3" t="s">
        <v>1201</v>
      </c>
      <c r="G167" s="3" t="s">
        <v>1646</v>
      </c>
      <c r="H167" s="3" t="str">
        <f>HYPERLINK("http://www.jccm.es/sede/tramite/K94","RECLAMACION CONTRA LA ADJUDICACION PROVISIONAL DE DESTINOS DEL CONCURSO SINGULARIZADO DE MERITOS ESCALAS SUPERIOR Y TECNICA DE ARCHIVOS, BIBLIOTECAS Y MUSEOS")</f>
        <v>RECLAMACION CONTRA LA ADJUDICACION PROVISIONAL DE DESTINOS DEL CONCURSO SINGULARIZADO DE MERITOS ESCALAS SUPERIOR Y TECNICA DE ARCHIVOS, BIBLIOTECAS Y MUSEOS</v>
      </c>
      <c r="I167" s="3" t="s">
        <v>42</v>
      </c>
      <c r="J167" s="3" t="s">
        <v>41</v>
      </c>
      <c r="K167" s="3" t="s">
        <v>42</v>
      </c>
      <c r="L167" s="3" t="s">
        <v>41</v>
      </c>
    </row>
    <row r="168" spans="1:12" ht="99.95" customHeight="1">
      <c r="A168" s="3" t="s">
        <v>1647</v>
      </c>
      <c r="B168" s="3" t="s">
        <v>1648</v>
      </c>
      <c r="C168" s="3" t="s">
        <v>62</v>
      </c>
      <c r="D168" s="3" t="s">
        <v>37</v>
      </c>
      <c r="E168" s="3" t="s">
        <v>1116</v>
      </c>
      <c r="F168" s="3" t="s">
        <v>1313</v>
      </c>
      <c r="G168" s="3" t="s">
        <v>1649</v>
      </c>
      <c r="H168" s="3" t="str">
        <f>HYPERLINK("http://www.jccm.es/sede/tramite/KJO","ADHESION AL CONVENIO FIRMADO EL 28/07/2014 ENTRE LA AGE Y LA JCCM PARA LA PRESTACION MUTUA DE SOLUCIONES DE ADMINISTRACION ELECTRONICA")</f>
        <v>ADHESION AL CONVENIO FIRMADO EL 28/07/2014 ENTRE LA AGE Y LA JCCM PARA LA PRESTACION MUTUA DE SOLUCIONES DE ADMINISTRACION ELECTRONICA</v>
      </c>
      <c r="I168" s="3" t="s">
        <v>41</v>
      </c>
      <c r="J168" s="3" t="s">
        <v>41</v>
      </c>
      <c r="K168" s="3" t="s">
        <v>42</v>
      </c>
      <c r="L168" s="3" t="s">
        <v>41</v>
      </c>
    </row>
    <row r="169" spans="1:12" ht="99.95" customHeight="1">
      <c r="A169" s="3" t="s">
        <v>1650</v>
      </c>
      <c r="B169" s="3" t="s">
        <v>1651</v>
      </c>
      <c r="C169" s="3" t="s">
        <v>45</v>
      </c>
      <c r="D169" s="3" t="s">
        <v>1368</v>
      </c>
      <c r="E169" s="3" t="s">
        <v>1116</v>
      </c>
      <c r="F169" s="3" t="s">
        <v>1117</v>
      </c>
      <c r="G169" s="3" t="s">
        <v>1652</v>
      </c>
      <c r="H169" s="3" t="str">
        <f>HYPERLINK("http://www.jccm.es/sede/tramite/KTQ","ADHESION DE LAS ENTIDADES LOCALES DE CASTILLA-LA MANCHA A LA PLATAFORMA GEISER / ORVE")</f>
        <v>ADHESION DE LAS ENTIDADES LOCALES DE CASTILLA-LA MANCHA A LA PLATAFORMA GEISER / ORVE</v>
      </c>
      <c r="I169" s="3" t="s">
        <v>41</v>
      </c>
      <c r="J169" s="3" t="s">
        <v>41</v>
      </c>
      <c r="K169" s="3" t="s">
        <v>42</v>
      </c>
      <c r="L169" s="3" t="s">
        <v>41</v>
      </c>
    </row>
    <row r="170" spans="1:12" ht="99.95" customHeight="1">
      <c r="A170" s="3" t="s">
        <v>1653</v>
      </c>
      <c r="B170" s="3" t="s">
        <v>1654</v>
      </c>
      <c r="C170" s="3" t="s">
        <v>1655</v>
      </c>
      <c r="D170" s="3" t="s">
        <v>95</v>
      </c>
      <c r="E170" s="3" t="s">
        <v>1116</v>
      </c>
      <c r="F170" s="3" t="s">
        <v>1169</v>
      </c>
      <c r="G170" s="3" t="s">
        <v>1656</v>
      </c>
      <c r="H170" s="3" t="str">
        <f>HYPERLINK("http://www.jccm.es/sede/tramite/III","IMPUESTO SOBRE DETERMINADAS ACTIVIDADES QUE INCIDEN EN EL MEDIO AMBIENTE")</f>
        <v>IMPUESTO SOBRE DETERMINADAS ACTIVIDADES QUE INCIDEN EN EL MEDIO AMBIENTE</v>
      </c>
      <c r="I170" s="3" t="s">
        <v>41</v>
      </c>
      <c r="J170" s="3" t="s">
        <v>41</v>
      </c>
      <c r="K170" s="3" t="s">
        <v>42</v>
      </c>
      <c r="L170" s="3" t="s">
        <v>41</v>
      </c>
    </row>
    <row r="171" spans="1:12" ht="99.95" customHeight="1">
      <c r="A171" s="3" t="s">
        <v>1657</v>
      </c>
      <c r="B171" s="3" t="s">
        <v>1658</v>
      </c>
      <c r="C171" s="3" t="s">
        <v>1655</v>
      </c>
      <c r="D171" s="3" t="s">
        <v>95</v>
      </c>
      <c r="E171" s="3" t="s">
        <v>1116</v>
      </c>
      <c r="F171" s="3" t="s">
        <v>1169</v>
      </c>
      <c r="G171" s="3" t="s">
        <v>1659</v>
      </c>
      <c r="H171" s="3" t="str">
        <f>HYPERLINK("http://www.jccm.es/sede/tramite/ILU","TASA FISCAL SOBRE EL JUEGO")</f>
        <v>TASA FISCAL SOBRE EL JUEGO</v>
      </c>
      <c r="I171" s="3" t="s">
        <v>41</v>
      </c>
      <c r="J171" s="3" t="s">
        <v>41</v>
      </c>
      <c r="K171" s="3" t="s">
        <v>42</v>
      </c>
      <c r="L171" s="3" t="s">
        <v>41</v>
      </c>
    </row>
    <row r="172" spans="1:12" ht="99.95" customHeight="1">
      <c r="A172" s="3" t="s">
        <v>1660</v>
      </c>
      <c r="B172" s="3" t="s">
        <v>1661</v>
      </c>
      <c r="C172" s="3" t="s">
        <v>1655</v>
      </c>
      <c r="D172" s="3" t="s">
        <v>95</v>
      </c>
      <c r="E172" s="3" t="s">
        <v>1116</v>
      </c>
      <c r="F172" s="3" t="s">
        <v>1169</v>
      </c>
      <c r="G172" s="3" t="s">
        <v>1662</v>
      </c>
      <c r="H172" s="3" t="str">
        <f>HYPERLINK("http://www.jccm.es/sede/tramite/ILW","IMPUESTO SOBRE TRANSMISIONES PATRIMONIALES Y ACTOS JURIDICOS DOCUMENTADOS: OPERACIONES SOCIETARIAS")</f>
        <v>IMPUESTO SOBRE TRANSMISIONES PATRIMONIALES Y ACTOS JURIDICOS DOCUMENTADOS: OPERACIONES SOCIETARIAS</v>
      </c>
      <c r="I172" s="3" t="s">
        <v>41</v>
      </c>
      <c r="J172" s="3" t="s">
        <v>41</v>
      </c>
      <c r="K172" s="3" t="s">
        <v>42</v>
      </c>
      <c r="L172" s="3" t="s">
        <v>42</v>
      </c>
    </row>
    <row r="173" spans="1:12" ht="99.95" customHeight="1">
      <c r="A173" s="3" t="s">
        <v>1663</v>
      </c>
      <c r="B173" s="3" t="s">
        <v>1664</v>
      </c>
      <c r="C173" s="3" t="s">
        <v>1655</v>
      </c>
      <c r="D173" s="3" t="s">
        <v>95</v>
      </c>
      <c r="E173" s="3" t="s">
        <v>1116</v>
      </c>
      <c r="F173" s="3" t="s">
        <v>1169</v>
      </c>
      <c r="G173" s="3" t="s">
        <v>1665</v>
      </c>
      <c r="H173" s="3" t="str">
        <f>HYPERLINK("http://www.jccm.es/sede/tramite/ILX","TASA FISCAL SOBRE RIFAS, TOMBOLAS, APUESTAS Y COMBINACIONES ALEATORIAS")</f>
        <v>TASA FISCAL SOBRE RIFAS, TOMBOLAS, APUESTAS Y COMBINACIONES ALEATORIAS</v>
      </c>
      <c r="I173" s="3" t="s">
        <v>41</v>
      </c>
      <c r="J173" s="3" t="s">
        <v>41</v>
      </c>
      <c r="K173" s="3" t="s">
        <v>42</v>
      </c>
      <c r="L173" s="3" t="s">
        <v>41</v>
      </c>
    </row>
    <row r="174" spans="1:12" ht="99.95" customHeight="1">
      <c r="A174" s="3" t="s">
        <v>1666</v>
      </c>
      <c r="B174" s="3" t="s">
        <v>1667</v>
      </c>
      <c r="C174" s="3" t="s">
        <v>1655</v>
      </c>
      <c r="D174" s="3" t="s">
        <v>95</v>
      </c>
      <c r="E174" s="3" t="s">
        <v>1116</v>
      </c>
      <c r="F174" s="3" t="s">
        <v>1169</v>
      </c>
      <c r="G174" s="3" t="s">
        <v>1668</v>
      </c>
      <c r="H174" s="3" t="str">
        <f>HYPERLINK("http://www.jccm.es/sede/tramite/IM0","IMPUESTO SOBRE TRANSMISIONES PATRIMONIALES Y ACTOS JURIDICOS DOCUMENTADOS: ACTOS JURIDICOS DOCUMENTADOS")</f>
        <v>IMPUESTO SOBRE TRANSMISIONES PATRIMONIALES Y ACTOS JURIDICOS DOCUMENTADOS: ACTOS JURIDICOS DOCUMENTADOS</v>
      </c>
      <c r="I174" s="3" t="s">
        <v>41</v>
      </c>
      <c r="J174" s="3" t="s">
        <v>41</v>
      </c>
      <c r="K174" s="3" t="s">
        <v>42</v>
      </c>
      <c r="L174" s="3" t="s">
        <v>42</v>
      </c>
    </row>
    <row r="175" spans="1:12" ht="99.95" customHeight="1">
      <c r="A175" s="3" t="s">
        <v>1669</v>
      </c>
      <c r="B175" s="3" t="s">
        <v>1670</v>
      </c>
      <c r="C175" s="3" t="s">
        <v>1655</v>
      </c>
      <c r="D175" s="3" t="s">
        <v>95</v>
      </c>
      <c r="E175" s="3" t="s">
        <v>1116</v>
      </c>
      <c r="F175" s="3" t="s">
        <v>1169</v>
      </c>
      <c r="G175" s="3" t="s">
        <v>1671</v>
      </c>
      <c r="H175" s="3" t="str">
        <f>HYPERLINK("http://www.jccm.es/sede/tramite/IM3","TRANSMISIONES PATRIMONIALES ONEROSAS")</f>
        <v>TRANSMISIONES PATRIMONIALES ONEROSAS</v>
      </c>
      <c r="I175" s="3" t="s">
        <v>41</v>
      </c>
      <c r="J175" s="3" t="s">
        <v>41</v>
      </c>
      <c r="K175" s="3" t="s">
        <v>42</v>
      </c>
      <c r="L175" s="3" t="s">
        <v>42</v>
      </c>
    </row>
    <row r="176" spans="1:12" ht="99.95" customHeight="1">
      <c r="A176" s="3" t="s">
        <v>1672</v>
      </c>
      <c r="B176" s="3" t="s">
        <v>1673</v>
      </c>
      <c r="C176" s="3" t="s">
        <v>95</v>
      </c>
      <c r="D176" s="3" t="s">
        <v>95</v>
      </c>
      <c r="E176" s="3" t="s">
        <v>1116</v>
      </c>
      <c r="F176" s="3" t="s">
        <v>1169</v>
      </c>
      <c r="G176" s="3" t="s">
        <v>1674</v>
      </c>
      <c r="H176" s="3" t="str">
        <f>HYPERLINK("http://www.jccm.es/sede/tramite/JP5","IMPUESTO SOBRE SUCESIONES Y DONACIONES: SUCESIONES-AUTOLIQUIDACION DE SUCESIONES.")</f>
        <v>IMPUESTO SOBRE SUCESIONES Y DONACIONES: SUCESIONES-AUTOLIQUIDACION DE SUCESIONES.</v>
      </c>
      <c r="I176" s="3" t="s">
        <v>41</v>
      </c>
      <c r="J176" s="3" t="s">
        <v>41</v>
      </c>
      <c r="K176" s="3" t="s">
        <v>42</v>
      </c>
      <c r="L176" s="3" t="s">
        <v>41</v>
      </c>
    </row>
    <row r="177" spans="1:12" ht="99.95" customHeight="1">
      <c r="A177" s="3" t="s">
        <v>1675</v>
      </c>
      <c r="B177" s="3" t="s">
        <v>1676</v>
      </c>
      <c r="C177" s="3" t="s">
        <v>95</v>
      </c>
      <c r="D177" s="3" t="s">
        <v>95</v>
      </c>
      <c r="E177" s="3" t="s">
        <v>1116</v>
      </c>
      <c r="F177" s="3" t="s">
        <v>1169</v>
      </c>
      <c r="G177" s="3" t="s">
        <v>1677</v>
      </c>
      <c r="H177" s="3" t="str">
        <f>HYPERLINK("http://www.jccm.es/sede/tramite/JP6","IMPUESTO SOBRE SUCESIONES Y DONACIONES: DONACIONES-AUTOLIQUIDACION DE DONACIONES.")</f>
        <v>IMPUESTO SOBRE SUCESIONES Y DONACIONES: DONACIONES-AUTOLIQUIDACION DE DONACIONES.</v>
      </c>
      <c r="I177" s="3" t="s">
        <v>41</v>
      </c>
      <c r="J177" s="3" t="s">
        <v>41</v>
      </c>
      <c r="K177" s="3" t="s">
        <v>42</v>
      </c>
      <c r="L177" s="3" t="s">
        <v>41</v>
      </c>
    </row>
    <row r="178" spans="1:12" ht="99.95" customHeight="1">
      <c r="A178" s="3" t="s">
        <v>1678</v>
      </c>
      <c r="B178" s="3" t="s">
        <v>1679</v>
      </c>
      <c r="C178" s="3" t="s">
        <v>327</v>
      </c>
      <c r="D178" s="3" t="s">
        <v>46</v>
      </c>
      <c r="E178" s="3" t="s">
        <v>1116</v>
      </c>
      <c r="F178" s="3" t="s">
        <v>1169</v>
      </c>
      <c r="G178" s="3" t="s">
        <v>1680</v>
      </c>
      <c r="H178" s="3" t="str">
        <f>HYPERLINK("http://www.jccm.es/sede/tramite/KCJ","SOLICITUD PARA EL RECONOCIMIENTO DEL DERECHO A LA DEVOLUCION DE INGRESOS INDEBIDOS")</f>
        <v>SOLICITUD PARA EL RECONOCIMIENTO DEL DERECHO A LA DEVOLUCION DE INGRESOS INDEBIDOS</v>
      </c>
      <c r="I178" s="3" t="s">
        <v>42</v>
      </c>
      <c r="J178" s="3" t="s">
        <v>41</v>
      </c>
      <c r="K178" s="3" t="s">
        <v>42</v>
      </c>
      <c r="L178" s="3" t="s">
        <v>41</v>
      </c>
    </row>
    <row r="179" spans="1:12" ht="99.95" customHeight="1">
      <c r="A179" s="3" t="s">
        <v>1681</v>
      </c>
      <c r="B179" s="3" t="s">
        <v>1682</v>
      </c>
      <c r="C179" s="3" t="s">
        <v>1683</v>
      </c>
      <c r="D179" s="3" t="s">
        <v>46</v>
      </c>
      <c r="E179" s="3" t="s">
        <v>1116</v>
      </c>
      <c r="F179" s="3" t="s">
        <v>1169</v>
      </c>
      <c r="G179" s="3" t="s">
        <v>1684</v>
      </c>
      <c r="H179" s="3" t="str">
        <f>HYPERLINK("http://www.jccm.es/sede/tramite/KN4","RECURSO DE REPOSICION EN MATERIA TRIBUTARIA Y RECAUDATORIA")</f>
        <v>RECURSO DE REPOSICION EN MATERIA TRIBUTARIA Y RECAUDATORIA</v>
      </c>
      <c r="I179" s="3" t="s">
        <v>42</v>
      </c>
      <c r="J179" s="3" t="s">
        <v>41</v>
      </c>
      <c r="K179" s="3" t="s">
        <v>42</v>
      </c>
      <c r="L179" s="3" t="s">
        <v>41</v>
      </c>
    </row>
    <row r="180" spans="1:12" ht="99.95" customHeight="1">
      <c r="A180" s="3" t="s">
        <v>1685</v>
      </c>
      <c r="B180" s="3" t="s">
        <v>1686</v>
      </c>
      <c r="C180" s="3" t="s">
        <v>327</v>
      </c>
      <c r="D180" s="3" t="s">
        <v>46</v>
      </c>
      <c r="E180" s="3" t="s">
        <v>1116</v>
      </c>
      <c r="F180" s="3" t="s">
        <v>1169</v>
      </c>
      <c r="G180" s="3" t="s">
        <v>1687</v>
      </c>
      <c r="H180" s="3" t="str">
        <f>HYPERLINK("http://www.jccm.es/sede/tramite/KN5","COMPENSACION DE DEUDAS")</f>
        <v>COMPENSACION DE DEUDAS</v>
      </c>
      <c r="I180" s="3" t="s">
        <v>42</v>
      </c>
      <c r="J180" s="3" t="s">
        <v>41</v>
      </c>
      <c r="K180" s="3" t="s">
        <v>42</v>
      </c>
      <c r="L180" s="3" t="s">
        <v>41</v>
      </c>
    </row>
    <row r="181" spans="1:12" ht="99.95" customHeight="1">
      <c r="A181" s="3" t="s">
        <v>1688</v>
      </c>
      <c r="B181" s="3" t="s">
        <v>1689</v>
      </c>
      <c r="C181" s="3" t="s">
        <v>327</v>
      </c>
      <c r="D181" s="3" t="s">
        <v>1368</v>
      </c>
      <c r="E181" s="3" t="s">
        <v>1116</v>
      </c>
      <c r="F181" s="3" t="s">
        <v>1169</v>
      </c>
      <c r="G181" s="3" t="s">
        <v>1690</v>
      </c>
      <c r="H181" s="3" t="str">
        <f>HYPERLINK("http://www.jccm.es/sede/tramite/KN6","TASACION PERICIAL CONTRADICTORIA")</f>
        <v>TASACION PERICIAL CONTRADICTORIA</v>
      </c>
      <c r="I181" s="3" t="s">
        <v>42</v>
      </c>
      <c r="J181" s="3" t="s">
        <v>41</v>
      </c>
      <c r="K181" s="3" t="s">
        <v>42</v>
      </c>
      <c r="L181" s="3" t="s">
        <v>41</v>
      </c>
    </row>
    <row r="182" spans="1:12" ht="99.95" customHeight="1">
      <c r="A182" s="3" t="s">
        <v>1691</v>
      </c>
      <c r="B182" s="3" t="s">
        <v>1692</v>
      </c>
      <c r="C182" s="3" t="s">
        <v>1693</v>
      </c>
      <c r="D182" s="3" t="s">
        <v>46</v>
      </c>
      <c r="E182" s="3" t="s">
        <v>1116</v>
      </c>
      <c r="F182" s="3" t="s">
        <v>1169</v>
      </c>
      <c r="G182" s="3" t="s">
        <v>1694</v>
      </c>
      <c r="H182" s="3" t="str">
        <f>HYPERLINK("http://www.jccm.es/sede/tramite/KNY","INTERPOSICION DE RECURSO DE EJECUCION EN VIA ECONOMICO-ADMINISTRATIVA EN MATERIA DE TRIBUTOS CEDIDOS.")</f>
        <v>INTERPOSICION DE RECURSO DE EJECUCION EN VIA ECONOMICO-ADMINISTRATIVA EN MATERIA DE TRIBUTOS CEDIDOS.</v>
      </c>
      <c r="I182" s="3" t="s">
        <v>42</v>
      </c>
      <c r="J182" s="3" t="s">
        <v>41</v>
      </c>
      <c r="K182" s="3" t="s">
        <v>42</v>
      </c>
      <c r="L182" s="3" t="s">
        <v>41</v>
      </c>
    </row>
    <row r="183" spans="1:12" ht="99.95" customHeight="1">
      <c r="A183" s="3" t="s">
        <v>1695</v>
      </c>
      <c r="B183" s="3" t="s">
        <v>1696</v>
      </c>
      <c r="C183" s="3" t="s">
        <v>1697</v>
      </c>
      <c r="D183" s="3" t="s">
        <v>46</v>
      </c>
      <c r="E183" s="3" t="s">
        <v>1116</v>
      </c>
      <c r="F183" s="3" t="s">
        <v>1169</v>
      </c>
      <c r="G183" s="3" t="s">
        <v>1698</v>
      </c>
      <c r="H183" s="3" t="str">
        <f>HYPERLINK("http://www.jccm.es/sede/tramite/KNZ","INTERPOSICION DE RECLAMACION ECONOMICO-ADMINISTRATIVA EN MATERIA DE TRIBUTOS CEDIDOS")</f>
        <v>INTERPOSICION DE RECLAMACION ECONOMICO-ADMINISTRATIVA EN MATERIA DE TRIBUTOS CEDIDOS</v>
      </c>
      <c r="I183" s="3" t="s">
        <v>42</v>
      </c>
      <c r="J183" s="3" t="s">
        <v>41</v>
      </c>
      <c r="K183" s="3" t="s">
        <v>42</v>
      </c>
      <c r="L183" s="3" t="s">
        <v>41</v>
      </c>
    </row>
    <row r="184" spans="1:12" ht="99.95" customHeight="1">
      <c r="A184" s="3" t="s">
        <v>1699</v>
      </c>
      <c r="B184" s="3" t="s">
        <v>1700</v>
      </c>
      <c r="C184" s="3" t="s">
        <v>1697</v>
      </c>
      <c r="D184" s="3" t="s">
        <v>46</v>
      </c>
      <c r="E184" s="3" t="s">
        <v>1116</v>
      </c>
      <c r="F184" s="3" t="s">
        <v>1169</v>
      </c>
      <c r="G184" s="3" t="s">
        <v>1701</v>
      </c>
      <c r="H184" s="3" t="str">
        <f>HYPERLINK("http://www.jccm.es/sede/tramite/KOU","INTERPOSICION DE RECLAMACION ECONOMICO-ADMINISTRATIVA EN MATERIA DE RECURSOS PROPIOS (EXCEPTO TRIBUTOS CEDIDOS)")</f>
        <v>INTERPOSICION DE RECLAMACION ECONOMICO-ADMINISTRATIVA EN MATERIA DE RECURSOS PROPIOS (EXCEPTO TRIBUTOS CEDIDOS)</v>
      </c>
      <c r="I184" s="3" t="s">
        <v>42</v>
      </c>
      <c r="J184" s="3" t="s">
        <v>41</v>
      </c>
      <c r="K184" s="3" t="s">
        <v>42</v>
      </c>
      <c r="L184" s="3" t="s">
        <v>41</v>
      </c>
    </row>
    <row r="185" spans="1:12" ht="99.95" customHeight="1">
      <c r="A185" s="3" t="s">
        <v>1702</v>
      </c>
      <c r="B185" s="3" t="s">
        <v>1703</v>
      </c>
      <c r="C185" s="3" t="s">
        <v>45</v>
      </c>
      <c r="D185" s="3" t="s">
        <v>37</v>
      </c>
      <c r="E185" s="3" t="s">
        <v>1116</v>
      </c>
      <c r="F185" s="3" t="s">
        <v>1169</v>
      </c>
      <c r="G185" s="3" t="s">
        <v>1704</v>
      </c>
      <c r="H185" s="3" t="str">
        <f>HYPERLINK("http://www.jccm.es/sede/tramite/L9U","ADHESION INDIVIDUALIZADA A UN ACUERDO O CONVENIO DE COLABORACION SOCIAL EN LA APLICACION DE LOS TRIBUTOS")</f>
        <v>ADHESION INDIVIDUALIZADA A UN ACUERDO O CONVENIO DE COLABORACION SOCIAL EN LA APLICACION DE LOS TRIBUTOS</v>
      </c>
      <c r="I185" s="3" t="s">
        <v>41</v>
      </c>
      <c r="J185" s="3" t="s">
        <v>41</v>
      </c>
      <c r="K185" s="3" t="s">
        <v>42</v>
      </c>
      <c r="L185" s="3" t="s">
        <v>41</v>
      </c>
    </row>
    <row r="186" spans="1:12" ht="99.95" customHeight="1">
      <c r="A186" s="3" t="s">
        <v>1705</v>
      </c>
      <c r="B186" s="3" t="s">
        <v>1706</v>
      </c>
      <c r="C186" s="3" t="s">
        <v>45</v>
      </c>
      <c r="D186" s="3" t="s">
        <v>46</v>
      </c>
      <c r="E186" s="3" t="s">
        <v>1116</v>
      </c>
      <c r="F186" s="3" t="s">
        <v>1169</v>
      </c>
      <c r="G186" s="3" t="s">
        <v>1707</v>
      </c>
      <c r="H186" s="3" t="str">
        <f>HYPERLINK("http://www.jccm.es/sede/tramite/K87","INFORMACION SOBRE EL VALOR A EFECTOS FISCALES DE EDIFICACIONES")</f>
        <v>INFORMACION SOBRE EL VALOR A EFECTOS FISCALES DE EDIFICACIONES</v>
      </c>
      <c r="I186" s="3" t="s">
        <v>42</v>
      </c>
      <c r="J186" s="3" t="s">
        <v>41</v>
      </c>
      <c r="K186" s="3" t="s">
        <v>42</v>
      </c>
      <c r="L186" s="3" t="s">
        <v>41</v>
      </c>
    </row>
    <row r="187" spans="1:12" ht="99.95" customHeight="1">
      <c r="A187" s="3" t="s">
        <v>1708</v>
      </c>
      <c r="B187" s="3" t="s">
        <v>1709</v>
      </c>
      <c r="C187" s="3" t="s">
        <v>45</v>
      </c>
      <c r="D187" s="3" t="s">
        <v>46</v>
      </c>
      <c r="E187" s="3" t="s">
        <v>1116</v>
      </c>
      <c r="F187" s="3" t="s">
        <v>1169</v>
      </c>
      <c r="G187" s="3" t="s">
        <v>1710</v>
      </c>
      <c r="H187" s="3" t="str">
        <f>HYPERLINK("http://www.jccm.es/sede/tramite/K88","INFORMACION SOBRE EL VALOR A EFECTOS FISCALES DE SUELOS SIN EDIFICAR")</f>
        <v>INFORMACION SOBRE EL VALOR A EFECTOS FISCALES DE SUELOS SIN EDIFICAR</v>
      </c>
      <c r="I187" s="3" t="s">
        <v>42</v>
      </c>
      <c r="J187" s="3" t="s">
        <v>41</v>
      </c>
      <c r="K187" s="3" t="s">
        <v>42</v>
      </c>
      <c r="L187" s="3" t="s">
        <v>41</v>
      </c>
    </row>
    <row r="188" spans="1:12" ht="99.95" customHeight="1">
      <c r="A188" s="3" t="s">
        <v>1711</v>
      </c>
      <c r="B188" s="3" t="s">
        <v>1712</v>
      </c>
      <c r="C188" s="3" t="s">
        <v>327</v>
      </c>
      <c r="D188" s="3" t="s">
        <v>46</v>
      </c>
      <c r="E188" s="3" t="s">
        <v>1116</v>
      </c>
      <c r="F188" s="3" t="s">
        <v>1169</v>
      </c>
      <c r="G188" s="3" t="s">
        <v>1713</v>
      </c>
      <c r="H188" s="3" t="str">
        <f>HYPERLINK("http://www.jccm.es/sede/tramite/KEB","APLAZAMIENTO O FRACCIONAMIENTO DEL PAGO DE DEUDAS DERIVADAS DE TRIBUTOS CEDIDOS")</f>
        <v>APLAZAMIENTO O FRACCIONAMIENTO DEL PAGO DE DEUDAS DERIVADAS DE TRIBUTOS CEDIDOS</v>
      </c>
      <c r="I188" s="3" t="s">
        <v>42</v>
      </c>
      <c r="J188" s="3" t="s">
        <v>41</v>
      </c>
      <c r="K188" s="3" t="s">
        <v>41</v>
      </c>
      <c r="L188" s="3" t="s">
        <v>41</v>
      </c>
    </row>
    <row r="189" spans="1:12" ht="99.95" customHeight="1">
      <c r="A189" s="3" t="s">
        <v>1714</v>
      </c>
      <c r="B189" s="3" t="s">
        <v>1715</v>
      </c>
      <c r="C189" s="3" t="s">
        <v>327</v>
      </c>
      <c r="D189" s="3" t="s">
        <v>46</v>
      </c>
      <c r="E189" s="3" t="s">
        <v>1116</v>
      </c>
      <c r="F189" s="3" t="s">
        <v>1169</v>
      </c>
      <c r="G189" s="3" t="s">
        <v>1716</v>
      </c>
      <c r="H189" s="3" t="str">
        <f>HYPERLINK("http://www.jccm.es/sede/tramite/KEC","APLAZAMIENTO O FRACCIONAMIENTO DEL PAGO DE DEUDAS (EXCEPTO TRIBUTOS CEDIDOS)")</f>
        <v>APLAZAMIENTO O FRACCIONAMIENTO DEL PAGO DE DEUDAS (EXCEPTO TRIBUTOS CEDIDOS)</v>
      </c>
      <c r="I189" s="3" t="s">
        <v>42</v>
      </c>
      <c r="J189" s="3" t="s">
        <v>41</v>
      </c>
      <c r="K189" s="3" t="s">
        <v>41</v>
      </c>
      <c r="L189" s="3" t="s">
        <v>41</v>
      </c>
    </row>
    <row r="190" spans="1:12" ht="99.95" customHeight="1">
      <c r="A190" s="3" t="s">
        <v>1717</v>
      </c>
      <c r="B190" s="3" t="s">
        <v>1718</v>
      </c>
      <c r="C190" s="3" t="s">
        <v>1719</v>
      </c>
      <c r="D190" s="3" t="s">
        <v>46</v>
      </c>
      <c r="E190" s="3" t="s">
        <v>1116</v>
      </c>
      <c r="F190" s="3" t="s">
        <v>1201</v>
      </c>
      <c r="G190" s="3" t="s">
        <v>1720</v>
      </c>
      <c r="H190" s="3" t="str">
        <f>HYPERLINK("http://www.jccm.es/sede/tramite/J0K","CURSOS DE FORMACION A DISTANCIA Y ON LINE CONVOCADOS POR LA EAR")</f>
        <v>CURSOS DE FORMACION A DISTANCIA Y ON LINE CONVOCADOS POR LA EAR</v>
      </c>
      <c r="I190" s="3" t="s">
        <v>41</v>
      </c>
      <c r="J190" s="3" t="s">
        <v>41</v>
      </c>
      <c r="K190" s="3" t="s">
        <v>42</v>
      </c>
      <c r="L190" s="3" t="s">
        <v>41</v>
      </c>
    </row>
    <row r="191" spans="1:12" ht="99.95" customHeight="1">
      <c r="A191" s="3" t="s">
        <v>1721</v>
      </c>
      <c r="B191" s="3" t="s">
        <v>1722</v>
      </c>
      <c r="C191" s="3" t="s">
        <v>1723</v>
      </c>
      <c r="D191" s="3" t="s">
        <v>46</v>
      </c>
      <c r="E191" s="3" t="s">
        <v>1116</v>
      </c>
      <c r="F191" s="3" t="s">
        <v>1387</v>
      </c>
      <c r="G191" s="3" t="s">
        <v>1724</v>
      </c>
      <c r="H191" s="3" t="str">
        <f>HYPERLINK("http://www.jccm.es/sede/tramite/F25","CONVOCATORIA DEL PROGRAMA DE FORMACION EN IDIOMAS, DENTRO DEL PLAN DE FORMACION PARA EL PERSONAL DE LA ADMINISTRACION DE LA JUNTA DE COMUNIDADES DE CASTILLA-LA MANCHA.")</f>
        <v>CONVOCATORIA DEL PROGRAMA DE FORMACION EN IDIOMAS, DENTRO DEL PLAN DE FORMACION PARA EL PERSONAL DE LA ADMINISTRACION DE LA JUNTA DE COMUNIDADES DE CASTILLA-LA MANCHA.</v>
      </c>
      <c r="I191" s="3" t="s">
        <v>41</v>
      </c>
      <c r="J191" s="3" t="s">
        <v>41</v>
      </c>
      <c r="K191" s="3" t="s">
        <v>42</v>
      </c>
      <c r="L191" s="3" t="s">
        <v>41</v>
      </c>
    </row>
    <row r="192" spans="1:12" ht="99.95" customHeight="1">
      <c r="A192" s="3" t="s">
        <v>1725</v>
      </c>
      <c r="B192" s="3" t="s">
        <v>1726</v>
      </c>
      <c r="C192" s="3" t="s">
        <v>1727</v>
      </c>
      <c r="D192" s="3" t="s">
        <v>46</v>
      </c>
      <c r="E192" s="3" t="s">
        <v>1116</v>
      </c>
      <c r="F192" s="3" t="s">
        <v>1201</v>
      </c>
      <c r="G192" s="3" t="s">
        <v>1728</v>
      </c>
      <c r="H192" s="3" t="str">
        <f>HYPERLINK("http://www.jccm.es/sede/tramite/F29","CURSOS DE OFIMATICA")</f>
        <v>CURSOS DE OFIMATICA</v>
      </c>
      <c r="I192" s="3" t="s">
        <v>41</v>
      </c>
      <c r="J192" s="3" t="s">
        <v>41</v>
      </c>
      <c r="K192" s="3" t="s">
        <v>42</v>
      </c>
      <c r="L192" s="3" t="s">
        <v>41</v>
      </c>
    </row>
    <row r="193" spans="1:12" ht="99.95" customHeight="1">
      <c r="A193" s="3" t="s">
        <v>1729</v>
      </c>
      <c r="B193" s="3" t="s">
        <v>1730</v>
      </c>
      <c r="C193" s="3" t="s">
        <v>1727</v>
      </c>
      <c r="D193" s="3" t="s">
        <v>46</v>
      </c>
      <c r="E193" s="3" t="s">
        <v>1116</v>
      </c>
      <c r="F193" s="3" t="s">
        <v>1201</v>
      </c>
      <c r="G193" s="3" t="s">
        <v>1731</v>
      </c>
      <c r="H193" s="3" t="str">
        <f>HYPERLINK("http://www.jccm.es/sede/tramite/F26","CURSOS DE PERFECCIONAMIENTO GENERAL")</f>
        <v>CURSOS DE PERFECCIONAMIENTO GENERAL</v>
      </c>
      <c r="I193" s="3" t="s">
        <v>41</v>
      </c>
      <c r="J193" s="3" t="s">
        <v>41</v>
      </c>
      <c r="K193" s="3" t="s">
        <v>42</v>
      </c>
      <c r="L193" s="3" t="s">
        <v>41</v>
      </c>
    </row>
    <row r="194" spans="1:12" ht="99.95" customHeight="1">
      <c r="A194" s="3" t="s">
        <v>1732</v>
      </c>
      <c r="B194" s="3" t="s">
        <v>1733</v>
      </c>
      <c r="C194" s="3" t="s">
        <v>51</v>
      </c>
      <c r="D194" s="3" t="s">
        <v>46</v>
      </c>
      <c r="E194" s="3" t="s">
        <v>1116</v>
      </c>
      <c r="F194" s="3" t="s">
        <v>1201</v>
      </c>
      <c r="G194" s="3" t="s">
        <v>1734</v>
      </c>
      <c r="H194" s="3" t="str">
        <f>HYPERLINK("http://www.jccm.es/sede/tramite/F31","RECONOCIMIENTO DE SERVICIOS PREVIOS A EFECTOS DE TRIENIOS")</f>
        <v>RECONOCIMIENTO DE SERVICIOS PREVIOS A EFECTOS DE TRIENIOS</v>
      </c>
      <c r="I194" s="3" t="s">
        <v>42</v>
      </c>
      <c r="J194" s="3" t="s">
        <v>41</v>
      </c>
      <c r="K194" s="3" t="s">
        <v>41</v>
      </c>
      <c r="L194" s="3" t="s">
        <v>41</v>
      </c>
    </row>
    <row r="195" spans="1:12" ht="99.95" customHeight="1">
      <c r="A195" s="3" t="s">
        <v>1735</v>
      </c>
      <c r="B195" s="3" t="s">
        <v>1736</v>
      </c>
      <c r="C195" s="3" t="s">
        <v>62</v>
      </c>
      <c r="D195" s="3" t="s">
        <v>46</v>
      </c>
      <c r="E195" s="3" t="s">
        <v>1116</v>
      </c>
      <c r="F195" s="3" t="s">
        <v>1201</v>
      </c>
      <c r="G195" s="3" t="s">
        <v>1737</v>
      </c>
      <c r="H195" s="3" t="str">
        <f>HYPERLINK("http://www.jccm.es/sede/tramite/F35","RECONOCIMIENTO DE TRIENIOS. SOLICITUD")</f>
        <v>RECONOCIMIENTO DE TRIENIOS. SOLICITUD</v>
      </c>
      <c r="I195" s="3" t="s">
        <v>42</v>
      </c>
      <c r="J195" s="3" t="s">
        <v>41</v>
      </c>
      <c r="K195" s="3" t="s">
        <v>42</v>
      </c>
      <c r="L195" s="3" t="s">
        <v>41</v>
      </c>
    </row>
    <row r="196" spans="1:12" ht="99.95" customHeight="1">
      <c r="A196" s="3" t="s">
        <v>1738</v>
      </c>
      <c r="B196" s="3" t="s">
        <v>1739</v>
      </c>
      <c r="C196" s="3" t="s">
        <v>62</v>
      </c>
      <c r="D196" s="3" t="s">
        <v>37</v>
      </c>
      <c r="E196" s="3" t="s">
        <v>1116</v>
      </c>
      <c r="F196" s="3" t="s">
        <v>1201</v>
      </c>
      <c r="G196" s="3" t="s">
        <v>1740</v>
      </c>
      <c r="H196" s="3" t="str">
        <f>HYPERLINK("http://www.jccm.es/sede/tramite/F46","EXCEDENCIA POR CUIDADO DE FAMILIARES PERSONAL FUNCIONARIO")</f>
        <v>EXCEDENCIA POR CUIDADO DE FAMILIARES PERSONAL FUNCIONARIO</v>
      </c>
      <c r="I196" s="3" t="s">
        <v>42</v>
      </c>
      <c r="J196" s="3" t="s">
        <v>41</v>
      </c>
      <c r="K196" s="3" t="s">
        <v>42</v>
      </c>
      <c r="L196" s="3" t="s">
        <v>41</v>
      </c>
    </row>
    <row r="197" spans="1:12" ht="99.95" customHeight="1">
      <c r="A197" s="3" t="s">
        <v>1741</v>
      </c>
      <c r="B197" s="3" t="s">
        <v>1742</v>
      </c>
      <c r="C197" s="3" t="s">
        <v>62</v>
      </c>
      <c r="D197" s="3" t="s">
        <v>46</v>
      </c>
      <c r="E197" s="3" t="s">
        <v>1116</v>
      </c>
      <c r="F197" s="3" t="s">
        <v>1201</v>
      </c>
      <c r="G197" s="3" t="s">
        <v>1743</v>
      </c>
      <c r="H197" s="3" t="str">
        <f>HYPERLINK("http://www.jccm.es/sede/tramite/F45","EXCEDENCIA VOLUNTARIA POR AGRUPACION FAMILIAR PERSONAL FUNCIONARIO")</f>
        <v>EXCEDENCIA VOLUNTARIA POR AGRUPACION FAMILIAR PERSONAL FUNCIONARIO</v>
      </c>
      <c r="I197" s="3" t="s">
        <v>42</v>
      </c>
      <c r="J197" s="3" t="s">
        <v>41</v>
      </c>
      <c r="K197" s="3" t="s">
        <v>42</v>
      </c>
      <c r="L197" s="3" t="s">
        <v>41</v>
      </c>
    </row>
    <row r="198" spans="1:12" ht="99.95" customHeight="1">
      <c r="A198" s="3" t="s">
        <v>1744</v>
      </c>
      <c r="B198" s="3" t="s">
        <v>1745</v>
      </c>
      <c r="C198" s="3" t="s">
        <v>62</v>
      </c>
      <c r="D198" s="3" t="s">
        <v>37</v>
      </c>
      <c r="E198" s="3" t="s">
        <v>1116</v>
      </c>
      <c r="F198" s="3" t="s">
        <v>1201</v>
      </c>
      <c r="G198" s="3" t="s">
        <v>1746</v>
      </c>
      <c r="H198" s="3" t="str">
        <f>HYPERLINK("http://www.jccm.es/sede/tramite/F44","EXCEDENCIA VOLUNTARIA POR INTERES PARTICULAR PERSONAL FUNCIONARIO")</f>
        <v>EXCEDENCIA VOLUNTARIA POR INTERES PARTICULAR PERSONAL FUNCIONARIO</v>
      </c>
      <c r="I198" s="3" t="s">
        <v>42</v>
      </c>
      <c r="J198" s="3" t="s">
        <v>41</v>
      </c>
      <c r="K198" s="3" t="s">
        <v>42</v>
      </c>
      <c r="L198" s="3" t="s">
        <v>41</v>
      </c>
    </row>
    <row r="199" spans="1:12" ht="99.95" customHeight="1">
      <c r="A199" s="3" t="s">
        <v>1747</v>
      </c>
      <c r="B199" s="3" t="s">
        <v>1748</v>
      </c>
      <c r="C199" s="3" t="s">
        <v>62</v>
      </c>
      <c r="D199" s="3" t="s">
        <v>46</v>
      </c>
      <c r="E199" s="3" t="s">
        <v>1116</v>
      </c>
      <c r="F199" s="3" t="s">
        <v>1201</v>
      </c>
      <c r="G199" s="3" t="s">
        <v>1749</v>
      </c>
      <c r="H199" s="3" t="str">
        <f>HYPERLINK("http://www.jccm.es/sede/tramite/F43","EXCEDENCIA VOLUNTARIA POR PRESTACION DE SERVICIOS EN EL SECTOR PUBLICO PERSONAL FUNCIONARIO")</f>
        <v>EXCEDENCIA VOLUNTARIA POR PRESTACION DE SERVICIOS EN EL SECTOR PUBLICO PERSONAL FUNCIONARIO</v>
      </c>
      <c r="I199" s="3" t="s">
        <v>42</v>
      </c>
      <c r="J199" s="3" t="s">
        <v>41</v>
      </c>
      <c r="K199" s="3" t="s">
        <v>42</v>
      </c>
      <c r="L199" s="3" t="s">
        <v>41</v>
      </c>
    </row>
    <row r="200" spans="1:12" ht="99.95" customHeight="1">
      <c r="A200" s="3" t="s">
        <v>1750</v>
      </c>
      <c r="B200" s="3" t="s">
        <v>1751</v>
      </c>
      <c r="C200" s="3" t="s">
        <v>62</v>
      </c>
      <c r="D200" s="3" t="s">
        <v>46</v>
      </c>
      <c r="E200" s="3" t="s">
        <v>1116</v>
      </c>
      <c r="F200" s="3" t="s">
        <v>1201</v>
      </c>
      <c r="G200" s="3" t="s">
        <v>1752</v>
      </c>
      <c r="H200" s="3" t="str">
        <f>HYPERLINK("http://www.jccm.es/sede/tramite/F58","JUBILACION ANTICIPADA VOLUNTARIA PERSONAL FUNCIONARIO REGIMEN SEGURIDAD SOCIAL")</f>
        <v>JUBILACION ANTICIPADA VOLUNTARIA PERSONAL FUNCIONARIO REGIMEN SEGURIDAD SOCIAL</v>
      </c>
      <c r="I200" s="3" t="s">
        <v>42</v>
      </c>
      <c r="J200" s="3" t="s">
        <v>41</v>
      </c>
      <c r="K200" s="3" t="s">
        <v>42</v>
      </c>
      <c r="L200" s="3" t="s">
        <v>41</v>
      </c>
    </row>
    <row r="201" spans="1:12" ht="99.95" customHeight="1">
      <c r="A201" s="3" t="s">
        <v>1753</v>
      </c>
      <c r="B201" s="3" t="s">
        <v>1754</v>
      </c>
      <c r="C201" s="3" t="s">
        <v>51</v>
      </c>
      <c r="D201" s="3" t="s">
        <v>46</v>
      </c>
      <c r="E201" s="3" t="s">
        <v>1116</v>
      </c>
      <c r="F201" s="3" t="s">
        <v>1201</v>
      </c>
      <c r="G201" s="3" t="s">
        <v>1755</v>
      </c>
      <c r="H201" s="3" t="str">
        <f>HYPERLINK("http://www.jccm.es/sede/tramite/F52","RECONOCIMIENTO DE GRADO PERSONAL FUNCIONARIO")</f>
        <v>RECONOCIMIENTO DE GRADO PERSONAL FUNCIONARIO</v>
      </c>
      <c r="I201" s="3" t="s">
        <v>42</v>
      </c>
      <c r="J201" s="3" t="s">
        <v>41</v>
      </c>
      <c r="K201" s="3" t="s">
        <v>42</v>
      </c>
      <c r="L201" s="3" t="s">
        <v>41</v>
      </c>
    </row>
    <row r="202" spans="1:12" ht="99.95" customHeight="1">
      <c r="A202" s="3" t="s">
        <v>1756</v>
      </c>
      <c r="B202" s="3" t="s">
        <v>1757</v>
      </c>
      <c r="C202" s="3" t="s">
        <v>62</v>
      </c>
      <c r="D202" s="3" t="s">
        <v>37</v>
      </c>
      <c r="E202" s="3" t="s">
        <v>1116</v>
      </c>
      <c r="F202" s="3" t="s">
        <v>1201</v>
      </c>
      <c r="G202" s="3" t="s">
        <v>1758</v>
      </c>
      <c r="H202" s="3" t="str">
        <f>HYPERLINK("http://www.jccm.es/sede/tramite/F33","REINGRESO A SERVICIO ACTIVO CON RESERVA DE PLAZA PERSONAL FUNCIONARIO")</f>
        <v>REINGRESO A SERVICIO ACTIVO CON RESERVA DE PLAZA PERSONAL FUNCIONARIO</v>
      </c>
      <c r="I202" s="3" t="s">
        <v>42</v>
      </c>
      <c r="J202" s="3" t="s">
        <v>41</v>
      </c>
      <c r="K202" s="3" t="s">
        <v>42</v>
      </c>
      <c r="L202" s="3" t="s">
        <v>41</v>
      </c>
    </row>
    <row r="203" spans="1:12" ht="99.95" customHeight="1">
      <c r="A203" s="3" t="s">
        <v>1759</v>
      </c>
      <c r="B203" s="3" t="s">
        <v>1760</v>
      </c>
      <c r="C203" s="3" t="s">
        <v>62</v>
      </c>
      <c r="D203" s="3" t="s">
        <v>46</v>
      </c>
      <c r="E203" s="3" t="s">
        <v>1116</v>
      </c>
      <c r="F203" s="3" t="s">
        <v>1201</v>
      </c>
      <c r="G203" s="3" t="s">
        <v>1761</v>
      </c>
      <c r="H203" s="3" t="str">
        <f>HYPERLINK("http://www.jccm.es/sede/tramite/F49","SITUACION DE SERVICIOS ESPECIALES PERSONAL FUNCIONARIO")</f>
        <v>SITUACION DE SERVICIOS ESPECIALES PERSONAL FUNCIONARIO</v>
      </c>
      <c r="I203" s="3" t="s">
        <v>42</v>
      </c>
      <c r="J203" s="3" t="s">
        <v>41</v>
      </c>
      <c r="K203" s="3" t="s">
        <v>42</v>
      </c>
      <c r="L203" s="3" t="s">
        <v>41</v>
      </c>
    </row>
    <row r="204" spans="1:12" ht="99.95" customHeight="1">
      <c r="A204" s="3" t="s">
        <v>1762</v>
      </c>
      <c r="B204" s="3" t="s">
        <v>1763</v>
      </c>
      <c r="C204" s="3" t="s">
        <v>62</v>
      </c>
      <c r="D204" s="3" t="s">
        <v>46</v>
      </c>
      <c r="E204" s="3" t="s">
        <v>1116</v>
      </c>
      <c r="F204" s="3" t="s">
        <v>1201</v>
      </c>
      <c r="G204" s="3" t="s">
        <v>1764</v>
      </c>
      <c r="H204" s="3" t="str">
        <f>HYPERLINK("http://www.jccm.es/sede/tramite/F41","DECLARACION EN SITUACION DE SERVICIO EN OTRA ADMINISTRACION PUBLICA")</f>
        <v>DECLARACION EN SITUACION DE SERVICIO EN OTRA ADMINISTRACION PUBLICA</v>
      </c>
      <c r="I204" s="3" t="s">
        <v>42</v>
      </c>
      <c r="J204" s="3" t="s">
        <v>41</v>
      </c>
      <c r="K204" s="3" t="s">
        <v>42</v>
      </c>
      <c r="L204" s="3" t="s">
        <v>41</v>
      </c>
    </row>
    <row r="205" spans="1:12" ht="99.95" customHeight="1">
      <c r="A205" s="3" t="s">
        <v>1765</v>
      </c>
      <c r="B205" s="3" t="s">
        <v>1766</v>
      </c>
      <c r="C205" s="3" t="s">
        <v>45</v>
      </c>
      <c r="D205" s="3" t="s">
        <v>46</v>
      </c>
      <c r="E205" s="3" t="s">
        <v>1116</v>
      </c>
      <c r="F205" s="3" t="s">
        <v>1201</v>
      </c>
      <c r="G205" s="3" t="s">
        <v>1767</v>
      </c>
      <c r="H205" s="3" t="str">
        <f>HYPERLINK("http://www.jccm.es/sede/tramite/JSL","REINGRESO A SERVICIO ACTIVO SIN RESERVA DE PLAZA PERSONAL FUNCIONARIO")</f>
        <v>REINGRESO A SERVICIO ACTIVO SIN RESERVA DE PLAZA PERSONAL FUNCIONARIO</v>
      </c>
      <c r="I205" s="3" t="s">
        <v>42</v>
      </c>
      <c r="J205" s="3" t="s">
        <v>41</v>
      </c>
      <c r="K205" s="3" t="s">
        <v>42</v>
      </c>
      <c r="L205" s="3" t="s">
        <v>41</v>
      </c>
    </row>
    <row r="206" spans="1:12" ht="99.95" customHeight="1">
      <c r="A206" s="3" t="s">
        <v>1768</v>
      </c>
      <c r="B206" s="3" t="s">
        <v>1769</v>
      </c>
      <c r="C206" s="3" t="s">
        <v>1770</v>
      </c>
      <c r="D206" s="3" t="s">
        <v>46</v>
      </c>
      <c r="E206" s="3" t="s">
        <v>1116</v>
      </c>
      <c r="F206" s="3" t="s">
        <v>1201</v>
      </c>
      <c r="G206" s="3" t="s">
        <v>1771</v>
      </c>
      <c r="H206" s="3" t="str">
        <f>HYPERLINK("http://www.jccm.es/sede/tramite/JSM","EXCEDENCIA VOLUNTARIA POR INTERES PARTICULAR DE PERSONAL LABORAL FIJO")</f>
        <v>EXCEDENCIA VOLUNTARIA POR INTERES PARTICULAR DE PERSONAL LABORAL FIJO</v>
      </c>
      <c r="I206" s="3" t="s">
        <v>42</v>
      </c>
      <c r="J206" s="3" t="s">
        <v>41</v>
      </c>
      <c r="K206" s="3" t="s">
        <v>42</v>
      </c>
      <c r="L206" s="3" t="s">
        <v>41</v>
      </c>
    </row>
    <row r="207" spans="1:12" ht="99.95" customHeight="1">
      <c r="A207" s="3" t="s">
        <v>1772</v>
      </c>
      <c r="B207" s="3" t="s">
        <v>1773</v>
      </c>
      <c r="C207" s="3" t="s">
        <v>62</v>
      </c>
      <c r="D207" s="3" t="s">
        <v>46</v>
      </c>
      <c r="E207" s="3" t="s">
        <v>1116</v>
      </c>
      <c r="F207" s="3" t="s">
        <v>1201</v>
      </c>
      <c r="G207" s="3" t="s">
        <v>1774</v>
      </c>
      <c r="H207" s="3" t="str">
        <f>HYPERLINK("http://www.jccm.es/sede/tramite/JSN","EXCEDENCIA VOLUNTARIA POR AGRUPACION FAMILIAR DE PERSONAL LABORAL")</f>
        <v>EXCEDENCIA VOLUNTARIA POR AGRUPACION FAMILIAR DE PERSONAL LABORAL</v>
      </c>
      <c r="I207" s="3" t="s">
        <v>42</v>
      </c>
      <c r="J207" s="3" t="s">
        <v>41</v>
      </c>
      <c r="K207" s="3" t="s">
        <v>42</v>
      </c>
      <c r="L207" s="3" t="s">
        <v>41</v>
      </c>
    </row>
    <row r="208" spans="1:12" ht="99.95" customHeight="1">
      <c r="A208" s="3" t="s">
        <v>1775</v>
      </c>
      <c r="B208" s="3" t="s">
        <v>1776</v>
      </c>
      <c r="C208" s="3" t="s">
        <v>62</v>
      </c>
      <c r="D208" s="3" t="s">
        <v>46</v>
      </c>
      <c r="E208" s="3" t="s">
        <v>1116</v>
      </c>
      <c r="F208" s="3" t="s">
        <v>1201</v>
      </c>
      <c r="G208" s="3" t="s">
        <v>1777</v>
      </c>
      <c r="H208" s="3" t="str">
        <f>HYPERLINK("http://www.jccm.es/sede/tramite/JSO","EXCEDENCIA FORZOSA DE PERSONAL LABORAL")</f>
        <v>EXCEDENCIA FORZOSA DE PERSONAL LABORAL</v>
      </c>
      <c r="I208" s="3" t="s">
        <v>42</v>
      </c>
      <c r="J208" s="3" t="s">
        <v>41</v>
      </c>
      <c r="K208" s="3" t="s">
        <v>42</v>
      </c>
      <c r="L208" s="3" t="s">
        <v>41</v>
      </c>
    </row>
    <row r="209" spans="1:12" ht="99.95" customHeight="1">
      <c r="A209" s="3" t="s">
        <v>1778</v>
      </c>
      <c r="B209" s="3" t="s">
        <v>1779</v>
      </c>
      <c r="C209" s="3" t="s">
        <v>62</v>
      </c>
      <c r="D209" s="3" t="s">
        <v>37</v>
      </c>
      <c r="E209" s="3" t="s">
        <v>1116</v>
      </c>
      <c r="F209" s="3" t="s">
        <v>1201</v>
      </c>
      <c r="G209" s="3" t="s">
        <v>1780</v>
      </c>
      <c r="H209" s="3" t="str">
        <f>HYPERLINK("http://www.jccm.es/sede/tramite/JSP","EXCEDENCIA POR CUIDADO DE FAMILIARES PERSONAL LABORAL")</f>
        <v>EXCEDENCIA POR CUIDADO DE FAMILIARES PERSONAL LABORAL</v>
      </c>
      <c r="I209" s="3" t="s">
        <v>42</v>
      </c>
      <c r="J209" s="3" t="s">
        <v>41</v>
      </c>
      <c r="K209" s="3" t="s">
        <v>42</v>
      </c>
      <c r="L209" s="3" t="s">
        <v>41</v>
      </c>
    </row>
    <row r="210" spans="1:12" ht="99.95" customHeight="1">
      <c r="A210" s="3" t="s">
        <v>1781</v>
      </c>
      <c r="B210" s="3" t="s">
        <v>1782</v>
      </c>
      <c r="C210" s="3" t="s">
        <v>62</v>
      </c>
      <c r="D210" s="3" t="s">
        <v>46</v>
      </c>
      <c r="E210" s="3" t="s">
        <v>1116</v>
      </c>
      <c r="F210" s="3" t="s">
        <v>1201</v>
      </c>
      <c r="G210" s="3" t="s">
        <v>1783</v>
      </c>
      <c r="H210" s="3" t="str">
        <f>HYPERLINK("http://www.jccm.es/sede/tramite/JSQ","EXCEDENCIA POR INCOMPATIBILIDAD PERSONAL LABORAL FIJO")</f>
        <v>EXCEDENCIA POR INCOMPATIBILIDAD PERSONAL LABORAL FIJO</v>
      </c>
      <c r="I210" s="3" t="s">
        <v>42</v>
      </c>
      <c r="J210" s="3" t="s">
        <v>41</v>
      </c>
      <c r="K210" s="3" t="s">
        <v>42</v>
      </c>
      <c r="L210" s="3" t="s">
        <v>41</v>
      </c>
    </row>
    <row r="211" spans="1:12" ht="99.95" customHeight="1">
      <c r="A211" s="3" t="s">
        <v>1784</v>
      </c>
      <c r="B211" s="3" t="s">
        <v>1785</v>
      </c>
      <c r="C211" s="3" t="s">
        <v>45</v>
      </c>
      <c r="D211" s="3" t="s">
        <v>46</v>
      </c>
      <c r="E211" s="3" t="s">
        <v>1116</v>
      </c>
      <c r="F211" s="3" t="s">
        <v>1201</v>
      </c>
      <c r="G211" s="3" t="s">
        <v>1786</v>
      </c>
      <c r="H211" s="3" t="str">
        <f>HYPERLINK("http://www.jccm.es/sede/tramite/JSR","JUBILACION VOLUNTARIA ANTICIPADA PERSONAL LABORAL")</f>
        <v>JUBILACION VOLUNTARIA ANTICIPADA PERSONAL LABORAL</v>
      </c>
      <c r="I211" s="3" t="s">
        <v>42</v>
      </c>
      <c r="J211" s="3" t="s">
        <v>41</v>
      </c>
      <c r="K211" s="3" t="s">
        <v>42</v>
      </c>
      <c r="L211" s="3" t="s">
        <v>41</v>
      </c>
    </row>
    <row r="212" spans="1:12" ht="99.95" customHeight="1">
      <c r="A212" s="3" t="s">
        <v>1787</v>
      </c>
      <c r="B212" s="3" t="s">
        <v>1788</v>
      </c>
      <c r="C212" s="3" t="s">
        <v>45</v>
      </c>
      <c r="D212" s="3" t="s">
        <v>95</v>
      </c>
      <c r="E212" s="3" t="s">
        <v>1116</v>
      </c>
      <c r="F212" s="3" t="s">
        <v>1201</v>
      </c>
      <c r="G212" s="3" t="s">
        <v>1789</v>
      </c>
      <c r="H212" s="3" t="str">
        <f>HYPERLINK("http://www.jccm.es/sede/tramite/JSS","JUBILACION PARCIAL DE PERSONAL LABORAL")</f>
        <v>JUBILACION PARCIAL DE PERSONAL LABORAL</v>
      </c>
      <c r="I212" s="3" t="s">
        <v>41</v>
      </c>
      <c r="J212" s="3" t="s">
        <v>41</v>
      </c>
      <c r="K212" s="3" t="s">
        <v>42</v>
      </c>
      <c r="L212" s="3" t="s">
        <v>41</v>
      </c>
    </row>
    <row r="213" spans="1:12" ht="99.95" customHeight="1">
      <c r="A213" s="3" t="s">
        <v>1790</v>
      </c>
      <c r="B213" s="3" t="s">
        <v>1791</v>
      </c>
      <c r="C213" s="3" t="s">
        <v>62</v>
      </c>
      <c r="D213" s="3" t="s">
        <v>46</v>
      </c>
      <c r="E213" s="3" t="s">
        <v>1116</v>
      </c>
      <c r="F213" s="3" t="s">
        <v>1201</v>
      </c>
      <c r="G213" s="3" t="s">
        <v>1792</v>
      </c>
      <c r="H213" s="3" t="str">
        <f>HYPERLINK("http://www.jccm.es/sede/tramite/F32","REGULARIZACION DE ANTIGUEDAD")</f>
        <v>REGULARIZACION DE ANTIGUEDAD</v>
      </c>
      <c r="I213" s="3" t="s">
        <v>41</v>
      </c>
      <c r="J213" s="3" t="s">
        <v>41</v>
      </c>
      <c r="K213" s="3" t="s">
        <v>42</v>
      </c>
      <c r="L213" s="3" t="s">
        <v>41</v>
      </c>
    </row>
    <row r="214" spans="1:12" ht="99.95" customHeight="1">
      <c r="A214" s="3" t="s">
        <v>1793</v>
      </c>
      <c r="B214" s="3" t="s">
        <v>1794</v>
      </c>
      <c r="C214" s="3" t="s">
        <v>1795</v>
      </c>
      <c r="D214" s="3" t="s">
        <v>95</v>
      </c>
      <c r="E214" s="3" t="s">
        <v>1116</v>
      </c>
      <c r="F214" s="3" t="s">
        <v>1201</v>
      </c>
      <c r="G214" s="3" t="s">
        <v>1796</v>
      </c>
      <c r="H214" s="3" t="str">
        <f>HYPERLINK("http://www.jccm.es/sede/tramite/JT9","OPCION Y SOLICITUD DE INFORME PARA EL CAMBIO DE CATEGORIA DERIVADO DE INCAPACIDAD PERMANENTE TOTAL")</f>
        <v>OPCION Y SOLICITUD DE INFORME PARA EL CAMBIO DE CATEGORIA DERIVADO DE INCAPACIDAD PERMANENTE TOTAL</v>
      </c>
      <c r="I214" s="3" t="s">
        <v>41</v>
      </c>
      <c r="J214" s="3" t="s">
        <v>41</v>
      </c>
      <c r="K214" s="3" t="s">
        <v>42</v>
      </c>
      <c r="L214" s="3" t="s">
        <v>41</v>
      </c>
    </row>
    <row r="215" spans="1:12" ht="99.95" customHeight="1">
      <c r="A215" s="3" t="s">
        <v>1797</v>
      </c>
      <c r="B215" s="3" t="s">
        <v>1798</v>
      </c>
      <c r="C215" s="3" t="s">
        <v>45</v>
      </c>
      <c r="D215" s="3" t="s">
        <v>37</v>
      </c>
      <c r="E215" s="3" t="s">
        <v>1116</v>
      </c>
      <c r="F215" s="3" t="s">
        <v>1117</v>
      </c>
      <c r="G215" s="3" t="s">
        <v>1799</v>
      </c>
      <c r="H215" s="3" t="str">
        <f>HYPERLINK("http://www.jccm.es/sede/tramite/J8H","ACUMULACION EN PUESTOS RESERVADOS A FUNCIONARIOS/AS CON HABILITACION DE CARACTER ESTATAL")</f>
        <v>ACUMULACION EN PUESTOS RESERVADOS A FUNCIONARIOS/AS CON HABILITACION DE CARACTER ESTATAL</v>
      </c>
      <c r="I215" s="3" t="s">
        <v>42</v>
      </c>
      <c r="J215" s="3" t="s">
        <v>41</v>
      </c>
      <c r="K215" s="3" t="s">
        <v>42</v>
      </c>
      <c r="L215" s="3" t="s">
        <v>41</v>
      </c>
    </row>
    <row r="216" spans="1:12" ht="99.95" customHeight="1">
      <c r="A216" s="3" t="s">
        <v>1800</v>
      </c>
      <c r="B216" s="3" t="s">
        <v>1801</v>
      </c>
      <c r="C216" s="3" t="s">
        <v>1802</v>
      </c>
      <c r="D216" s="3" t="s">
        <v>46</v>
      </c>
      <c r="E216" s="3" t="s">
        <v>1116</v>
      </c>
      <c r="F216" s="3" t="s">
        <v>1286</v>
      </c>
      <c r="G216" s="3" t="s">
        <v>1803</v>
      </c>
      <c r="H216" s="3" t="str">
        <f>HYPERLINK("http://www.jccm.es/sede/tramite/JUG","CONVOCATORIA PARA LA PROVISION POR EL PROCEDIMIENTO DE CONCURSO SINGULARIZADO DE MERITOS (CSM HAC-AAPP 1/2022)")</f>
        <v>CONVOCATORIA PARA LA PROVISION POR EL PROCEDIMIENTO DE CONCURSO SINGULARIZADO DE MERITOS (CSM HAC-AAPP 1/2022)</v>
      </c>
      <c r="I216" s="3" t="s">
        <v>41</v>
      </c>
      <c r="J216" s="3" t="s">
        <v>41</v>
      </c>
      <c r="K216" s="3" t="s">
        <v>42</v>
      </c>
      <c r="L216" s="3" t="s">
        <v>41</v>
      </c>
    </row>
    <row r="217" spans="1:12" ht="99.95" customHeight="1">
      <c r="A217" s="3" t="s">
        <v>1804</v>
      </c>
      <c r="B217" s="3" t="s">
        <v>1805</v>
      </c>
      <c r="C217" s="3" t="s">
        <v>62</v>
      </c>
      <c r="D217" s="3" t="s">
        <v>46</v>
      </c>
      <c r="E217" s="3" t="s">
        <v>1116</v>
      </c>
      <c r="F217" s="3" t="s">
        <v>1201</v>
      </c>
      <c r="G217" s="3" t="s">
        <v>1806</v>
      </c>
      <c r="H217" s="3" t="str">
        <f>HYPERLINK("http://www.jccm.es/sede/tramite/JV3","EXCEDENCIA VOLUNTARIA ESPECIAL DE PERSONAL FUNCIONARIO DE CARRERA")</f>
        <v>EXCEDENCIA VOLUNTARIA ESPECIAL DE PERSONAL FUNCIONARIO DE CARRERA</v>
      </c>
      <c r="I217" s="3" t="s">
        <v>42</v>
      </c>
      <c r="J217" s="3" t="s">
        <v>41</v>
      </c>
      <c r="K217" s="3" t="s">
        <v>42</v>
      </c>
      <c r="L217" s="3" t="s">
        <v>41</v>
      </c>
    </row>
    <row r="218" spans="1:12" ht="99.95" customHeight="1">
      <c r="A218" s="3" t="s">
        <v>1807</v>
      </c>
      <c r="B218" s="3" t="s">
        <v>1808</v>
      </c>
      <c r="C218" s="3" t="s">
        <v>45</v>
      </c>
      <c r="D218" s="3" t="s">
        <v>46</v>
      </c>
      <c r="E218" s="3" t="s">
        <v>1116</v>
      </c>
      <c r="F218" s="3" t="s">
        <v>1201</v>
      </c>
      <c r="G218" s="3" t="s">
        <v>1809</v>
      </c>
      <c r="H218" s="3" t="str">
        <f>HYPERLINK("http://www.jccm.es/sede/tramite/JWS","PROCEDIMIENTO DE CAMBIO DEL PUESTO DE TRABAJO POR RAZONES DE SALUD Y POSIBILIDAD DE REHABILITACION DEL CONYUGE, PAREJA DE HECHO O FAMILIARES A CARGO PERSONAL FUNCIONARIO")</f>
        <v>PROCEDIMIENTO DE CAMBIO DEL PUESTO DE TRABAJO POR RAZONES DE SALUD Y POSIBILIDAD DE REHABILITACION DEL CONYUGE, PAREJA DE HECHO O FAMILIARES A CARGO PERSONAL FUNCIONARIO</v>
      </c>
      <c r="I218" s="3" t="s">
        <v>42</v>
      </c>
      <c r="J218" s="3" t="s">
        <v>41</v>
      </c>
      <c r="K218" s="3" t="s">
        <v>42</v>
      </c>
      <c r="L218" s="3" t="s">
        <v>41</v>
      </c>
    </row>
    <row r="219" spans="1:12" ht="99.95" customHeight="1">
      <c r="A219" s="3" t="s">
        <v>1810</v>
      </c>
      <c r="B219" s="3" t="s">
        <v>1811</v>
      </c>
      <c r="C219" s="3" t="s">
        <v>45</v>
      </c>
      <c r="D219" s="3" t="s">
        <v>95</v>
      </c>
      <c r="E219" s="3" t="s">
        <v>1116</v>
      </c>
      <c r="F219" s="3" t="s">
        <v>1201</v>
      </c>
      <c r="G219" s="3" t="s">
        <v>1812</v>
      </c>
      <c r="H219" s="3" t="str">
        <f>HYPERLINK("http://www.jccm.es/sede/tramite/JWT","PROCEDIMIENTO DE CAMBIO DEL PUESTO DE TRABAJO POR RAZONES DE SALUD Y POSIBILIDAD DE REHABILITACION DEL CONYUGE, PAREJA DE HECHO O FAMILIARES A CARGO PERSONAL LABORAL")</f>
        <v>PROCEDIMIENTO DE CAMBIO DEL PUESTO DE TRABAJO POR RAZONES DE SALUD Y POSIBILIDAD DE REHABILITACION DEL CONYUGE, PAREJA DE HECHO O FAMILIARES A CARGO PERSONAL LABORAL</v>
      </c>
      <c r="I219" s="3" t="s">
        <v>42</v>
      </c>
      <c r="J219" s="3" t="s">
        <v>41</v>
      </c>
      <c r="K219" s="3" t="s">
        <v>42</v>
      </c>
      <c r="L219" s="3" t="s">
        <v>41</v>
      </c>
    </row>
    <row r="220" spans="1:12" ht="99.95" customHeight="1">
      <c r="A220" s="3" t="s">
        <v>1813</v>
      </c>
      <c r="B220" s="3" t="s">
        <v>1814</v>
      </c>
      <c r="C220" s="3" t="s">
        <v>45</v>
      </c>
      <c r="D220" s="3" t="s">
        <v>46</v>
      </c>
      <c r="E220" s="3" t="s">
        <v>1116</v>
      </c>
      <c r="F220" s="3" t="s">
        <v>1201</v>
      </c>
      <c r="G220" s="3" t="s">
        <v>1815</v>
      </c>
      <c r="H220" s="3" t="str">
        <f>HYPERLINK("http://www.jccm.es/sede/tramite/JWU","ADAPTACION O CAMBIO DE PUESTO DE TRABAJO POR MOTIVOS DE SALUD O REHABILITACION DEL PERSONAL FUNCIONARIO")</f>
        <v>ADAPTACION O CAMBIO DE PUESTO DE TRABAJO POR MOTIVOS DE SALUD O REHABILITACION DEL PERSONAL FUNCIONARIO</v>
      </c>
      <c r="I220" s="3" t="s">
        <v>42</v>
      </c>
      <c r="J220" s="3" t="s">
        <v>41</v>
      </c>
      <c r="K220" s="3" t="s">
        <v>42</v>
      </c>
      <c r="L220" s="3" t="s">
        <v>41</v>
      </c>
    </row>
    <row r="221" spans="1:12" ht="99.95" customHeight="1">
      <c r="A221" s="3" t="s">
        <v>1816</v>
      </c>
      <c r="B221" s="3" t="s">
        <v>1817</v>
      </c>
      <c r="C221" s="3" t="s">
        <v>45</v>
      </c>
      <c r="D221" s="3" t="s">
        <v>95</v>
      </c>
      <c r="E221" s="3" t="s">
        <v>1116</v>
      </c>
      <c r="F221" s="3" t="s">
        <v>1201</v>
      </c>
      <c r="G221" s="3" t="s">
        <v>1818</v>
      </c>
      <c r="H221" s="3" t="str">
        <f>HYPERLINK("http://www.jccm.es/sede/tramite/JWV","ADAPTACION O CAMBIO DE PUESTO DE TRABAJO POR MOTIVOS DE SALUD O REHABILITACION DEL PERSONAL LABORAL")</f>
        <v>ADAPTACION O CAMBIO DE PUESTO DE TRABAJO POR MOTIVOS DE SALUD O REHABILITACION DEL PERSONAL LABORAL</v>
      </c>
      <c r="I221" s="3" t="s">
        <v>42</v>
      </c>
      <c r="J221" s="3" t="s">
        <v>41</v>
      </c>
      <c r="K221" s="3" t="s">
        <v>42</v>
      </c>
      <c r="L221" s="3" t="s">
        <v>41</v>
      </c>
    </row>
    <row r="222" spans="1:12" ht="99.95" customHeight="1">
      <c r="A222" s="3" t="s">
        <v>1819</v>
      </c>
      <c r="B222" s="3" t="s">
        <v>1820</v>
      </c>
      <c r="C222" s="3" t="s">
        <v>1821</v>
      </c>
      <c r="D222" s="3" t="s">
        <v>95</v>
      </c>
      <c r="E222" s="3" t="s">
        <v>1116</v>
      </c>
      <c r="F222" s="3" t="s">
        <v>1201</v>
      </c>
      <c r="G222" s="3" t="s">
        <v>1822</v>
      </c>
      <c r="H222" s="3" t="str">
        <f>HYPERLINK("http://www.jccm.es/sede/tramite/JXQ","LICENCIA SIN SUELDO (PERSONAL LABORAL)")</f>
        <v>LICENCIA SIN SUELDO (PERSONAL LABORAL)</v>
      </c>
      <c r="I222" s="3" t="s">
        <v>42</v>
      </c>
      <c r="J222" s="3" t="s">
        <v>41</v>
      </c>
      <c r="K222" s="3" t="s">
        <v>42</v>
      </c>
      <c r="L222" s="3" t="s">
        <v>41</v>
      </c>
    </row>
    <row r="223" spans="1:12" ht="99.95" customHeight="1">
      <c r="A223" s="3" t="s">
        <v>1823</v>
      </c>
      <c r="B223" s="3" t="s">
        <v>1824</v>
      </c>
      <c r="C223" s="3" t="s">
        <v>374</v>
      </c>
      <c r="D223" s="3" t="s">
        <v>37</v>
      </c>
      <c r="E223" s="3" t="s">
        <v>1116</v>
      </c>
      <c r="F223" s="3" t="s">
        <v>1201</v>
      </c>
      <c r="G223" s="3" t="s">
        <v>1825</v>
      </c>
      <c r="H223" s="3" t="str">
        <f>HYPERLINK("http://www.jccm.es/sede/tramite/F55","LICENCIA POR ASUNTOS PROPIOS (PERSONAL FUNCIONARIO)")</f>
        <v>LICENCIA POR ASUNTOS PROPIOS (PERSONAL FUNCIONARIO)</v>
      </c>
      <c r="I223" s="3" t="s">
        <v>42</v>
      </c>
      <c r="J223" s="3" t="s">
        <v>41</v>
      </c>
      <c r="K223" s="3" t="s">
        <v>42</v>
      </c>
      <c r="L223" s="3" t="s">
        <v>41</v>
      </c>
    </row>
    <row r="224" spans="1:12" ht="99.95" customHeight="1">
      <c r="A224" s="3" t="s">
        <v>1826</v>
      </c>
      <c r="B224" s="3" t="s">
        <v>1827</v>
      </c>
      <c r="C224" s="3" t="s">
        <v>51</v>
      </c>
      <c r="D224" s="3" t="s">
        <v>46</v>
      </c>
      <c r="E224" s="3" t="s">
        <v>1116</v>
      </c>
      <c r="F224" s="3" t="s">
        <v>1201</v>
      </c>
      <c r="G224" s="3" t="s">
        <v>1828</v>
      </c>
      <c r="H224" s="3" t="str">
        <f>HYPERLINK("http://www.jccm.es/sede/tramite/JZ4","JUBILACION VOLUNTARIA DE CLASES PASIVAS DEL ESTADO")</f>
        <v>JUBILACION VOLUNTARIA DE CLASES PASIVAS DEL ESTADO</v>
      </c>
      <c r="I224" s="3" t="s">
        <v>42</v>
      </c>
      <c r="J224" s="3" t="s">
        <v>41</v>
      </c>
      <c r="K224" s="3" t="s">
        <v>42</v>
      </c>
      <c r="L224" s="3" t="s">
        <v>41</v>
      </c>
    </row>
    <row r="225" spans="1:12" ht="99.95" customHeight="1">
      <c r="A225" s="3" t="s">
        <v>1829</v>
      </c>
      <c r="B225" s="3" t="s">
        <v>1830</v>
      </c>
      <c r="C225" s="3" t="s">
        <v>1831</v>
      </c>
      <c r="D225" s="3" t="s">
        <v>46</v>
      </c>
      <c r="E225" s="3" t="s">
        <v>1116</v>
      </c>
      <c r="F225" s="3" t="s">
        <v>1201</v>
      </c>
      <c r="G225" s="3" t="s">
        <v>1832</v>
      </c>
      <c r="H225" s="3" t="str">
        <f>HYPERLINK("http://www.jccm.es/sede/tramite/G35","CONCURSO DE TRASLADOS DE PERSONAL LABORAL")</f>
        <v>CONCURSO DE TRASLADOS DE PERSONAL LABORAL</v>
      </c>
      <c r="I225" s="3" t="s">
        <v>41</v>
      </c>
      <c r="J225" s="3" t="s">
        <v>41</v>
      </c>
      <c r="K225" s="3" t="s">
        <v>42</v>
      </c>
      <c r="L225" s="3" t="s">
        <v>41</v>
      </c>
    </row>
    <row r="226" spans="1:12" ht="99.95" customHeight="1">
      <c r="A226" s="3" t="s">
        <v>1833</v>
      </c>
      <c r="B226" s="3" t="s">
        <v>1834</v>
      </c>
      <c r="C226" s="3" t="s">
        <v>45</v>
      </c>
      <c r="D226" s="3" t="s">
        <v>46</v>
      </c>
      <c r="E226" s="3" t="s">
        <v>1116</v>
      </c>
      <c r="F226" s="3" t="s">
        <v>1117</v>
      </c>
      <c r="G226" s="3" t="s">
        <v>1835</v>
      </c>
      <c r="H226" s="3" t="str">
        <f>HYPERLINK("http://www.jccm.es/sede/tramite/649","PRELACION CONCURSO ORDINARIO HABILITADOS ESTATALES")</f>
        <v>PRELACION CONCURSO ORDINARIO HABILITADOS ESTATALES</v>
      </c>
      <c r="I226" s="3" t="s">
        <v>42</v>
      </c>
      <c r="J226" s="3" t="s">
        <v>41</v>
      </c>
      <c r="K226" s="3" t="s">
        <v>42</v>
      </c>
      <c r="L226" s="3" t="s">
        <v>41</v>
      </c>
    </row>
    <row r="227" spans="1:12" ht="99.95" customHeight="1">
      <c r="A227" s="3" t="s">
        <v>1836</v>
      </c>
      <c r="B227" s="3" t="s">
        <v>1837</v>
      </c>
      <c r="C227" s="3" t="s">
        <v>45</v>
      </c>
      <c r="D227" s="3" t="s">
        <v>46</v>
      </c>
      <c r="E227" s="3" t="s">
        <v>1116</v>
      </c>
      <c r="F227" s="3" t="s">
        <v>1201</v>
      </c>
      <c r="G227" s="3" t="s">
        <v>1838</v>
      </c>
      <c r="H227" s="3" t="str">
        <f>HYPERLINK("http://www.jccm.es/sede/tramite/K32","ANTICIPO NOMINA PERSONAL FUNCIONARIO")</f>
        <v>ANTICIPO NOMINA PERSONAL FUNCIONARIO</v>
      </c>
      <c r="I227" s="3" t="s">
        <v>42</v>
      </c>
      <c r="J227" s="3" t="s">
        <v>41</v>
      </c>
      <c r="K227" s="3" t="s">
        <v>42</v>
      </c>
      <c r="L227" s="3" t="s">
        <v>41</v>
      </c>
    </row>
    <row r="228" spans="1:12" ht="99.95" customHeight="1">
      <c r="A228" s="3" t="s">
        <v>1839</v>
      </c>
      <c r="B228" s="3" t="s">
        <v>1840</v>
      </c>
      <c r="C228" s="3" t="s">
        <v>45</v>
      </c>
      <c r="D228" s="3" t="s">
        <v>95</v>
      </c>
      <c r="E228" s="3" t="s">
        <v>1116</v>
      </c>
      <c r="F228" s="3" t="s">
        <v>1201</v>
      </c>
      <c r="G228" s="3" t="s">
        <v>1841</v>
      </c>
      <c r="H228" s="3" t="str">
        <f>HYPERLINK("http://www.jccm.es/sede/tramite/K33","ANTICIPO NOMINA PERSONAL LABORAL")</f>
        <v>ANTICIPO NOMINA PERSONAL LABORAL</v>
      </c>
      <c r="I228" s="3" t="s">
        <v>42</v>
      </c>
      <c r="J228" s="3" t="s">
        <v>41</v>
      </c>
      <c r="K228" s="3" t="s">
        <v>42</v>
      </c>
      <c r="L228" s="3" t="s">
        <v>41</v>
      </c>
    </row>
    <row r="229" spans="1:12" ht="99.95" customHeight="1">
      <c r="A229" s="3" t="s">
        <v>1842</v>
      </c>
      <c r="B229" s="3" t="s">
        <v>1843</v>
      </c>
      <c r="C229" s="3" t="s">
        <v>45</v>
      </c>
      <c r="D229" s="3" t="s">
        <v>46</v>
      </c>
      <c r="E229" s="3" t="s">
        <v>1116</v>
      </c>
      <c r="F229" s="3" t="s">
        <v>1201</v>
      </c>
      <c r="G229" s="3" t="s">
        <v>1844</v>
      </c>
      <c r="H229" s="3" t="str">
        <f>HYPERLINK("http://www.jccm.es/sede/tramite/K3M","EXCEDENCIA VOLUNTARIA ESPECIAL DE PERSONAL LABORAL")</f>
        <v>EXCEDENCIA VOLUNTARIA ESPECIAL DE PERSONAL LABORAL</v>
      </c>
      <c r="I229" s="3" t="s">
        <v>42</v>
      </c>
      <c r="J229" s="3" t="s">
        <v>41</v>
      </c>
      <c r="K229" s="3" t="s">
        <v>42</v>
      </c>
      <c r="L229" s="3" t="s">
        <v>41</v>
      </c>
    </row>
    <row r="230" spans="1:12" ht="99.95" customHeight="1">
      <c r="A230" s="3" t="s">
        <v>1845</v>
      </c>
      <c r="B230" s="3" t="s">
        <v>1846</v>
      </c>
      <c r="C230" s="3" t="s">
        <v>45</v>
      </c>
      <c r="D230" s="3" t="s">
        <v>37</v>
      </c>
      <c r="E230" s="3" t="s">
        <v>1116</v>
      </c>
      <c r="F230" s="3" t="s">
        <v>1201</v>
      </c>
      <c r="G230" s="3" t="s">
        <v>1847</v>
      </c>
      <c r="H230" s="3" t="str">
        <f>HYPERLINK("http://www.jccm.es/sede/tramite/K61","ANULACION CONCURSO TRASLADOS PERSONAL LABORAL")</f>
        <v>ANULACION CONCURSO TRASLADOS PERSONAL LABORAL</v>
      </c>
      <c r="I230" s="3" t="s">
        <v>41</v>
      </c>
      <c r="J230" s="3" t="s">
        <v>41</v>
      </c>
      <c r="K230" s="3" t="s">
        <v>42</v>
      </c>
      <c r="L230" s="3" t="s">
        <v>41</v>
      </c>
    </row>
    <row r="231" spans="1:12" ht="99.95" customHeight="1">
      <c r="A231" s="3" t="s">
        <v>1848</v>
      </c>
      <c r="B231" s="3" t="s">
        <v>1849</v>
      </c>
      <c r="C231" s="3" t="s">
        <v>1850</v>
      </c>
      <c r="D231" s="3" t="s">
        <v>46</v>
      </c>
      <c r="E231" s="3" t="s">
        <v>1116</v>
      </c>
      <c r="F231" s="3" t="s">
        <v>1201</v>
      </c>
      <c r="G231" s="3" t="s">
        <v>1851</v>
      </c>
      <c r="H231" s="3" t="str">
        <f>HYPERLINK("http://www.jccm.es/sede/tramite/IK7","PARTICIPACION EN CONCURSO GENERAL DE MERITOS (CGM F7/2021) PARA PROVISION DE PUESTOS DE TRABAJO VACANTES EN LA JCCM RESERVADOS A LA ESCALA SUPERIOR DE SANITARIOS LOCALES (VETERINARIA Y FARMACIA)")</f>
        <v>PARTICIPACION EN CONCURSO GENERAL DE MERITOS (CGM F7/2021) PARA PROVISION DE PUESTOS DE TRABAJO VACANTES EN LA JCCM RESERVADOS A LA ESCALA SUPERIOR DE SANITARIOS LOCALES (VETERINARIA Y FARMACIA)</v>
      </c>
      <c r="I231" s="3" t="s">
        <v>41</v>
      </c>
      <c r="J231" s="3" t="s">
        <v>41</v>
      </c>
      <c r="K231" s="3" t="s">
        <v>42</v>
      </c>
      <c r="L231" s="3" t="s">
        <v>41</v>
      </c>
    </row>
    <row r="232" spans="1:12" ht="99.95" customHeight="1">
      <c r="A232" s="3" t="s">
        <v>1852</v>
      </c>
      <c r="B232" s="3" t="s">
        <v>1853</v>
      </c>
      <c r="C232" s="3" t="s">
        <v>327</v>
      </c>
      <c r="D232" s="3" t="s">
        <v>46</v>
      </c>
      <c r="E232" s="3" t="s">
        <v>1116</v>
      </c>
      <c r="F232" s="3" t="s">
        <v>1201</v>
      </c>
      <c r="G232" s="3" t="s">
        <v>1854</v>
      </c>
      <c r="H232" s="3" t="str">
        <f>HYPERLINK("http://www.jccm.es/sede/tramite/K8N","CONVOCATORIA CONCURSO ESCALA SUPERIOR DE LETRADOS")</f>
        <v>CONVOCATORIA CONCURSO ESCALA SUPERIOR DE LETRADOS</v>
      </c>
      <c r="I232" s="3" t="s">
        <v>41</v>
      </c>
      <c r="J232" s="3" t="s">
        <v>41</v>
      </c>
      <c r="K232" s="3" t="s">
        <v>42</v>
      </c>
      <c r="L232" s="3" t="s">
        <v>41</v>
      </c>
    </row>
    <row r="233" spans="1:12" ht="99.95" customHeight="1">
      <c r="A233" s="3" t="s">
        <v>1855</v>
      </c>
      <c r="B233" s="3" t="s">
        <v>1856</v>
      </c>
      <c r="C233" s="3" t="s">
        <v>45</v>
      </c>
      <c r="D233" s="3" t="s">
        <v>46</v>
      </c>
      <c r="E233" s="3" t="s">
        <v>1116</v>
      </c>
      <c r="F233" s="3" t="s">
        <v>1201</v>
      </c>
      <c r="G233" s="3" t="s">
        <v>1857</v>
      </c>
      <c r="H233" s="3" t="str">
        <f>HYPERLINK("http://www.jccm.es/sede/tramite/K9U","REINGRESO DE PERSONAL LABORAL CON RESERVA DE PUESTO")</f>
        <v>REINGRESO DE PERSONAL LABORAL CON RESERVA DE PUESTO</v>
      </c>
      <c r="I233" s="3" t="s">
        <v>41</v>
      </c>
      <c r="J233" s="3" t="s">
        <v>41</v>
      </c>
      <c r="K233" s="3" t="s">
        <v>42</v>
      </c>
      <c r="L233" s="3" t="s">
        <v>41</v>
      </c>
    </row>
    <row r="234" spans="1:12" ht="99.95" customHeight="1">
      <c r="A234" s="3" t="s">
        <v>1858</v>
      </c>
      <c r="B234" s="3" t="s">
        <v>1859</v>
      </c>
      <c r="C234" s="3" t="s">
        <v>1860</v>
      </c>
      <c r="D234" s="3" t="s">
        <v>46</v>
      </c>
      <c r="E234" s="3" t="s">
        <v>1116</v>
      </c>
      <c r="F234" s="3" t="s">
        <v>1201</v>
      </c>
      <c r="G234" s="3" t="s">
        <v>1861</v>
      </c>
      <c r="H234" s="3" t="str">
        <f>HYPERLINK("http://www.jccm.es/sede/tramite/K9Y","CONVOCATORIA DEL MASTER EN ETICA Y DEONTOLOGIA DE LOS SERVIDORES PUBLICOS: PRINCIPIOS FUNDAMENTALES EN LA DIRECCION PUBLICA")</f>
        <v>CONVOCATORIA DEL MASTER EN ETICA Y DEONTOLOGIA DE LOS SERVIDORES PUBLICOS: PRINCIPIOS FUNDAMENTALES EN LA DIRECCION PUBLICA</v>
      </c>
      <c r="I234" s="3" t="s">
        <v>41</v>
      </c>
      <c r="J234" s="3" t="s">
        <v>41</v>
      </c>
      <c r="K234" s="3" t="s">
        <v>42</v>
      </c>
      <c r="L234" s="3" t="s">
        <v>41</v>
      </c>
    </row>
    <row r="235" spans="1:12" ht="99.95" customHeight="1">
      <c r="A235" s="3" t="s">
        <v>1862</v>
      </c>
      <c r="B235" s="3" t="s">
        <v>1863</v>
      </c>
      <c r="C235" s="3" t="s">
        <v>327</v>
      </c>
      <c r="D235" s="3" t="s">
        <v>46</v>
      </c>
      <c r="E235" s="3" t="s">
        <v>1116</v>
      </c>
      <c r="F235" s="3" t="s">
        <v>1201</v>
      </c>
      <c r="G235" s="3" t="s">
        <v>1864</v>
      </c>
      <c r="H235" s="3" t="str">
        <f>HYPERLINK("http://www.jccm.es/sede/tramite/KAN","CONVOCATORIA CONCURSO ESCALA SUPERIOR DE PREVENCION DE RIESGOS LABORALES, TECNICA DE PREVENCION DE RIESGOS LABORALES Y ADMINISTRATIVA DE PREVENCION DE RIESGOS LABORALES DE LA JCCM")</f>
        <v>CONVOCATORIA CONCURSO ESCALA SUPERIOR DE PREVENCION DE RIESGOS LABORALES, TECNICA DE PREVENCION DE RIESGOS LABORALES Y ADMINISTRATIVA DE PREVENCION DE RIESGOS LABORALES DE LA JCCM</v>
      </c>
      <c r="I235" s="3" t="s">
        <v>42</v>
      </c>
      <c r="J235" s="3" t="s">
        <v>41</v>
      </c>
      <c r="K235" s="3" t="s">
        <v>42</v>
      </c>
      <c r="L235" s="3" t="s">
        <v>41</v>
      </c>
    </row>
    <row r="236" spans="1:12" ht="99.95" customHeight="1">
      <c r="A236" s="3" t="s">
        <v>1865</v>
      </c>
      <c r="B236" s="3" t="s">
        <v>1866</v>
      </c>
      <c r="C236" s="3" t="s">
        <v>232</v>
      </c>
      <c r="D236" s="3" t="s">
        <v>46</v>
      </c>
      <c r="E236" s="3" t="s">
        <v>1116</v>
      </c>
      <c r="F236" s="3" t="s">
        <v>1201</v>
      </c>
      <c r="G236" s="3" t="s">
        <v>1867</v>
      </c>
      <c r="H236" s="3" t="str">
        <f>HYPERLINK("http://www.jccm.es/sede/tramite/IWR","CONCURSO ESCALA TECNICA SOCIOSANITARIA.")</f>
        <v>CONCURSO ESCALA TECNICA SOCIOSANITARIA.</v>
      </c>
      <c r="I236" s="3" t="s">
        <v>41</v>
      </c>
      <c r="J236" s="3" t="s">
        <v>41</v>
      </c>
      <c r="K236" s="3" t="s">
        <v>42</v>
      </c>
      <c r="L236" s="3" t="s">
        <v>41</v>
      </c>
    </row>
    <row r="237" spans="1:12" ht="99.95" customHeight="1">
      <c r="A237" s="3" t="s">
        <v>1868</v>
      </c>
      <c r="B237" s="3" t="s">
        <v>1869</v>
      </c>
      <c r="C237" s="3" t="s">
        <v>45</v>
      </c>
      <c r="D237" s="3" t="s">
        <v>46</v>
      </c>
      <c r="E237" s="3" t="s">
        <v>1116</v>
      </c>
      <c r="F237" s="3" t="s">
        <v>1201</v>
      </c>
      <c r="G237" s="3" t="s">
        <v>1870</v>
      </c>
      <c r="H237" s="3" t="str">
        <f>HYPERLINK("http://www.jccm.es/sede/tramite/KC9","JUBILACION VOLUNTARIA ANTICIPADA DE TRABAJADORES LABORALES CON  DISCAPACIDAD")</f>
        <v>JUBILACION VOLUNTARIA ANTICIPADA DE TRABAJADORES LABORALES CON  DISCAPACIDAD</v>
      </c>
      <c r="I237" s="3" t="s">
        <v>41</v>
      </c>
      <c r="J237" s="3" t="s">
        <v>41</v>
      </c>
      <c r="K237" s="3" t="s">
        <v>42</v>
      </c>
      <c r="L237" s="3" t="s">
        <v>41</v>
      </c>
    </row>
    <row r="238" spans="1:12" ht="99.95" customHeight="1">
      <c r="A238" s="3" t="s">
        <v>1871</v>
      </c>
      <c r="B238" s="3" t="s">
        <v>1872</v>
      </c>
      <c r="C238" s="3" t="s">
        <v>45</v>
      </c>
      <c r="D238" s="3" t="s">
        <v>46</v>
      </c>
      <c r="E238" s="3" t="s">
        <v>1116</v>
      </c>
      <c r="F238" s="3" t="s">
        <v>1201</v>
      </c>
      <c r="G238" s="3" t="s">
        <v>1873</v>
      </c>
      <c r="H238" s="3" t="str">
        <f>HYPERLINK("http://www.jccm.es/sede/tramite/KCA","JUBILACION ESPECIAL PERSONAL LABORAL A LOS 64 AÑOS")</f>
        <v>JUBILACION ESPECIAL PERSONAL LABORAL A LOS 64 AÑOS</v>
      </c>
      <c r="I238" s="3" t="s">
        <v>41</v>
      </c>
      <c r="J238" s="3" t="s">
        <v>41</v>
      </c>
      <c r="K238" s="3" t="s">
        <v>42</v>
      </c>
      <c r="L238" s="3" t="s">
        <v>41</v>
      </c>
    </row>
    <row r="239" spans="1:12" ht="99.95" customHeight="1">
      <c r="A239" s="3" t="s">
        <v>1874</v>
      </c>
      <c r="B239" s="3" t="s">
        <v>1875</v>
      </c>
      <c r="C239" s="3" t="s">
        <v>327</v>
      </c>
      <c r="D239" s="3" t="s">
        <v>46</v>
      </c>
      <c r="E239" s="3" t="s">
        <v>1116</v>
      </c>
      <c r="F239" s="3" t="s">
        <v>1201</v>
      </c>
      <c r="G239" s="3" t="s">
        <v>1876</v>
      </c>
      <c r="H239" s="3" t="str">
        <f>HYPERLINK("http://www.jccm.es/sede/tramite/KCO","CONVOCATORIA CONCURSO ESCALA INFORMATICA")</f>
        <v>CONVOCATORIA CONCURSO ESCALA INFORMATICA</v>
      </c>
      <c r="I239" s="3" t="s">
        <v>42</v>
      </c>
      <c r="J239" s="3" t="s">
        <v>41</v>
      </c>
      <c r="K239" s="3" t="s">
        <v>42</v>
      </c>
      <c r="L239" s="3" t="s">
        <v>41</v>
      </c>
    </row>
    <row r="240" spans="1:12" ht="99.95" customHeight="1">
      <c r="A240" s="3" t="s">
        <v>1877</v>
      </c>
      <c r="B240" s="3" t="s">
        <v>1878</v>
      </c>
      <c r="C240" s="3" t="s">
        <v>51</v>
      </c>
      <c r="D240" s="3" t="s">
        <v>46</v>
      </c>
      <c r="E240" s="3" t="s">
        <v>1116</v>
      </c>
      <c r="F240" s="3" t="s">
        <v>1201</v>
      </c>
      <c r="G240" s="3" t="s">
        <v>1879</v>
      </c>
      <c r="H240" s="3" t="str">
        <f>HYPERLINK("http://www.jccm.es/sede/tramite/KYS","RECONOCIMIENTO DE COMPATIBILIDAD PARA EL EJERCICIO DE ACTIVIDADES PRIVADAS")</f>
        <v>RECONOCIMIENTO DE COMPATIBILIDAD PARA EL EJERCICIO DE ACTIVIDADES PRIVADAS</v>
      </c>
      <c r="I240" s="3" t="s">
        <v>41</v>
      </c>
      <c r="J240" s="3" t="s">
        <v>41</v>
      </c>
      <c r="K240" s="3" t="s">
        <v>42</v>
      </c>
      <c r="L240" s="3" t="s">
        <v>41</v>
      </c>
    </row>
    <row r="241" spans="1:12" ht="99.95" customHeight="1">
      <c r="A241" s="3" t="s">
        <v>1880</v>
      </c>
      <c r="B241" s="3" t="s">
        <v>1881</v>
      </c>
      <c r="C241" s="3" t="s">
        <v>1882</v>
      </c>
      <c r="D241" s="3" t="s">
        <v>46</v>
      </c>
      <c r="E241" s="3" t="s">
        <v>1116</v>
      </c>
      <c r="F241" s="3" t="s">
        <v>1387</v>
      </c>
      <c r="G241" s="3" t="s">
        <v>1883</v>
      </c>
      <c r="H241" s="3" t="str">
        <f>HYPERLINK("http://www.jccm.es/sede/tramite/L94","CONVOCATORIA DE LA ACCION FORMATIVA CURSO EXPERTO EN TRIBUTACION Y ASESORIA FISCAL")</f>
        <v>CONVOCATORIA DE LA ACCION FORMATIVA CURSO EXPERTO EN TRIBUTACION Y ASESORIA FISCAL</v>
      </c>
      <c r="I241" s="3" t="s">
        <v>41</v>
      </c>
      <c r="J241" s="3" t="s">
        <v>41</v>
      </c>
      <c r="K241" s="3" t="s">
        <v>42</v>
      </c>
      <c r="L241" s="3" t="s">
        <v>41</v>
      </c>
    </row>
    <row r="242" spans="1:12" ht="99.95" customHeight="1">
      <c r="A242" s="3" t="s">
        <v>1884</v>
      </c>
      <c r="B242" s="3" t="s">
        <v>1885</v>
      </c>
      <c r="C242" s="3" t="s">
        <v>1886</v>
      </c>
      <c r="D242" s="3" t="s">
        <v>37</v>
      </c>
      <c r="E242" s="3" t="s">
        <v>1116</v>
      </c>
      <c r="F242" s="3" t="s">
        <v>1201</v>
      </c>
      <c r="G242" s="3" t="s">
        <v>1887</v>
      </c>
      <c r="H242" s="3" t="str">
        <f>HYPERLINK("http://www.jccm.es/sede/tramite/LB6","SUSPENSION DE CONTRATO DE TRABAJO POR ACTIVACION DE RESERVISTAS.")</f>
        <v>SUSPENSION DE CONTRATO DE TRABAJO POR ACTIVACION DE RESERVISTAS.</v>
      </c>
      <c r="I242" s="3" t="s">
        <v>41</v>
      </c>
      <c r="J242" s="3" t="s">
        <v>41</v>
      </c>
      <c r="K242" s="3" t="s">
        <v>42</v>
      </c>
      <c r="L242" s="3" t="s">
        <v>41</v>
      </c>
    </row>
    <row r="243" spans="1:12" ht="99.95" customHeight="1">
      <c r="A243" s="3" t="s">
        <v>1888</v>
      </c>
      <c r="B243" s="3" t="s">
        <v>1889</v>
      </c>
      <c r="C243" s="3" t="s">
        <v>95</v>
      </c>
      <c r="D243" s="3" t="s">
        <v>95</v>
      </c>
      <c r="E243" s="3" t="s">
        <v>1116</v>
      </c>
      <c r="F243" s="3" t="s">
        <v>1201</v>
      </c>
      <c r="G243" s="3" t="s">
        <v>1890</v>
      </c>
      <c r="H243" s="3" t="str">
        <f>HYPERLINK("http://www.jccm.es/sede/tramite/LBR","COMUNICACION DE DATOS AL PAGADOR. MODELO 145 DE LA AGENCIA TRIBUTARIA.")</f>
        <v>COMUNICACION DE DATOS AL PAGADOR. MODELO 145 DE LA AGENCIA TRIBUTARIA.</v>
      </c>
      <c r="I243" s="3" t="s">
        <v>41</v>
      </c>
      <c r="J243" s="3" t="s">
        <v>41</v>
      </c>
      <c r="K243" s="3" t="s">
        <v>42</v>
      </c>
      <c r="L243" s="3" t="s">
        <v>41</v>
      </c>
    </row>
    <row r="244" spans="1:12" ht="99.95" customHeight="1">
      <c r="A244" s="3" t="s">
        <v>1891</v>
      </c>
      <c r="B244" s="3" t="s">
        <v>1892</v>
      </c>
      <c r="C244" s="3" t="s">
        <v>62</v>
      </c>
      <c r="D244" s="3" t="s">
        <v>46</v>
      </c>
      <c r="E244" s="3" t="s">
        <v>1116</v>
      </c>
      <c r="F244" s="3" t="s">
        <v>1387</v>
      </c>
      <c r="G244" s="3" t="s">
        <v>1893</v>
      </c>
      <c r="H244" s="3" t="str">
        <f>HYPERLINK("http://www.jccm.es/sede/tramite/LCP","CONVOCATORIA  ACCION FORMATIVA CURSO PROPIO DE ESPECIALIZACION EN DERECHO ADMINISTRATIVO E INTELIGENCIA ARTIFICIAL")</f>
        <v>CONVOCATORIA  ACCION FORMATIVA CURSO PROPIO DE ESPECIALIZACION EN DERECHO ADMINISTRATIVO E INTELIGENCIA ARTIFICIAL</v>
      </c>
      <c r="I244" s="3" t="s">
        <v>41</v>
      </c>
      <c r="J244" s="3" t="s">
        <v>41</v>
      </c>
      <c r="K244" s="3" t="s">
        <v>42</v>
      </c>
      <c r="L244" s="3" t="s">
        <v>41</v>
      </c>
    </row>
    <row r="245" spans="1:12" ht="99.95" customHeight="1">
      <c r="A245" s="3" t="s">
        <v>1894</v>
      </c>
      <c r="B245" s="3" t="s">
        <v>1895</v>
      </c>
      <c r="C245" s="3" t="s">
        <v>45</v>
      </c>
      <c r="D245" s="3" t="s">
        <v>46</v>
      </c>
      <c r="E245" s="3" t="s">
        <v>1116</v>
      </c>
      <c r="F245" s="3" t="s">
        <v>1201</v>
      </c>
      <c r="G245" s="3" t="s">
        <v>1896</v>
      </c>
      <c r="H245" s="3" t="str">
        <f>HYPERLINK("http://www.jccm.es/sede/tramite/LEK","JUBILACION VOLUNTARIA ANTICIPADA DE PERSONAL LABORAL FIJO EN SITUACION DE JUBILACION PARCIAL")</f>
        <v>JUBILACION VOLUNTARIA ANTICIPADA DE PERSONAL LABORAL FIJO EN SITUACION DE JUBILACION PARCIAL</v>
      </c>
      <c r="I245" s="3" t="s">
        <v>41</v>
      </c>
      <c r="J245" s="3" t="s">
        <v>41</v>
      </c>
      <c r="K245" s="3" t="s">
        <v>42</v>
      </c>
      <c r="L245" s="3" t="s">
        <v>41</v>
      </c>
    </row>
    <row r="246" spans="1:12" ht="99.95" customHeight="1">
      <c r="A246" s="3" t="s">
        <v>1897</v>
      </c>
      <c r="B246" s="3" t="s">
        <v>1898</v>
      </c>
      <c r="C246" s="3" t="s">
        <v>1899</v>
      </c>
      <c r="D246" s="3" t="s">
        <v>95</v>
      </c>
      <c r="E246" s="3" t="s">
        <v>1116</v>
      </c>
      <c r="F246" s="3" t="s">
        <v>1201</v>
      </c>
      <c r="G246" s="3" t="s">
        <v>1900</v>
      </c>
      <c r="H246" s="3" t="str">
        <f>HYPERLINK("http://www.jccm.es/sede/tramite/LI5","COMUNICACION DE PRESUNTO ACOSO SEXUAL O POR RAZON DE SEXO AL PERSONAL DE ADMINISTRACION GENERAL DE LA JCCM Y SUS OOAA")</f>
        <v>COMUNICACION DE PRESUNTO ACOSO SEXUAL O POR RAZON DE SEXO AL PERSONAL DE ADMINISTRACION GENERAL DE LA JCCM Y SUS OOAA</v>
      </c>
      <c r="I246" s="3" t="s">
        <v>42</v>
      </c>
      <c r="J246" s="3" t="s">
        <v>41</v>
      </c>
      <c r="K246" s="3" t="s">
        <v>42</v>
      </c>
      <c r="L246" s="3" t="s">
        <v>41</v>
      </c>
    </row>
    <row r="247" spans="1:12" ht="99.95" customHeight="1">
      <c r="A247" s="3" t="s">
        <v>1901</v>
      </c>
      <c r="B247" s="3" t="s">
        <v>1902</v>
      </c>
      <c r="C247" s="3" t="s">
        <v>1903</v>
      </c>
      <c r="D247" s="3" t="s">
        <v>46</v>
      </c>
      <c r="E247" s="3" t="s">
        <v>1116</v>
      </c>
      <c r="F247" s="3" t="s">
        <v>1201</v>
      </c>
      <c r="G247" s="3" t="s">
        <v>1904</v>
      </c>
      <c r="H247" s="3" t="str">
        <f>HYPERLINK("http://www.jccm.es/sede/tramite/LR0","CONVOCATORIA CURSOS DE HABILITACION FUNCIONAL PARA EL PERSONAL LABORAL DE LA ADMINISTRACION DE LA JUNTA DE COMUNIDADES DE CASTILLA-LA MANCHA")</f>
        <v>CONVOCATORIA CURSOS DE HABILITACION FUNCIONAL PARA EL PERSONAL LABORAL DE LA ADMINISTRACION DE LA JUNTA DE COMUNIDADES DE CASTILLA-LA MANCHA</v>
      </c>
      <c r="I247" s="3" t="s">
        <v>41</v>
      </c>
      <c r="J247" s="3" t="s">
        <v>41</v>
      </c>
      <c r="K247" s="3" t="s">
        <v>42</v>
      </c>
      <c r="L247" s="3" t="s">
        <v>41</v>
      </c>
    </row>
    <row r="248" spans="1:12" ht="99.95" customHeight="1">
      <c r="A248" s="3" t="s">
        <v>1905</v>
      </c>
      <c r="B248" s="3" t="s">
        <v>1906</v>
      </c>
      <c r="C248" s="3" t="s">
        <v>1907</v>
      </c>
      <c r="D248" s="3" t="s">
        <v>46</v>
      </c>
      <c r="E248" s="3" t="s">
        <v>1116</v>
      </c>
      <c r="F248" s="3" t="s">
        <v>1387</v>
      </c>
      <c r="G248" s="3" t="s">
        <v>1908</v>
      </c>
      <c r="H248" s="3" t="str">
        <f>HYPERLINK("http://www.jccm.es/sede/tramite/LSW","CONVOCATORIA DE LA ACCION FORMATIVA  CURSO PROPIO ESPECIALIZACION EN UNION EUROPEA")</f>
        <v>CONVOCATORIA DE LA ACCION FORMATIVA  CURSO PROPIO ESPECIALIZACION EN UNION EUROPEA</v>
      </c>
      <c r="I248" s="3" t="s">
        <v>41</v>
      </c>
      <c r="J248" s="3" t="s">
        <v>41</v>
      </c>
      <c r="K248" s="3" t="s">
        <v>42</v>
      </c>
      <c r="L248" s="3" t="s">
        <v>41</v>
      </c>
    </row>
    <row r="249" spans="1:12" ht="99.95" customHeight="1">
      <c r="A249" s="3" t="s">
        <v>1909</v>
      </c>
      <c r="B249" s="3" t="s">
        <v>1910</v>
      </c>
      <c r="C249" s="3" t="s">
        <v>45</v>
      </c>
      <c r="D249" s="3" t="s">
        <v>46</v>
      </c>
      <c r="E249" s="3" t="s">
        <v>1116</v>
      </c>
      <c r="F249" s="3" t="s">
        <v>1201</v>
      </c>
      <c r="G249" s="3" t="s">
        <v>1911</v>
      </c>
      <c r="H249" s="3" t="str">
        <f>HYPERLINK("http://www.jccm.es/sede/tramite/JT1","CERTIFICADO PARA ADOPCION INTERNACIONAL")</f>
        <v>CERTIFICADO PARA ADOPCION INTERNACIONAL</v>
      </c>
      <c r="I249" s="3" t="s">
        <v>42</v>
      </c>
      <c r="J249" s="3" t="s">
        <v>41</v>
      </c>
      <c r="K249" s="3" t="s">
        <v>42</v>
      </c>
      <c r="L249" s="3" t="s">
        <v>41</v>
      </c>
    </row>
    <row r="250" spans="1:12" ht="99.95" customHeight="1">
      <c r="A250" s="3" t="s">
        <v>1912</v>
      </c>
      <c r="B250" s="3" t="s">
        <v>1913</v>
      </c>
      <c r="C250" s="3" t="s">
        <v>45</v>
      </c>
      <c r="D250" s="3" t="s">
        <v>46</v>
      </c>
      <c r="E250" s="3" t="s">
        <v>1116</v>
      </c>
      <c r="F250" s="3" t="s">
        <v>1201</v>
      </c>
      <c r="G250" s="3" t="s">
        <v>1914</v>
      </c>
      <c r="H250" s="3" t="str">
        <f>HYPERLINK("http://www.jccm.es/sede/tramite/JT0","OTROS CERTIFICADOS")</f>
        <v>OTROS CERTIFICADOS</v>
      </c>
      <c r="I250" s="3" t="s">
        <v>41</v>
      </c>
      <c r="J250" s="3" t="s">
        <v>41</v>
      </c>
      <c r="K250" s="3" t="s">
        <v>42</v>
      </c>
      <c r="L250" s="3" t="s">
        <v>41</v>
      </c>
    </row>
    <row r="251" spans="1:12" ht="99.95" customHeight="1">
      <c r="A251" s="3" t="s">
        <v>1915</v>
      </c>
      <c r="B251" s="3" t="s">
        <v>1916</v>
      </c>
      <c r="C251" s="3" t="s">
        <v>45</v>
      </c>
      <c r="D251" s="3" t="s">
        <v>46</v>
      </c>
      <c r="E251" s="3" t="s">
        <v>1116</v>
      </c>
      <c r="F251" s="3" t="s">
        <v>1201</v>
      </c>
      <c r="G251" s="3" t="s">
        <v>1917</v>
      </c>
      <c r="H251" s="3" t="str">
        <f>HYPERLINK("http://www.jccm.es/sede/tramite/JST","CERTIFICADO ACREDITATIVO DE LA PERCEPCION/NO PERCEPCION DE AYUDAS DEL PROGRAMA DE ACCION SOCIAL")</f>
        <v>CERTIFICADO ACREDITATIVO DE LA PERCEPCION/NO PERCEPCION DE AYUDAS DEL PROGRAMA DE ACCION SOCIAL</v>
      </c>
      <c r="I251" s="3" t="s">
        <v>42</v>
      </c>
      <c r="J251" s="3" t="s">
        <v>41</v>
      </c>
      <c r="K251" s="3" t="s">
        <v>42</v>
      </c>
      <c r="L251" s="3" t="s">
        <v>41</v>
      </c>
    </row>
    <row r="252" spans="1:12" ht="99.95" customHeight="1">
      <c r="A252" s="3" t="s">
        <v>1918</v>
      </c>
      <c r="B252" s="3" t="s">
        <v>1919</v>
      </c>
      <c r="C252" s="3" t="s">
        <v>45</v>
      </c>
      <c r="D252" s="3" t="s">
        <v>46</v>
      </c>
      <c r="E252" s="3" t="s">
        <v>1116</v>
      </c>
      <c r="F252" s="3" t="s">
        <v>1201</v>
      </c>
      <c r="G252" s="3" t="s">
        <v>1920</v>
      </c>
      <c r="H252" s="3" t="str">
        <f>HYPERLINK("http://www.jccm.es/sede/tramite/JSX","CERTIFICADO DE SERVICIOS PRESTADOS")</f>
        <v>CERTIFICADO DE SERVICIOS PRESTADOS</v>
      </c>
      <c r="I252" s="3" t="s">
        <v>41</v>
      </c>
      <c r="J252" s="3" t="s">
        <v>41</v>
      </c>
      <c r="K252" s="3" t="s">
        <v>42</v>
      </c>
      <c r="L252" s="3" t="s">
        <v>41</v>
      </c>
    </row>
    <row r="253" spans="1:12" ht="99.95" customHeight="1">
      <c r="A253" s="3" t="s">
        <v>1921</v>
      </c>
      <c r="B253" s="3" t="s">
        <v>1922</v>
      </c>
      <c r="C253" s="3" t="s">
        <v>45</v>
      </c>
      <c r="D253" s="3" t="s">
        <v>46</v>
      </c>
      <c r="E253" s="3" t="s">
        <v>1116</v>
      </c>
      <c r="F253" s="3" t="s">
        <v>1201</v>
      </c>
      <c r="G253" s="3" t="s">
        <v>1923</v>
      </c>
      <c r="H253" s="3" t="str">
        <f>HYPERLINK("http://www.jccm.es/sede/tramite/JSV","CAMBIO DE CUENTA BANCARIA EN NOMINA")</f>
        <v>CAMBIO DE CUENTA BANCARIA EN NOMINA</v>
      </c>
      <c r="I253" s="3" t="s">
        <v>42</v>
      </c>
      <c r="J253" s="3" t="s">
        <v>41</v>
      </c>
      <c r="K253" s="3" t="s">
        <v>42</v>
      </c>
      <c r="L253" s="3" t="s">
        <v>41</v>
      </c>
    </row>
    <row r="254" spans="1:12" ht="99.95" customHeight="1">
      <c r="A254" s="3" t="s">
        <v>1924</v>
      </c>
      <c r="B254" s="3" t="s">
        <v>1925</v>
      </c>
      <c r="C254" s="3" t="s">
        <v>45</v>
      </c>
      <c r="D254" s="3" t="s">
        <v>46</v>
      </c>
      <c r="E254" s="3" t="s">
        <v>1116</v>
      </c>
      <c r="F254" s="3" t="s">
        <v>1201</v>
      </c>
      <c r="G254" s="3" t="s">
        <v>1926</v>
      </c>
      <c r="H254" s="3" t="str">
        <f>HYPERLINK("http://www.jccm.es/sede/tramite/JSU","CAMBIO DE DOMICILIO")</f>
        <v>CAMBIO DE DOMICILIO</v>
      </c>
      <c r="I254" s="3" t="s">
        <v>42</v>
      </c>
      <c r="J254" s="3" t="s">
        <v>41</v>
      </c>
      <c r="K254" s="3" t="s">
        <v>42</v>
      </c>
      <c r="L254" s="3" t="s">
        <v>41</v>
      </c>
    </row>
    <row r="255" spans="1:12" ht="99.95" customHeight="1">
      <c r="A255" s="3" t="s">
        <v>1927</v>
      </c>
      <c r="B255" s="3" t="s">
        <v>1928</v>
      </c>
      <c r="C255" s="3" t="s">
        <v>62</v>
      </c>
      <c r="D255" s="3" t="s">
        <v>46</v>
      </c>
      <c r="E255" s="3" t="s">
        <v>1116</v>
      </c>
      <c r="F255" s="3" t="s">
        <v>1201</v>
      </c>
      <c r="G255" s="3" t="s">
        <v>1929</v>
      </c>
      <c r="H255" s="3" t="str">
        <f>HYPERLINK("http://www.jccm.es/sede/tramite/JSW","APLICACION EN NOMINA DE UN PORCENTAJE DE RETENCION POR IRPF SUPERIOR AL LEGAL")</f>
        <v>APLICACION EN NOMINA DE UN PORCENTAJE DE RETENCION POR IRPF SUPERIOR AL LEGAL</v>
      </c>
      <c r="I255" s="3" t="s">
        <v>42</v>
      </c>
      <c r="J255" s="3" t="s">
        <v>41</v>
      </c>
      <c r="K255" s="3" t="s">
        <v>42</v>
      </c>
      <c r="L255" s="3" t="s">
        <v>41</v>
      </c>
    </row>
    <row r="256" spans="1:12" ht="99.95" customHeight="1">
      <c r="A256" s="3" t="s">
        <v>1930</v>
      </c>
      <c r="B256" s="3" t="s">
        <v>1931</v>
      </c>
      <c r="C256" s="3" t="s">
        <v>62</v>
      </c>
      <c r="D256" s="3" t="s">
        <v>46</v>
      </c>
      <c r="E256" s="3" t="s">
        <v>1116</v>
      </c>
      <c r="F256" s="3" t="s">
        <v>1201</v>
      </c>
      <c r="G256" s="3" t="s">
        <v>1932</v>
      </c>
      <c r="H256" s="3" t="str">
        <f>HYPERLINK("http://www.jccm.es/sede/tramite/JZH","APLICACION EN NOMINA DEL PORCENTAJE DE RETENCION POR IRPF QUE LEGALMENTE CORRESPONDA")</f>
        <v>APLICACION EN NOMINA DEL PORCENTAJE DE RETENCION POR IRPF QUE LEGALMENTE CORRESPONDA</v>
      </c>
      <c r="I256" s="3" t="s">
        <v>42</v>
      </c>
      <c r="J256" s="3" t="s">
        <v>41</v>
      </c>
      <c r="K256" s="3" t="s">
        <v>42</v>
      </c>
      <c r="L256" s="3" t="s">
        <v>41</v>
      </c>
    </row>
    <row r="257" spans="1:12" ht="99.95" customHeight="1">
      <c r="A257" s="3" t="s">
        <v>1933</v>
      </c>
      <c r="B257" s="3" t="s">
        <v>1934</v>
      </c>
      <c r="C257" s="3" t="s">
        <v>327</v>
      </c>
      <c r="D257" s="3" t="s">
        <v>46</v>
      </c>
      <c r="E257" s="3" t="s">
        <v>1116</v>
      </c>
      <c r="F257" s="3" t="s">
        <v>1201</v>
      </c>
      <c r="G257" s="3" t="s">
        <v>1935</v>
      </c>
      <c r="H257" s="3" t="str">
        <f>HYPERLINK("http://www.jccm.es/sede/tramite/IT6","CONCURSO ESCALAS ARCHIVOS BLIBLIOTECAS Y MUSEOS")</f>
        <v>CONCURSO ESCALAS ARCHIVOS BLIBLIOTECAS Y MUSEOS</v>
      </c>
      <c r="I257" s="3" t="s">
        <v>42</v>
      </c>
      <c r="J257" s="3" t="s">
        <v>41</v>
      </c>
      <c r="K257" s="3" t="s">
        <v>42</v>
      </c>
      <c r="L257" s="3" t="s">
        <v>41</v>
      </c>
    </row>
    <row r="258" spans="1:12" ht="123" customHeight="1">
      <c r="A258" s="3" t="s">
        <v>1936</v>
      </c>
      <c r="B258" s="3" t="s">
        <v>1937</v>
      </c>
      <c r="C258" s="3" t="s">
        <v>327</v>
      </c>
      <c r="D258" s="3" t="s">
        <v>46</v>
      </c>
      <c r="E258" s="3" t="s">
        <v>1116</v>
      </c>
      <c r="F258" s="3" t="s">
        <v>1201</v>
      </c>
      <c r="G258" s="3" t="s">
        <v>1938</v>
      </c>
      <c r="H258" s="3" t="str">
        <f>HYPERLINK("http://www.jccm.es/sede/tramite/IWS","CONCURSO ESCALA TECNICA EDUCATIVA")</f>
        <v>CONCURSO ESCALA TECNICA EDUCATIVA</v>
      </c>
      <c r="I258" s="3" t="s">
        <v>41</v>
      </c>
      <c r="J258" s="3" t="s">
        <v>41</v>
      </c>
      <c r="K258" s="3" t="s">
        <v>42</v>
      </c>
      <c r="L258" s="3" t="s">
        <v>41</v>
      </c>
    </row>
    <row r="259" spans="1:12" ht="99.95" customHeight="1">
      <c r="A259" s="3" t="s">
        <v>1939</v>
      </c>
      <c r="B259" s="3" t="s">
        <v>1940</v>
      </c>
      <c r="C259" s="3" t="s">
        <v>45</v>
      </c>
      <c r="D259" s="3" t="s">
        <v>46</v>
      </c>
      <c r="E259" s="3" t="s">
        <v>1116</v>
      </c>
      <c r="F259" s="3" t="s">
        <v>1286</v>
      </c>
      <c r="G259" s="3" t="s">
        <v>1941</v>
      </c>
      <c r="H259" s="3" t="str">
        <f>HYPERLINK("http://www.jccm.es/sede/tramite/KKY","CONVOCATORIA PARA LA PROVISION POR EL PROCEDIMIENTO DE LIBRE DESIGNACION (LD. HAC-AAPP F1/2022) DE PUESTOS DE TRABAJO DE PERSONAL FUNCIONARIO.")</f>
        <v>CONVOCATORIA PARA LA PROVISION POR EL PROCEDIMIENTO DE LIBRE DESIGNACION (LD. HAC-AAPP F1/2022) DE PUESTOS DE TRABAJO DE PERSONAL FUNCIONARIO.</v>
      </c>
      <c r="I259" s="3" t="s">
        <v>41</v>
      </c>
      <c r="J259" s="3" t="s">
        <v>41</v>
      </c>
      <c r="K259" s="3" t="s">
        <v>42</v>
      </c>
      <c r="L259" s="3" t="s">
        <v>41</v>
      </c>
    </row>
    <row r="260" spans="1:12" ht="99.95" customHeight="1">
      <c r="A260" s="3" t="s">
        <v>1942</v>
      </c>
      <c r="B260" s="3" t="s">
        <v>1943</v>
      </c>
      <c r="C260" s="3" t="s">
        <v>45</v>
      </c>
      <c r="D260" s="3" t="s">
        <v>46</v>
      </c>
      <c r="E260" s="3" t="s">
        <v>1116</v>
      </c>
      <c r="F260" s="3" t="s">
        <v>1286</v>
      </c>
      <c r="G260" s="3" t="s">
        <v>1944</v>
      </c>
      <c r="H260" s="3" t="str">
        <f>HYPERLINK("http://www.jccm.es/sede/tramite/K8S","CONVOCATORIA DE LA PROVISION, POR EL SISTEMA DE LIBRE DESIGNACION DE PUESTOS RESERVADOS A PERSONAL LABORAL FIJO ( CATEGORIA CONDUCTOR).")</f>
        <v>CONVOCATORIA DE LA PROVISION, POR EL SISTEMA DE LIBRE DESIGNACION DE PUESTOS RESERVADOS A PERSONAL LABORAL FIJO ( CATEGORIA CONDUCTOR).</v>
      </c>
      <c r="I260" s="3" t="s">
        <v>41</v>
      </c>
      <c r="J260" s="3" t="s">
        <v>41</v>
      </c>
      <c r="K260" s="3" t="s">
        <v>42</v>
      </c>
      <c r="L260" s="3" t="s">
        <v>41</v>
      </c>
    </row>
    <row r="261" spans="1:12" ht="99.95" customHeight="1">
      <c r="A261" s="3" t="s">
        <v>1945</v>
      </c>
      <c r="B261" s="3" t="s">
        <v>1946</v>
      </c>
      <c r="C261" s="3" t="s">
        <v>1723</v>
      </c>
      <c r="D261" s="3" t="s">
        <v>46</v>
      </c>
      <c r="E261" s="3" t="s">
        <v>1116</v>
      </c>
      <c r="F261" s="3" t="s">
        <v>1201</v>
      </c>
      <c r="G261" s="3" t="s">
        <v>1947</v>
      </c>
      <c r="H261" s="3" t="str">
        <f>HYPERLINK("http://www.jccm.es/sede/tramite/KPI","CONVOCATORIA DEL PROGRAMA DE FORMACION ESPECIFICA, DENTRO DEL PLAN DE FORMACION PARA EL PERSONAL DE LA ADMINISTRACION DE LA JUNTA DE COMUNIDADES DE CASTILLA-LA MANCHA.")</f>
        <v>CONVOCATORIA DEL PROGRAMA DE FORMACION ESPECIFICA, DENTRO DEL PLAN DE FORMACION PARA EL PERSONAL DE LA ADMINISTRACION DE LA JUNTA DE COMUNIDADES DE CASTILLA-LA MANCHA.</v>
      </c>
      <c r="I261" s="3" t="s">
        <v>41</v>
      </c>
      <c r="J261" s="3" t="s">
        <v>41</v>
      </c>
      <c r="K261" s="3" t="s">
        <v>42</v>
      </c>
      <c r="L261" s="3" t="s">
        <v>41</v>
      </c>
    </row>
    <row r="262" spans="1:12" ht="99.95" customHeight="1">
      <c r="A262" s="3" t="s">
        <v>1948</v>
      </c>
      <c r="B262" s="3" t="s">
        <v>1949</v>
      </c>
      <c r="C262" s="3" t="s">
        <v>1723</v>
      </c>
      <c r="D262" s="3" t="s">
        <v>46</v>
      </c>
      <c r="E262" s="3" t="s">
        <v>1116</v>
      </c>
      <c r="F262" s="3" t="s">
        <v>1387</v>
      </c>
      <c r="G262" s="3" t="s">
        <v>1950</v>
      </c>
      <c r="H262" s="3" t="str">
        <f>HYPERLINK("http://www.jccm.es/sede/tramite/KRU","CONVOCATORIA ACCION FORMATIVA CURSO PROPIO ESPECIALIZACION EN GOBIERNO ABIERTO")</f>
        <v>CONVOCATORIA ACCION FORMATIVA CURSO PROPIO ESPECIALIZACION EN GOBIERNO ABIERTO</v>
      </c>
      <c r="I262" s="3" t="s">
        <v>41</v>
      </c>
      <c r="J262" s="3" t="s">
        <v>41</v>
      </c>
      <c r="K262" s="3" t="s">
        <v>42</v>
      </c>
      <c r="L262" s="3" t="s">
        <v>41</v>
      </c>
    </row>
    <row r="263" spans="1:12" ht="113.25" customHeight="1">
      <c r="A263" s="3" t="s">
        <v>1951</v>
      </c>
      <c r="B263" s="3" t="s">
        <v>1952</v>
      </c>
      <c r="C263" s="3" t="s">
        <v>1723</v>
      </c>
      <c r="D263" s="3" t="s">
        <v>46</v>
      </c>
      <c r="E263" s="3" t="s">
        <v>1116</v>
      </c>
      <c r="F263" s="3" t="s">
        <v>1201</v>
      </c>
      <c r="G263" s="3" t="s">
        <v>1953</v>
      </c>
      <c r="H263" s="3" t="str">
        <f>HYPERLINK("http://www.jccm.es/sede/tramite/J4A","ACCIONES FORMATIVAS EN INGLES ESPECIFICO, COMPRENDIDAS EN EL PROGRAMA DE FORMACION EN IDIOMAS.")</f>
        <v>ACCIONES FORMATIVAS EN INGLES ESPECIFICO, COMPRENDIDAS EN EL PROGRAMA DE FORMACION EN IDIOMAS.</v>
      </c>
      <c r="I263" s="3" t="s">
        <v>41</v>
      </c>
      <c r="J263" s="3" t="s">
        <v>41</v>
      </c>
      <c r="K263" s="3" t="s">
        <v>42</v>
      </c>
      <c r="L263" s="3" t="s">
        <v>41</v>
      </c>
    </row>
    <row r="264" spans="1:12" ht="99.95" customHeight="1">
      <c r="A264" s="3" t="s">
        <v>1954</v>
      </c>
      <c r="B264" s="3" t="s">
        <v>1955</v>
      </c>
      <c r="C264" s="3" t="s">
        <v>1723</v>
      </c>
      <c r="D264" s="3" t="s">
        <v>46</v>
      </c>
      <c r="E264" s="3" t="s">
        <v>1116</v>
      </c>
      <c r="F264" s="3" t="s">
        <v>1387</v>
      </c>
      <c r="G264" s="3" t="s">
        <v>1956</v>
      </c>
      <c r="H264" s="3" t="str">
        <f>HYPERLINK("http://www.jccm.es/sede/tramite/KRZ","CONVOCATORIA DEL PROGRAMA DE AUTOFORMACION,DENTRO DEL PLAN DE FORMACION PARA EL PERSONAL DE LA ADMINISTRACION DE LA JUNTA DE COMUNIDADES DE CASTILLA- LA MANCHA.")</f>
        <v>CONVOCATORIA DEL PROGRAMA DE AUTOFORMACION,DENTRO DEL PLAN DE FORMACION PARA EL PERSONAL DE LA ADMINISTRACION DE LA JUNTA DE COMUNIDADES DE CASTILLA- LA MANCHA.</v>
      </c>
      <c r="I264" s="3" t="s">
        <v>41</v>
      </c>
      <c r="J264" s="3" t="s">
        <v>41</v>
      </c>
      <c r="K264" s="3" t="s">
        <v>42</v>
      </c>
      <c r="L264" s="3" t="s">
        <v>41</v>
      </c>
    </row>
    <row r="265" spans="1:12" ht="99.95" customHeight="1">
      <c r="A265" s="3" t="s">
        <v>1957</v>
      </c>
      <c r="B265" s="3" t="s">
        <v>1958</v>
      </c>
      <c r="C265" s="3" t="s">
        <v>1723</v>
      </c>
      <c r="D265" s="3" t="s">
        <v>46</v>
      </c>
      <c r="E265" s="3" t="s">
        <v>1116</v>
      </c>
      <c r="F265" s="3" t="s">
        <v>1387</v>
      </c>
      <c r="G265" s="3" t="s">
        <v>1959</v>
      </c>
      <c r="H265" s="3" t="str">
        <f>HYPERLINK("http://www.jccm.es/sede/tramite/LVX","CONVOCATORIA DEL TITULO PROPIO DE  MASTER EN CONTRATACION PUBLICA   DENTRO DEL PLAN DE FORMACION PARA EL PERSONAL DE LA ADMINISTRACION DE LA JUNTA DE COMUNIDADES DE CASTILLA- LA MANCHA")</f>
        <v>CONVOCATORIA DEL TITULO PROPIO DE  MASTER EN CONTRATACION PUBLICA   DENTRO DEL PLAN DE FORMACION PARA EL PERSONAL DE LA ADMINISTRACION DE LA JUNTA DE COMUNIDADES DE CASTILLA- LA MANCHA</v>
      </c>
      <c r="I265" s="3" t="s">
        <v>41</v>
      </c>
      <c r="J265" s="3" t="s">
        <v>41</v>
      </c>
      <c r="K265" s="3" t="s">
        <v>42</v>
      </c>
      <c r="L265" s="3" t="s">
        <v>41</v>
      </c>
    </row>
    <row r="266" spans="1:12" ht="99.95" customHeight="1">
      <c r="A266" s="3" t="s">
        <v>1960</v>
      </c>
      <c r="B266" s="3" t="s">
        <v>1961</v>
      </c>
      <c r="C266" s="3" t="s">
        <v>1899</v>
      </c>
      <c r="D266" s="3" t="s">
        <v>95</v>
      </c>
      <c r="E266" s="3" t="s">
        <v>1116</v>
      </c>
      <c r="F266" s="3" t="s">
        <v>1201</v>
      </c>
      <c r="G266" s="3" t="s">
        <v>1962</v>
      </c>
      <c r="H266" s="3" t="str">
        <f>HYPERLINK("http://www.jccm.es/sede/tramite/KZP","COMUNICACION PRESUNTO ACOSO LABORAL AL PERSONAL DE ADMINISTRACION GENERAL DE LA JCCM Y  SUS OOAA.")</f>
        <v>COMUNICACION PRESUNTO ACOSO LABORAL AL PERSONAL DE ADMINISTRACION GENERAL DE LA JCCM Y  SUS OOAA.</v>
      </c>
      <c r="I266" s="3" t="s">
        <v>41</v>
      </c>
      <c r="J266" s="3" t="s">
        <v>41</v>
      </c>
      <c r="K266" s="3" t="s">
        <v>42</v>
      </c>
      <c r="L266" s="3" t="s">
        <v>41</v>
      </c>
    </row>
    <row r="267" spans="1:12" ht="135.75" customHeight="1">
      <c r="A267" s="3" t="s">
        <v>1963</v>
      </c>
      <c r="B267" s="3" t="s">
        <v>1964</v>
      </c>
      <c r="C267" s="3" t="s">
        <v>1965</v>
      </c>
      <c r="D267" s="3" t="s">
        <v>95</v>
      </c>
      <c r="E267" s="3" t="s">
        <v>1116</v>
      </c>
      <c r="F267" s="3" t="s">
        <v>1201</v>
      </c>
      <c r="G267" s="3" t="s">
        <v>1966</v>
      </c>
      <c r="H267" s="3" t="str">
        <f>HYPERLINK("http://www.jccm.es/sede/tramite/LMI","FINALIZACION DE LA AUTORIZACION DE TELETRABAJO.")</f>
        <v>FINALIZACION DE LA AUTORIZACION DE TELETRABAJO.</v>
      </c>
      <c r="I267" s="3" t="s">
        <v>41</v>
      </c>
      <c r="J267" s="3" t="s">
        <v>41</v>
      </c>
      <c r="K267" s="3" t="s">
        <v>42</v>
      </c>
      <c r="L267" s="3" t="s">
        <v>41</v>
      </c>
    </row>
    <row r="268" spans="1:12" ht="117" customHeight="1">
      <c r="A268" s="3" t="s">
        <v>1967</v>
      </c>
      <c r="B268" s="3" t="s">
        <v>1968</v>
      </c>
      <c r="C268" s="3" t="s">
        <v>1965</v>
      </c>
      <c r="D268" s="3" t="s">
        <v>95</v>
      </c>
      <c r="E268" s="3" t="s">
        <v>1116</v>
      </c>
      <c r="F268" s="3" t="s">
        <v>1201</v>
      </c>
      <c r="G268" s="3" t="s">
        <v>1969</v>
      </c>
      <c r="H268" s="3" t="str">
        <f>HYPERLINK("http://www.jccm.es/sede/tramite/LMH","SUSPENSION DE LA AUTORIZACION DE TELETRABAJO.")</f>
        <v>SUSPENSION DE LA AUTORIZACION DE TELETRABAJO.</v>
      </c>
      <c r="I268" s="3" t="s">
        <v>41</v>
      </c>
      <c r="J268" s="3" t="s">
        <v>41</v>
      </c>
      <c r="K268" s="3" t="s">
        <v>42</v>
      </c>
      <c r="L268" s="3" t="s">
        <v>41</v>
      </c>
    </row>
    <row r="269" spans="1:12" ht="99.95" customHeight="1">
      <c r="A269" s="3" t="s">
        <v>1970</v>
      </c>
      <c r="B269" s="3" t="s">
        <v>1971</v>
      </c>
      <c r="C269" s="3" t="s">
        <v>1965</v>
      </c>
      <c r="D269" s="3" t="s">
        <v>95</v>
      </c>
      <c r="E269" s="3" t="s">
        <v>1116</v>
      </c>
      <c r="F269" s="3" t="s">
        <v>1201</v>
      </c>
      <c r="G269" s="3" t="s">
        <v>1972</v>
      </c>
      <c r="H269" s="3" t="str">
        <f>HYPERLINK("http://www.jccm.es/sede/tramite/LME","AUTORIZACION DE TELETRABAJO")</f>
        <v>AUTORIZACION DE TELETRABAJO</v>
      </c>
      <c r="I269" s="3" t="s">
        <v>41</v>
      </c>
      <c r="J269" s="3" t="s">
        <v>41</v>
      </c>
      <c r="K269" s="3" t="s">
        <v>42</v>
      </c>
      <c r="L269" s="3" t="s">
        <v>41</v>
      </c>
    </row>
    <row r="270" spans="1:12" ht="137.25" customHeight="1">
      <c r="A270" s="3" t="s">
        <v>1973</v>
      </c>
      <c r="B270" s="3" t="s">
        <v>1974</v>
      </c>
      <c r="C270" s="3" t="s">
        <v>1965</v>
      </c>
      <c r="D270" s="3" t="s">
        <v>95</v>
      </c>
      <c r="E270" s="3" t="s">
        <v>1116</v>
      </c>
      <c r="F270" s="3" t="s">
        <v>1201</v>
      </c>
      <c r="G270" s="3" t="s">
        <v>1975</v>
      </c>
      <c r="H270" s="3" t="str">
        <f>HYPERLINK("http://www.jccm.es/sede/tramite/LMG","MODIFICACION DE LA AUTORIZACION DE TELETRABAJO.")</f>
        <v>MODIFICACION DE LA AUTORIZACION DE TELETRABAJO.</v>
      </c>
      <c r="I270" s="3" t="s">
        <v>41</v>
      </c>
      <c r="J270" s="3" t="s">
        <v>41</v>
      </c>
      <c r="K270" s="3" t="s">
        <v>42</v>
      </c>
      <c r="L270" s="3" t="s">
        <v>41</v>
      </c>
    </row>
    <row r="271" spans="1:12" ht="153" customHeight="1">
      <c r="A271" s="3" t="s">
        <v>1976</v>
      </c>
      <c r="B271" s="3" t="s">
        <v>1977</v>
      </c>
      <c r="C271" s="3" t="s">
        <v>1965</v>
      </c>
      <c r="D271" s="3" t="s">
        <v>95</v>
      </c>
      <c r="E271" s="3" t="s">
        <v>1116</v>
      </c>
      <c r="F271" s="3" t="s">
        <v>1201</v>
      </c>
      <c r="G271" s="3" t="s">
        <v>1978</v>
      </c>
      <c r="H271" s="3" t="str">
        <f>HYPERLINK("http://www.jccm.es/sede/tramite/LMF","PRORROGA DE LA AUTORIZACION DE TELETRABAJO.")</f>
        <v>PRORROGA DE LA AUTORIZACION DE TELETRABAJO.</v>
      </c>
      <c r="I271" s="3" t="s">
        <v>41</v>
      </c>
      <c r="J271" s="3" t="s">
        <v>41</v>
      </c>
      <c r="K271" s="3" t="s">
        <v>42</v>
      </c>
      <c r="L271" s="3" t="s">
        <v>41</v>
      </c>
    </row>
    <row r="272" spans="1:12" ht="99.95" customHeight="1">
      <c r="A272" s="3" t="s">
        <v>1979</v>
      </c>
      <c r="B272" s="3" t="s">
        <v>1980</v>
      </c>
      <c r="C272" s="3" t="s">
        <v>45</v>
      </c>
      <c r="D272" s="3" t="s">
        <v>46</v>
      </c>
      <c r="E272" s="3" t="s">
        <v>1116</v>
      </c>
      <c r="F272" s="3" t="s">
        <v>1286</v>
      </c>
      <c r="G272" s="3" t="s">
        <v>1981</v>
      </c>
      <c r="H272" s="3" t="str">
        <f>HYPERLINK("http://www.jccm.es/sede/tramite/KYF","ENAJENACION DIRECTA DE BIENES INMUEBLES Y DERECHOS REALES SOBRE LOS MISMOS TITULARIDAD DE LA  JCCM.")</f>
        <v>ENAJENACION DIRECTA DE BIENES INMUEBLES Y DERECHOS REALES SOBRE LOS MISMOS TITULARIDAD DE LA  JCCM.</v>
      </c>
      <c r="I272" s="3" t="s">
        <v>42</v>
      </c>
      <c r="J272" s="3" t="s">
        <v>41</v>
      </c>
      <c r="K272" s="3" t="s">
        <v>42</v>
      </c>
      <c r="L272" s="3" t="s">
        <v>41</v>
      </c>
    </row>
    <row r="273" spans="1:12" ht="126.75" customHeight="1">
      <c r="A273" s="3" t="s">
        <v>1982</v>
      </c>
      <c r="B273" s="3" t="s">
        <v>1983</v>
      </c>
      <c r="C273" s="3" t="s">
        <v>45</v>
      </c>
      <c r="D273" s="3" t="s">
        <v>46</v>
      </c>
      <c r="E273" s="3" t="s">
        <v>1116</v>
      </c>
      <c r="F273" s="3" t="s">
        <v>1286</v>
      </c>
      <c r="G273" s="3" t="s">
        <v>1984</v>
      </c>
      <c r="H273" s="3" t="str">
        <f>HYPERLINK("http://www.jccm.es/sede/tramite/KYG","CESION GRATUITA DE BIENES INMUEBLES DE LA JCCM.")</f>
        <v>CESION GRATUITA DE BIENES INMUEBLES DE LA JCCM.</v>
      </c>
      <c r="I273" s="3" t="s">
        <v>42</v>
      </c>
      <c r="J273" s="3" t="s">
        <v>41</v>
      </c>
      <c r="K273" s="3" t="s">
        <v>42</v>
      </c>
      <c r="L273" s="3" t="s">
        <v>41</v>
      </c>
    </row>
    <row r="274" spans="1:12" ht="99.95" customHeight="1">
      <c r="A274" s="3" t="s">
        <v>1985</v>
      </c>
      <c r="B274" s="3" t="s">
        <v>1986</v>
      </c>
      <c r="C274" s="3" t="s">
        <v>45</v>
      </c>
      <c r="D274" s="3" t="s">
        <v>46</v>
      </c>
      <c r="E274" s="3" t="s">
        <v>1116</v>
      </c>
      <c r="F274" s="3" t="s">
        <v>1286</v>
      </c>
      <c r="G274" s="3" t="s">
        <v>1987</v>
      </c>
      <c r="H274" s="3" t="str">
        <f>HYPERLINK("http://www.jccm.es/sede/tramite/KYH","CESION GRATUITA DE USO DE BIENES INMUEBLES DE LA JCCM.")</f>
        <v>CESION GRATUITA DE USO DE BIENES INMUEBLES DE LA JCCM.</v>
      </c>
      <c r="I274" s="3" t="s">
        <v>42</v>
      </c>
      <c r="J274" s="3" t="s">
        <v>41</v>
      </c>
      <c r="K274" s="3" t="s">
        <v>42</v>
      </c>
      <c r="L274" s="3" t="s">
        <v>41</v>
      </c>
    </row>
    <row r="275" spans="1:12" ht="84" customHeight="1">
      <c r="A275" s="3" t="s">
        <v>1988</v>
      </c>
      <c r="B275" s="3" t="s">
        <v>1989</v>
      </c>
      <c r="C275" s="3" t="s">
        <v>1990</v>
      </c>
      <c r="D275" s="3" t="s">
        <v>46</v>
      </c>
      <c r="E275" s="3" t="s">
        <v>1116</v>
      </c>
      <c r="F275" s="3" t="s">
        <v>1286</v>
      </c>
      <c r="G275" s="3" t="s">
        <v>1991</v>
      </c>
      <c r="H275" s="3" t="str">
        <f>HYPERLINK("http://www.jccm.es/sede/tramite/KYI","ARRENDAMIENTO DE BIENES INMUEBLES, JCCM COMO ARRENDATARIA, POR ADJUDICACION DIRECTA.")</f>
        <v>ARRENDAMIENTO DE BIENES INMUEBLES, JCCM COMO ARRENDATARIA, POR ADJUDICACION DIRECTA.</v>
      </c>
      <c r="I275" s="3" t="s">
        <v>42</v>
      </c>
      <c r="J275" s="3" t="s">
        <v>41</v>
      </c>
      <c r="K275" s="3" t="s">
        <v>42</v>
      </c>
      <c r="L275" s="3" t="s">
        <v>41</v>
      </c>
    </row>
    <row r="276" spans="1:12" ht="84" customHeight="1">
      <c r="A276" s="3" t="s">
        <v>1992</v>
      </c>
      <c r="B276" s="3" t="s">
        <v>1993</v>
      </c>
      <c r="C276" s="3" t="s">
        <v>45</v>
      </c>
      <c r="D276" s="3" t="s">
        <v>46</v>
      </c>
      <c r="E276" s="3" t="s">
        <v>1116</v>
      </c>
      <c r="F276" s="3" t="s">
        <v>1286</v>
      </c>
      <c r="G276" s="3" t="s">
        <v>1994</v>
      </c>
      <c r="H276" s="3" t="str">
        <f>HYPERLINK("http://www.jccm.es/sede/tramite/KYJ","ADQUISICION DE BIENES INMUEBLES POR CESION GRATUITA DE OTRAS ADMINISTRACIONES PUBLICAS.")</f>
        <v>ADQUISICION DE BIENES INMUEBLES POR CESION GRATUITA DE OTRAS ADMINISTRACIONES PUBLICAS.</v>
      </c>
      <c r="I276" s="3" t="s">
        <v>41</v>
      </c>
      <c r="J276" s="3" t="s">
        <v>41</v>
      </c>
      <c r="K276" s="3" t="s">
        <v>42</v>
      </c>
      <c r="L276" s="3" t="s">
        <v>41</v>
      </c>
    </row>
    <row r="277" spans="1:12" ht="84" customHeight="1">
      <c r="A277" s="3" t="s">
        <v>1995</v>
      </c>
      <c r="B277" s="3" t="s">
        <v>1996</v>
      </c>
      <c r="C277" s="3" t="s">
        <v>1997</v>
      </c>
      <c r="D277" s="3" t="s">
        <v>46</v>
      </c>
      <c r="E277" s="3" t="s">
        <v>1116</v>
      </c>
      <c r="F277" s="3" t="s">
        <v>1286</v>
      </c>
      <c r="G277" s="3" t="s">
        <v>1998</v>
      </c>
      <c r="H277" s="3" t="str">
        <f>HYPERLINK("http://www.jccm.es/sede/tramite/KYK","ADQUISICION ONEROSA DE BIENES INMUEBLES.")</f>
        <v>ADQUISICION ONEROSA DE BIENES INMUEBLES.</v>
      </c>
      <c r="I277" s="3" t="s">
        <v>41</v>
      </c>
      <c r="J277" s="3" t="s">
        <v>41</v>
      </c>
      <c r="K277" s="3" t="s">
        <v>42</v>
      </c>
      <c r="L277" s="3" t="s">
        <v>41</v>
      </c>
    </row>
    <row r="278" spans="1:12" ht="84" customHeight="1">
      <c r="A278" s="3" t="s">
        <v>1999</v>
      </c>
      <c r="B278" s="3" t="s">
        <v>2000</v>
      </c>
      <c r="C278" s="3" t="s">
        <v>2001</v>
      </c>
      <c r="D278" s="3" t="s">
        <v>46</v>
      </c>
      <c r="E278" s="3" t="s">
        <v>1116</v>
      </c>
      <c r="F278" s="3" t="s">
        <v>1286</v>
      </c>
      <c r="G278" s="3" t="s">
        <v>2002</v>
      </c>
      <c r="H278" s="3" t="str">
        <f>HYPERLINK("http://www.jccm.es/sede/tramite/KYL","ENAJENACION POR SUBASTA PUBLICA DE BIENES INMUEBLES  TITULARIDAD DE LA JUNTA DE COMUNIDADES DE CASTILLA - LA MANCHA.")</f>
        <v>ENAJENACION POR SUBASTA PUBLICA DE BIENES INMUEBLES  TITULARIDAD DE LA JUNTA DE COMUNIDADES DE CASTILLA - LA MANCHA.</v>
      </c>
      <c r="I278" s="3" t="s">
        <v>41</v>
      </c>
      <c r="J278" s="3" t="s">
        <v>41</v>
      </c>
      <c r="K278" s="3" t="s">
        <v>42</v>
      </c>
      <c r="L278" s="3" t="s">
        <v>41</v>
      </c>
    </row>
    <row r="279" spans="1:12" ht="84" customHeight="1">
      <c r="A279" s="3" t="s">
        <v>2003</v>
      </c>
      <c r="B279" s="3" t="s">
        <v>2004</v>
      </c>
      <c r="C279" s="3" t="s">
        <v>45</v>
      </c>
      <c r="D279" s="3" t="s">
        <v>46</v>
      </c>
      <c r="E279" s="3" t="s">
        <v>1116</v>
      </c>
      <c r="F279" s="3" t="s">
        <v>1286</v>
      </c>
      <c r="G279" s="3" t="s">
        <v>2005</v>
      </c>
      <c r="H279" s="3" t="str">
        <f>HYPERLINK("http://www.jccm.es/sede/tramite/KYM","ADQUISICION A TITULO GRATUITO POR HERENCIA, LEGADO O DONACION.")</f>
        <v>ADQUISICION A TITULO GRATUITO POR HERENCIA, LEGADO O DONACION.</v>
      </c>
      <c r="I279" s="3" t="s">
        <v>41</v>
      </c>
      <c r="J279" s="3" t="s">
        <v>41</v>
      </c>
      <c r="K279" s="3" t="s">
        <v>42</v>
      </c>
      <c r="L279" s="3" t="s">
        <v>41</v>
      </c>
    </row>
    <row r="280" spans="1:12" ht="84" customHeight="1">
      <c r="A280" s="3" t="s">
        <v>2006</v>
      </c>
      <c r="B280" s="3" t="s">
        <v>2007</v>
      </c>
      <c r="C280" s="3" t="s">
        <v>2008</v>
      </c>
      <c r="D280" s="3" t="s">
        <v>46</v>
      </c>
      <c r="E280" s="3" t="s">
        <v>1116</v>
      </c>
      <c r="F280" s="3" t="s">
        <v>1286</v>
      </c>
      <c r="G280" s="3" t="s">
        <v>2009</v>
      </c>
      <c r="H280" s="3" t="str">
        <f>HYPERLINK("http://www.jccm.es/sede/tramite/KYN","PROCEDIMIENTO DE DESLINDE ADMINISTRATIVO.")</f>
        <v>PROCEDIMIENTO DE DESLINDE ADMINISTRATIVO.</v>
      </c>
      <c r="I280" s="3" t="s">
        <v>41</v>
      </c>
      <c r="J280" s="3" t="s">
        <v>41</v>
      </c>
      <c r="K280" s="3" t="s">
        <v>42</v>
      </c>
      <c r="L280" s="3" t="s">
        <v>41</v>
      </c>
    </row>
    <row r="281" spans="1:12" ht="84" customHeight="1">
      <c r="A281" s="3" t="s">
        <v>2010</v>
      </c>
      <c r="B281" s="3" t="s">
        <v>2011</v>
      </c>
      <c r="C281" s="3" t="s">
        <v>2012</v>
      </c>
      <c r="D281" s="3" t="s">
        <v>1368</v>
      </c>
      <c r="E281" s="3" t="s">
        <v>1116</v>
      </c>
      <c r="F281" s="3" t="s">
        <v>1286</v>
      </c>
      <c r="G281" s="3" t="s">
        <v>2013</v>
      </c>
      <c r="H281" s="3" t="str">
        <f>HYPERLINK("http://www.jccm.es/sede/tramite/KYO","RECUPERACION DE LA POSESION.")</f>
        <v>RECUPERACION DE LA POSESION.</v>
      </c>
      <c r="I281" s="3" t="s">
        <v>42</v>
      </c>
      <c r="J281" s="3" t="s">
        <v>41</v>
      </c>
      <c r="K281" s="3" t="s">
        <v>42</v>
      </c>
      <c r="L281" s="3" t="s">
        <v>41</v>
      </c>
    </row>
    <row r="282" spans="1:12" ht="84" customHeight="1">
      <c r="A282" s="3" t="s">
        <v>2014</v>
      </c>
      <c r="B282" s="3" t="s">
        <v>2015</v>
      </c>
      <c r="C282" s="3" t="s">
        <v>2016</v>
      </c>
      <c r="D282" s="3" t="s">
        <v>46</v>
      </c>
      <c r="E282" s="3" t="s">
        <v>1116</v>
      </c>
      <c r="F282" s="3" t="s">
        <v>1286</v>
      </c>
      <c r="G282" s="3" t="s">
        <v>2017</v>
      </c>
      <c r="H282" s="3" t="str">
        <f>HYPERLINK("http://www.jccm.es/sede/tramite/KYP","INVESTIGACION E INSPECCION DE BIENES Y DERECHOS")</f>
        <v>INVESTIGACION E INSPECCION DE BIENES Y DERECHOS</v>
      </c>
      <c r="I282" s="3" t="s">
        <v>41</v>
      </c>
      <c r="J282" s="3" t="s">
        <v>41</v>
      </c>
      <c r="K282" s="3" t="s">
        <v>42</v>
      </c>
      <c r="L282" s="3" t="s">
        <v>41</v>
      </c>
    </row>
    <row r="283" spans="1:12" ht="84" customHeight="1">
      <c r="A283" s="3" t="s">
        <v>2018</v>
      </c>
      <c r="B283" s="3" t="s">
        <v>2019</v>
      </c>
      <c r="C283" s="3" t="s">
        <v>95</v>
      </c>
      <c r="D283" s="3" t="s">
        <v>95</v>
      </c>
      <c r="E283" s="3" t="s">
        <v>1116</v>
      </c>
      <c r="F283" s="3" t="s">
        <v>1116</v>
      </c>
      <c r="G283" s="3" t="s">
        <v>2020</v>
      </c>
      <c r="H283" s="3" t="str">
        <f>HYPERLINK("http://www.jccm.es/sede/tramite/LT2","GESTION DE SINIESTROS DE VEHICULOS DEL PARQUE MOVIL DE LA JCCM.")</f>
        <v>GESTION DE SINIESTROS DE VEHICULOS DEL PARQUE MOVIL DE LA JCCM.</v>
      </c>
      <c r="I283" s="3" t="s">
        <v>41</v>
      </c>
      <c r="J283" s="3" t="s">
        <v>41</v>
      </c>
      <c r="K283" s="3" t="s">
        <v>42</v>
      </c>
      <c r="L283" s="3" t="s">
        <v>41</v>
      </c>
    </row>
    <row r="284" spans="1:12" ht="84" customHeight="1">
      <c r="A284" s="3" t="s">
        <v>2021</v>
      </c>
      <c r="B284" s="3" t="s">
        <v>2022</v>
      </c>
      <c r="C284" s="3" t="s">
        <v>459</v>
      </c>
      <c r="D284" s="3" t="s">
        <v>46</v>
      </c>
      <c r="E284" s="3" t="s">
        <v>1116</v>
      </c>
      <c r="F284" s="3" t="s">
        <v>1286</v>
      </c>
      <c r="G284" s="3" t="s">
        <v>2023</v>
      </c>
      <c r="H284" s="3" t="str">
        <f>HYPERLINK("http://www.jccm.es/sede/tramite/LT7","ENAJENACION ONEROSA DE VEHICULOS MEDIANTE ADJUDICACION DIRECTA.")</f>
        <v>ENAJENACION ONEROSA DE VEHICULOS MEDIANTE ADJUDICACION DIRECTA.</v>
      </c>
      <c r="I284" s="3" t="s">
        <v>42</v>
      </c>
      <c r="J284" s="3" t="s">
        <v>41</v>
      </c>
      <c r="K284" s="3" t="s">
        <v>42</v>
      </c>
      <c r="L284" s="3" t="s">
        <v>41</v>
      </c>
    </row>
    <row r="285" spans="1:12" ht="84" customHeight="1">
      <c r="A285" s="3" t="s">
        <v>2024</v>
      </c>
      <c r="B285" s="3" t="s">
        <v>2025</v>
      </c>
      <c r="C285" s="3" t="s">
        <v>2026</v>
      </c>
      <c r="D285" s="3" t="s">
        <v>46</v>
      </c>
      <c r="E285" s="3" t="s">
        <v>1116</v>
      </c>
      <c r="F285" s="3" t="s">
        <v>1117</v>
      </c>
      <c r="G285" s="3" t="s">
        <v>2027</v>
      </c>
      <c r="H285" s="3" t="str">
        <f>HYPERLINK("http://www.jccm.es/sede/tramite/516","PUBLICACION DE ANUNCIOS EN DIARIO OFICIAL DE CASTILLA-LA MANCHA.")</f>
        <v>PUBLICACION DE ANUNCIOS EN DIARIO OFICIAL DE CASTILLA-LA MANCHA.</v>
      </c>
      <c r="I285" s="3" t="s">
        <v>42</v>
      </c>
      <c r="J285" s="3" t="s">
        <v>41</v>
      </c>
      <c r="K285" s="3" t="s">
        <v>42</v>
      </c>
      <c r="L285" s="3" t="s">
        <v>41</v>
      </c>
    </row>
  </sheetData>
  <phoneticPr fontId="0" type="noConversion"/>
  <printOptions horizontalCentered="1"/>
  <pageMargins left="3.937007874015748E-2" right="3.937007874015748E-2" top="0.6692913385826772" bottom="0.39370078740157483" header="0.31496062992125984" footer="0.19685039370078741"/>
  <pageSetup paperSize="9" scale="70" orientation="landscape" r:id="rId1"/>
  <headerFooter alignWithMargins="0">
    <oddHeader>&amp;C&amp;9Consejería de Hacienda y Administraciones Públicas</oddHeader>
    <oddFooter>&amp;CPágina &amp;P</oddFooter>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124"/>
  <sheetViews>
    <sheetView zoomScaleNormal="100" workbookViewId="0">
      <selection activeCell="A2" sqref="A2"/>
    </sheetView>
  </sheetViews>
  <sheetFormatPr defaultColWidth="11.42578125" defaultRowHeight="11.45"/>
  <cols>
    <col min="1" max="1" width="15.85546875" style="1" customWidth="1"/>
    <col min="2" max="2" width="27.42578125" style="1" customWidth="1"/>
    <col min="3" max="3" width="11.42578125" style="1"/>
    <col min="4" max="4" width="14.85546875" style="1" customWidth="1"/>
    <col min="5" max="5" width="19.42578125" style="1" customWidth="1"/>
    <col min="6" max="6" width="18.140625" style="1" customWidth="1"/>
    <col min="7" max="7" width="11.140625" style="1" bestFit="1" customWidth="1"/>
    <col min="8" max="8" width="29" style="1" customWidth="1"/>
    <col min="9" max="9" width="11.28515625" style="1" bestFit="1" customWidth="1"/>
    <col min="10" max="10" width="4" style="1" bestFit="1" customWidth="1"/>
    <col min="11" max="11" width="7" style="1" bestFit="1" customWidth="1"/>
    <col min="12" max="12" width="5.5703125" style="1" bestFit="1" customWidth="1"/>
    <col min="13" max="16384" width="11.42578125" style="1"/>
  </cols>
  <sheetData>
    <row r="1" spans="1:12" ht="23.1">
      <c r="A1" s="2" t="s">
        <v>25</v>
      </c>
      <c r="B1" s="2" t="s">
        <v>26</v>
      </c>
      <c r="C1" s="2" t="s">
        <v>27</v>
      </c>
      <c r="D1" s="2" t="s">
        <v>2</v>
      </c>
      <c r="E1" s="2" t="s">
        <v>6752</v>
      </c>
      <c r="F1" s="2" t="s">
        <v>6753</v>
      </c>
      <c r="G1" s="2" t="s">
        <v>28</v>
      </c>
      <c r="H1" s="2" t="s">
        <v>29</v>
      </c>
      <c r="I1" s="2" t="s">
        <v>30</v>
      </c>
      <c r="J1" s="4" t="s">
        <v>31</v>
      </c>
      <c r="K1" s="2" t="s">
        <v>32</v>
      </c>
      <c r="L1" s="2" t="s">
        <v>33</v>
      </c>
    </row>
    <row r="2" spans="1:12" ht="80.45">
      <c r="A2" s="3" t="s">
        <v>2028</v>
      </c>
      <c r="B2" s="3" t="s">
        <v>2029</v>
      </c>
      <c r="C2" s="3" t="s">
        <v>1401</v>
      </c>
      <c r="D2" s="3" t="s">
        <v>46</v>
      </c>
      <c r="E2" s="3" t="s">
        <v>2030</v>
      </c>
      <c r="F2" s="3" t="s">
        <v>2031</v>
      </c>
      <c r="G2" s="3" t="s">
        <v>2032</v>
      </c>
      <c r="H2" s="3" t="str">
        <f>HYPERLINK("http://www.jccm.es/sede/tramite/I6C","AUTORIZACION DE INSTALACION DE OFICINAS DE FARMACIA")</f>
        <v>AUTORIZACION DE INSTALACION DE OFICINAS DE FARMACIA</v>
      </c>
      <c r="I2" s="3" t="s">
        <v>41</v>
      </c>
      <c r="J2" s="3" t="s">
        <v>41</v>
      </c>
      <c r="K2" s="3" t="s">
        <v>42</v>
      </c>
      <c r="L2" s="3" t="s">
        <v>42</v>
      </c>
    </row>
    <row r="3" spans="1:12" ht="80.45">
      <c r="A3" s="3" t="s">
        <v>2033</v>
      </c>
      <c r="B3" s="3" t="s">
        <v>2034</v>
      </c>
      <c r="C3" s="3" t="s">
        <v>45</v>
      </c>
      <c r="D3" s="3" t="s">
        <v>37</v>
      </c>
      <c r="E3" s="3" t="s">
        <v>2030</v>
      </c>
      <c r="F3" s="3" t="s">
        <v>2031</v>
      </c>
      <c r="G3" s="3" t="s">
        <v>2035</v>
      </c>
      <c r="H3" s="3" t="str">
        <f>HYPERLINK("http://www.jccm.es/sede/tramite/JUK","AUTORIZACION FUNCIONAMIENTO OFICINAS DE FARMACIA")</f>
        <v>AUTORIZACION FUNCIONAMIENTO OFICINAS DE FARMACIA</v>
      </c>
      <c r="I3" s="3" t="s">
        <v>41</v>
      </c>
      <c r="J3" s="3" t="s">
        <v>41</v>
      </c>
      <c r="K3" s="3" t="s">
        <v>42</v>
      </c>
      <c r="L3" s="3" t="s">
        <v>42</v>
      </c>
    </row>
    <row r="4" spans="1:12" ht="80.45">
      <c r="A4" s="3" t="s">
        <v>2036</v>
      </c>
      <c r="B4" s="3" t="s">
        <v>2037</v>
      </c>
      <c r="C4" s="3" t="s">
        <v>62</v>
      </c>
      <c r="D4" s="3" t="s">
        <v>37</v>
      </c>
      <c r="E4" s="3" t="s">
        <v>2030</v>
      </c>
      <c r="F4" s="3" t="s">
        <v>2031</v>
      </c>
      <c r="G4" s="3" t="s">
        <v>2038</v>
      </c>
      <c r="H4" s="3" t="str">
        <f>HYPERLINK("http://www.jccm.es/sede/tramite/JUL","AUTORIZACION DE MODIFICACION DE OFICINA DE FARMACIA")</f>
        <v>AUTORIZACION DE MODIFICACION DE OFICINA DE FARMACIA</v>
      </c>
      <c r="I4" s="3" t="s">
        <v>41</v>
      </c>
      <c r="J4" s="3" t="s">
        <v>41</v>
      </c>
      <c r="K4" s="3" t="s">
        <v>42</v>
      </c>
      <c r="L4" s="3" t="s">
        <v>42</v>
      </c>
    </row>
    <row r="5" spans="1:12" ht="80.45">
      <c r="A5" s="3" t="s">
        <v>2039</v>
      </c>
      <c r="B5" s="3" t="s">
        <v>2040</v>
      </c>
      <c r="C5" s="3" t="s">
        <v>51</v>
      </c>
      <c r="D5" s="3" t="s">
        <v>46</v>
      </c>
      <c r="E5" s="3" t="s">
        <v>2030</v>
      </c>
      <c r="F5" s="3" t="s">
        <v>2031</v>
      </c>
      <c r="G5" s="3" t="s">
        <v>2041</v>
      </c>
      <c r="H5" s="3" t="str">
        <f>HYPERLINK("http://www.jccm.es/sede/tramite/JUM","AUTORIZACION DE TRANSMISION DE OFICINA DE FARMACIA")</f>
        <v>AUTORIZACION DE TRANSMISION DE OFICINA DE FARMACIA</v>
      </c>
      <c r="I5" s="3" t="s">
        <v>41</v>
      </c>
      <c r="J5" s="3" t="s">
        <v>41</v>
      </c>
      <c r="K5" s="3" t="s">
        <v>42</v>
      </c>
      <c r="L5" s="3" t="s">
        <v>42</v>
      </c>
    </row>
    <row r="6" spans="1:12" ht="80.45">
      <c r="A6" s="3" t="s">
        <v>2042</v>
      </c>
      <c r="B6" s="3" t="s">
        <v>2043</v>
      </c>
      <c r="C6" s="3" t="s">
        <v>45</v>
      </c>
      <c r="D6" s="3" t="s">
        <v>46</v>
      </c>
      <c r="E6" s="3" t="s">
        <v>2030</v>
      </c>
      <c r="F6" s="3" t="s">
        <v>2031</v>
      </c>
      <c r="G6" s="3" t="s">
        <v>2044</v>
      </c>
      <c r="H6" s="3" t="str">
        <f>HYPERLINK("http://www.jccm.es/sede/tramite/JUN","AUTORIZACION DE TRASLADO DE OFICINA DE FARMACIA.")</f>
        <v>AUTORIZACION DE TRASLADO DE OFICINA DE FARMACIA.</v>
      </c>
      <c r="I6" s="3" t="s">
        <v>41</v>
      </c>
      <c r="J6" s="3" t="s">
        <v>41</v>
      </c>
      <c r="K6" s="3" t="s">
        <v>42</v>
      </c>
      <c r="L6" s="3" t="s">
        <v>42</v>
      </c>
    </row>
    <row r="7" spans="1:12" ht="218.45">
      <c r="A7" s="3" t="s">
        <v>2045</v>
      </c>
      <c r="B7" s="3" t="s">
        <v>2046</v>
      </c>
      <c r="C7" s="3" t="s">
        <v>2047</v>
      </c>
      <c r="D7" s="3" t="s">
        <v>37</v>
      </c>
      <c r="E7" s="3" t="s">
        <v>2030</v>
      </c>
      <c r="F7" s="3" t="s">
        <v>2031</v>
      </c>
      <c r="G7" s="3" t="s">
        <v>2048</v>
      </c>
      <c r="H7" s="3" t="str">
        <f>HYPERLINK("http://www.jccm.es/sede/tramite/JUO","AUTORIZACION DE CIERRE  DE OFICINAS DE FARMACIA")</f>
        <v>AUTORIZACION DE CIERRE  DE OFICINAS DE FARMACIA</v>
      </c>
      <c r="I7" s="3" t="s">
        <v>41</v>
      </c>
      <c r="J7" s="3" t="s">
        <v>41</v>
      </c>
      <c r="K7" s="3" t="s">
        <v>42</v>
      </c>
      <c r="L7" s="3" t="s">
        <v>42</v>
      </c>
    </row>
    <row r="8" spans="1:12" ht="80.45">
      <c r="A8" s="3" t="s">
        <v>2049</v>
      </c>
      <c r="B8" s="3" t="s">
        <v>2050</v>
      </c>
      <c r="C8" s="3" t="s">
        <v>45</v>
      </c>
      <c r="D8" s="3" t="s">
        <v>37</v>
      </c>
      <c r="E8" s="3" t="s">
        <v>2030</v>
      </c>
      <c r="F8" s="3" t="s">
        <v>2031</v>
      </c>
      <c r="G8" s="3" t="s">
        <v>2051</v>
      </c>
      <c r="H8" s="3" t="str">
        <f>HYPERLINK("http://www.jccm.es/sede/tramite/JUQ","AUTORIZACION DE FARMACEUTICO REGENTE.")</f>
        <v>AUTORIZACION DE FARMACEUTICO REGENTE.</v>
      </c>
      <c r="I8" s="3" t="s">
        <v>42</v>
      </c>
      <c r="J8" s="3" t="s">
        <v>41</v>
      </c>
      <c r="K8" s="3" t="s">
        <v>42</v>
      </c>
      <c r="L8" s="3" t="s">
        <v>41</v>
      </c>
    </row>
    <row r="9" spans="1:12" ht="80.45">
      <c r="A9" s="3" t="s">
        <v>2052</v>
      </c>
      <c r="B9" s="3" t="s">
        <v>2053</v>
      </c>
      <c r="C9" s="3" t="s">
        <v>45</v>
      </c>
      <c r="D9" s="3" t="s">
        <v>46</v>
      </c>
      <c r="E9" s="3" t="s">
        <v>2030</v>
      </c>
      <c r="F9" s="3" t="s">
        <v>2031</v>
      </c>
      <c r="G9" s="3" t="s">
        <v>2054</v>
      </c>
      <c r="H9" s="3" t="str">
        <f>HYPERLINK("http://www.jccm.es/sede/tramite/H27","AUTORIZACION DE INSTALACION DE BOTIQUIN")</f>
        <v>AUTORIZACION DE INSTALACION DE BOTIQUIN</v>
      </c>
      <c r="I9" s="3" t="s">
        <v>41</v>
      </c>
      <c r="J9" s="3" t="s">
        <v>41</v>
      </c>
      <c r="K9" s="3" t="s">
        <v>42</v>
      </c>
      <c r="L9" s="3" t="s">
        <v>41</v>
      </c>
    </row>
    <row r="10" spans="1:12" ht="80.45">
      <c r="A10" s="3" t="s">
        <v>2055</v>
      </c>
      <c r="B10" s="3" t="s">
        <v>2056</v>
      </c>
      <c r="C10" s="3" t="s">
        <v>45</v>
      </c>
      <c r="D10" s="3" t="s">
        <v>37</v>
      </c>
      <c r="E10" s="3" t="s">
        <v>2030</v>
      </c>
      <c r="F10" s="3" t="s">
        <v>2031</v>
      </c>
      <c r="G10" s="3" t="s">
        <v>2057</v>
      </c>
      <c r="H10" s="3" t="str">
        <f>HYPERLINK("http://www.jccm.es/sede/tramite/JUR","AUTORIZACION DE FUNCIONAMIENTO DE BOTIQUIN.")</f>
        <v>AUTORIZACION DE FUNCIONAMIENTO DE BOTIQUIN.</v>
      </c>
      <c r="I10" s="3" t="s">
        <v>41</v>
      </c>
      <c r="J10" s="3" t="s">
        <v>41</v>
      </c>
      <c r="K10" s="3" t="s">
        <v>42</v>
      </c>
      <c r="L10" s="3" t="s">
        <v>41</v>
      </c>
    </row>
    <row r="11" spans="1:12" ht="80.45">
      <c r="A11" s="3" t="s">
        <v>2058</v>
      </c>
      <c r="B11" s="3" t="s">
        <v>2059</v>
      </c>
      <c r="C11" s="3" t="s">
        <v>62</v>
      </c>
      <c r="D11" s="3" t="s">
        <v>37</v>
      </c>
      <c r="E11" s="3" t="s">
        <v>2030</v>
      </c>
      <c r="F11" s="3" t="s">
        <v>2031</v>
      </c>
      <c r="G11" s="3" t="s">
        <v>2060</v>
      </c>
      <c r="H11" s="3" t="str">
        <f>HYPERLINK("http://www.jccm.es/sede/tramite/JUU","AUTORIZACION DE TRASLADO, MODIFICACION O CIERRE DE BOTIQUIN")</f>
        <v>AUTORIZACION DE TRASLADO, MODIFICACION O CIERRE DE BOTIQUIN</v>
      </c>
      <c r="I11" s="3" t="s">
        <v>41</v>
      </c>
      <c r="J11" s="3" t="s">
        <v>41</v>
      </c>
      <c r="K11" s="3" t="s">
        <v>42</v>
      </c>
      <c r="L11" s="3" t="s">
        <v>41</v>
      </c>
    </row>
    <row r="12" spans="1:12" ht="80.45">
      <c r="A12" s="3" t="s">
        <v>2061</v>
      </c>
      <c r="B12" s="3" t="s">
        <v>2062</v>
      </c>
      <c r="C12" s="3" t="s">
        <v>45</v>
      </c>
      <c r="D12" s="3" t="s">
        <v>37</v>
      </c>
      <c r="E12" s="3" t="s">
        <v>2030</v>
      </c>
      <c r="F12" s="3" t="s">
        <v>2031</v>
      </c>
      <c r="G12" s="3" t="s">
        <v>2063</v>
      </c>
      <c r="H12" s="3" t="str">
        <f>HYPERLINK("http://www.jccm.es/sede/tramite/I6I","AUTORIZACION DE HORARIO DE APERTURA DE BOTIQUIN O REDUCCION DEL HORARIO MINIMO OFICIAL EN OFICINA DE FARMACIA.")</f>
        <v>AUTORIZACION DE HORARIO DE APERTURA DE BOTIQUIN O REDUCCION DEL HORARIO MINIMO OFICIAL EN OFICINA DE FARMACIA.</v>
      </c>
      <c r="I12" s="3" t="s">
        <v>41</v>
      </c>
      <c r="J12" s="3" t="s">
        <v>41</v>
      </c>
      <c r="K12" s="3" t="s">
        <v>42</v>
      </c>
      <c r="L12" s="3" t="s">
        <v>41</v>
      </c>
    </row>
    <row r="13" spans="1:12" ht="333.6">
      <c r="A13" s="3" t="s">
        <v>2064</v>
      </c>
      <c r="B13" s="3" t="s">
        <v>2065</v>
      </c>
      <c r="C13" s="3" t="s">
        <v>2066</v>
      </c>
      <c r="D13" s="3" t="s">
        <v>37</v>
      </c>
      <c r="E13" s="3" t="s">
        <v>2030</v>
      </c>
      <c r="F13" s="3" t="s">
        <v>2031</v>
      </c>
      <c r="G13" s="3" t="s">
        <v>2067</v>
      </c>
      <c r="H13" s="3" t="str">
        <f>HYPERLINK("http://www.jccm.es/sede/tramite/JUV","PROPUESTA DEL COLEGIO OFICIAL DE FARMACEUTICOS SOBRE OFICINAS DE FARMACIA: HORARIO MINIMO OFICIAL, PROGRAMACION DE GUARDIAS, ORGANIZACION CONJUNTA DE SERVICIOS DE URGENCIA O TURNOS DE VACACIONES.")</f>
        <v>PROPUESTA DEL COLEGIO OFICIAL DE FARMACEUTICOS SOBRE OFICINAS DE FARMACIA: HORARIO MINIMO OFICIAL, PROGRAMACION DE GUARDIAS, ORGANIZACION CONJUNTA DE SERVICIOS DE URGENCIA O TURNOS DE VACACIONES.</v>
      </c>
      <c r="I13" s="3" t="s">
        <v>41</v>
      </c>
      <c r="J13" s="3" t="s">
        <v>41</v>
      </c>
      <c r="K13" s="3" t="s">
        <v>42</v>
      </c>
      <c r="L13" s="3" t="s">
        <v>41</v>
      </c>
    </row>
    <row r="14" spans="1:12" ht="80.45">
      <c r="A14" s="3" t="s">
        <v>2068</v>
      </c>
      <c r="B14" s="3" t="s">
        <v>2069</v>
      </c>
      <c r="C14" s="3" t="s">
        <v>45</v>
      </c>
      <c r="D14" s="3" t="s">
        <v>37</v>
      </c>
      <c r="E14" s="3" t="s">
        <v>2030</v>
      </c>
      <c r="F14" s="3" t="s">
        <v>2031</v>
      </c>
      <c r="G14" s="3" t="s">
        <v>2070</v>
      </c>
      <c r="H14" s="3" t="str">
        <f>HYPERLINK("http://www.jccm.es/sede/tramite/JUW","AUTORIZACION DE EXENCION DEL SERVICIO DE URGENCIA DE OFICINA DE FARMACIA.")</f>
        <v>AUTORIZACION DE EXENCION DEL SERVICIO DE URGENCIA DE OFICINA DE FARMACIA.</v>
      </c>
      <c r="I14" s="3" t="s">
        <v>41</v>
      </c>
      <c r="J14" s="3" t="s">
        <v>41</v>
      </c>
      <c r="K14" s="3" t="s">
        <v>42</v>
      </c>
      <c r="L14" s="3" t="s">
        <v>41</v>
      </c>
    </row>
    <row r="15" spans="1:12" ht="80.45">
      <c r="A15" s="3" t="s">
        <v>2071</v>
      </c>
      <c r="B15" s="3" t="s">
        <v>2072</v>
      </c>
      <c r="C15" s="3" t="s">
        <v>95</v>
      </c>
      <c r="D15" s="3" t="s">
        <v>95</v>
      </c>
      <c r="E15" s="3" t="s">
        <v>2030</v>
      </c>
      <c r="F15" s="3" t="s">
        <v>2031</v>
      </c>
      <c r="G15" s="3" t="s">
        <v>2073</v>
      </c>
      <c r="H15" s="3" t="str">
        <f>HYPERLINK("http://www.jccm.es/sede/tramite/I6M","COMUNICACION DE ACTIVIDAD DE DISTRIBUCION DE PRODUCTOS SANITARIOS")</f>
        <v>COMUNICACION DE ACTIVIDAD DE DISTRIBUCION DE PRODUCTOS SANITARIOS</v>
      </c>
      <c r="I15" s="3" t="s">
        <v>42</v>
      </c>
      <c r="J15" s="3" t="s">
        <v>41</v>
      </c>
      <c r="K15" s="3" t="s">
        <v>42</v>
      </c>
      <c r="L15" s="3" t="s">
        <v>42</v>
      </c>
    </row>
    <row r="16" spans="1:12" ht="80.45">
      <c r="A16" s="3" t="s">
        <v>2074</v>
      </c>
      <c r="B16" s="3" t="s">
        <v>2075</v>
      </c>
      <c r="C16" s="3" t="s">
        <v>51</v>
      </c>
      <c r="D16" s="3" t="s">
        <v>37</v>
      </c>
      <c r="E16" s="3" t="s">
        <v>2030</v>
      </c>
      <c r="F16" s="3" t="s">
        <v>2031</v>
      </c>
      <c r="G16" s="3" t="s">
        <v>2076</v>
      </c>
      <c r="H16" s="3" t="str">
        <f>HYPERLINK("http://www.jccm.es/sede/tramite/I6H","AUTORIZACION DE INSTALACION DE ESTABLECIMIENTO DE DISPENSACION DE MEDICAMENTOS VETERINARIOS")</f>
        <v>AUTORIZACION DE INSTALACION DE ESTABLECIMIENTO DE DISPENSACION DE MEDICAMENTOS VETERINARIOS</v>
      </c>
      <c r="I16" s="3" t="s">
        <v>42</v>
      </c>
      <c r="J16" s="3" t="s">
        <v>41</v>
      </c>
      <c r="K16" s="3" t="s">
        <v>42</v>
      </c>
      <c r="L16" s="3" t="s">
        <v>41</v>
      </c>
    </row>
    <row r="17" spans="1:12" ht="80.45">
      <c r="A17" s="3" t="s">
        <v>2077</v>
      </c>
      <c r="B17" s="3" t="s">
        <v>2078</v>
      </c>
      <c r="C17" s="3" t="s">
        <v>2079</v>
      </c>
      <c r="D17" s="3" t="s">
        <v>37</v>
      </c>
      <c r="E17" s="3" t="s">
        <v>2030</v>
      </c>
      <c r="F17" s="3" t="s">
        <v>2031</v>
      </c>
      <c r="G17" s="3" t="s">
        <v>2080</v>
      </c>
      <c r="H17" s="3" t="str">
        <f>HYPERLINK("http://www.jccm.es/sede/tramite/I6G","AUTORIZACION DE INSTALACION DE ENTIDAD DE DISTRIBUCION DE MEDICAMENTOS DE USO HUMANO")</f>
        <v>AUTORIZACION DE INSTALACION DE ENTIDAD DE DISTRIBUCION DE MEDICAMENTOS DE USO HUMANO</v>
      </c>
      <c r="I17" s="3" t="s">
        <v>42</v>
      </c>
      <c r="J17" s="3" t="s">
        <v>41</v>
      </c>
      <c r="K17" s="3" t="s">
        <v>42</v>
      </c>
      <c r="L17" s="3" t="s">
        <v>42</v>
      </c>
    </row>
    <row r="18" spans="1:12" ht="80.45">
      <c r="A18" s="3" t="s">
        <v>2081</v>
      </c>
      <c r="B18" s="3" t="s">
        <v>2082</v>
      </c>
      <c r="C18" s="3" t="s">
        <v>45</v>
      </c>
      <c r="D18" s="3" t="s">
        <v>37</v>
      </c>
      <c r="E18" s="3" t="s">
        <v>2030</v>
      </c>
      <c r="F18" s="3" t="s">
        <v>2031</v>
      </c>
      <c r="G18" s="3" t="s">
        <v>2083</v>
      </c>
      <c r="H18" s="3" t="str">
        <f>HYPERLINK("http://www.jccm.es/sede/tramite/I6O","AUTORIZACION PREVIA DE LOS MENSAJES PUBLICITARIOS DE PRODUCTOS SANITARIOS")</f>
        <v>AUTORIZACION PREVIA DE LOS MENSAJES PUBLICITARIOS DE PRODUCTOS SANITARIOS</v>
      </c>
      <c r="I18" s="3" t="s">
        <v>42</v>
      </c>
      <c r="J18" s="3" t="s">
        <v>41</v>
      </c>
      <c r="K18" s="3" t="s">
        <v>42</v>
      </c>
      <c r="L18" s="3" t="s">
        <v>41</v>
      </c>
    </row>
    <row r="19" spans="1:12" ht="45.95">
      <c r="A19" s="3" t="s">
        <v>2084</v>
      </c>
      <c r="B19" s="3" t="s">
        <v>2085</v>
      </c>
      <c r="C19" s="3" t="s">
        <v>2086</v>
      </c>
      <c r="D19" s="3" t="s">
        <v>95</v>
      </c>
      <c r="E19" s="3" t="s">
        <v>2030</v>
      </c>
      <c r="F19" s="3" t="s">
        <v>2087</v>
      </c>
      <c r="G19" s="3" t="s">
        <v>2088</v>
      </c>
      <c r="H19" s="3" t="str">
        <f>HYPERLINK("http://www.jccm.es/sede/tramite/275","AUTORIZACION DE TRASLADO DE CADAVERES Y RESTOS CADAVERICOS")</f>
        <v>AUTORIZACION DE TRASLADO DE CADAVERES Y RESTOS CADAVERICOS</v>
      </c>
      <c r="I19" s="3" t="s">
        <v>42</v>
      </c>
      <c r="J19" s="3" t="s">
        <v>41</v>
      </c>
      <c r="K19" s="3" t="s">
        <v>41</v>
      </c>
      <c r="L19" s="3" t="s">
        <v>41</v>
      </c>
    </row>
    <row r="20" spans="1:12" ht="45.95">
      <c r="A20" s="3" t="s">
        <v>2089</v>
      </c>
      <c r="B20" s="3" t="s">
        <v>2090</v>
      </c>
      <c r="C20" s="3" t="s">
        <v>45</v>
      </c>
      <c r="D20" s="3" t="s">
        <v>37</v>
      </c>
      <c r="E20" s="3" t="s">
        <v>2030</v>
      </c>
      <c r="F20" s="3" t="s">
        <v>2087</v>
      </c>
      <c r="G20" s="3" t="s">
        <v>2091</v>
      </c>
      <c r="H20" s="3" t="str">
        <f>HYPERLINK("http://www.jccm.es/sede/tramite/IRG","AUTORIZACION DE ESTUDIOS OBSERVACIONALES POST-AUTORIZACION EN CASTILLA-LA MANCHA")</f>
        <v>AUTORIZACION DE ESTUDIOS OBSERVACIONALES POST-AUTORIZACION EN CASTILLA-LA MANCHA</v>
      </c>
      <c r="I20" s="3" t="s">
        <v>42</v>
      </c>
      <c r="J20" s="3" t="s">
        <v>41</v>
      </c>
      <c r="K20" s="3" t="s">
        <v>42</v>
      </c>
      <c r="L20" s="3" t="s">
        <v>41</v>
      </c>
    </row>
    <row r="21" spans="1:12" ht="80.45">
      <c r="A21" s="3" t="s">
        <v>2092</v>
      </c>
      <c r="B21" s="3" t="s">
        <v>2093</v>
      </c>
      <c r="C21" s="3" t="s">
        <v>95</v>
      </c>
      <c r="D21" s="3" t="s">
        <v>95</v>
      </c>
      <c r="E21" s="3" t="s">
        <v>2030</v>
      </c>
      <c r="F21" s="3" t="s">
        <v>2031</v>
      </c>
      <c r="G21" s="3" t="s">
        <v>2094</v>
      </c>
      <c r="H21" s="3" t="str">
        <f>HYPERLINK("http://www.jccm.es/sede/tramite/J6I","COMUNICACION DE LA VARIACION DE DATOS O CESE DE LA ACTIVIDAD DE LOS VEHICULOS DE TRANSPORTE SANITARIO")</f>
        <v>COMUNICACION DE LA VARIACION DE DATOS O CESE DE LA ACTIVIDAD DE LOS VEHICULOS DE TRANSPORTE SANITARIO</v>
      </c>
      <c r="I21" s="3" t="s">
        <v>42</v>
      </c>
      <c r="J21" s="3" t="s">
        <v>41</v>
      </c>
      <c r="K21" s="3" t="s">
        <v>42</v>
      </c>
      <c r="L21" s="3" t="s">
        <v>41</v>
      </c>
    </row>
    <row r="22" spans="1:12" ht="80.45">
      <c r="A22" s="3" t="s">
        <v>2095</v>
      </c>
      <c r="B22" s="3" t="s">
        <v>2096</v>
      </c>
      <c r="C22" s="3" t="s">
        <v>62</v>
      </c>
      <c r="D22" s="3" t="s">
        <v>95</v>
      </c>
      <c r="E22" s="3" t="s">
        <v>2030</v>
      </c>
      <c r="F22" s="3" t="s">
        <v>2031</v>
      </c>
      <c r="G22" s="3" t="s">
        <v>2097</v>
      </c>
      <c r="H22" s="3" t="str">
        <f>HYPERLINK("http://www.jccm.es/sede/tramite/JTI","CONSULTA PREVIA SOBRE AUTORIZACIONES DE CENTROS, SERVICIOS Y ESTABLECIMIENTOS SANITARIOS")</f>
        <v>CONSULTA PREVIA SOBRE AUTORIZACIONES DE CENTROS, SERVICIOS Y ESTABLECIMIENTOS SANITARIOS</v>
      </c>
      <c r="I22" s="3" t="s">
        <v>42</v>
      </c>
      <c r="J22" s="3" t="s">
        <v>41</v>
      </c>
      <c r="K22" s="3" t="s">
        <v>42</v>
      </c>
      <c r="L22" s="3" t="s">
        <v>41</v>
      </c>
    </row>
    <row r="23" spans="1:12" ht="80.45">
      <c r="A23" s="3" t="s">
        <v>2098</v>
      </c>
      <c r="B23" s="3" t="s">
        <v>2099</v>
      </c>
      <c r="C23" s="3" t="s">
        <v>45</v>
      </c>
      <c r="D23" s="3" t="s">
        <v>37</v>
      </c>
      <c r="E23" s="3" t="s">
        <v>2030</v>
      </c>
      <c r="F23" s="3" t="s">
        <v>2031</v>
      </c>
      <c r="G23" s="3" t="s">
        <v>2100</v>
      </c>
      <c r="H23" s="3" t="str">
        <f>HYPERLINK("http://www.jccm.es/sede/tramite/JV0","AUTORIZACION DE FUNCIONAMIENTO DE ESTABLECIMIENTO DE DISPENSACION DE MEDICAMENTOS VETERINARIOS")</f>
        <v>AUTORIZACION DE FUNCIONAMIENTO DE ESTABLECIMIENTO DE DISPENSACION DE MEDICAMENTOS VETERINARIOS</v>
      </c>
      <c r="I23" s="3" t="s">
        <v>42</v>
      </c>
      <c r="J23" s="3" t="s">
        <v>41</v>
      </c>
      <c r="K23" s="3" t="s">
        <v>42</v>
      </c>
      <c r="L23" s="3" t="s">
        <v>41</v>
      </c>
    </row>
    <row r="24" spans="1:12" ht="80.45">
      <c r="A24" s="3" t="s">
        <v>2101</v>
      </c>
      <c r="B24" s="3" t="s">
        <v>2102</v>
      </c>
      <c r="C24" s="3" t="s">
        <v>45</v>
      </c>
      <c r="D24" s="3" t="s">
        <v>37</v>
      </c>
      <c r="E24" s="3" t="s">
        <v>2030</v>
      </c>
      <c r="F24" s="3" t="s">
        <v>2031</v>
      </c>
      <c r="G24" s="3" t="s">
        <v>2103</v>
      </c>
      <c r="H24" s="3" t="str">
        <f>HYPERLINK("http://www.jccm.es/sede/tramite/JV1","AUTORIZACION DE CIERRE DE ESTABLECIMIENTO DE DISPENSACION DE MEDICAMENTOS VETERINARIOS")</f>
        <v>AUTORIZACION DE CIERRE DE ESTABLECIMIENTO DE DISPENSACION DE MEDICAMENTOS VETERINARIOS</v>
      </c>
      <c r="I24" s="3" t="s">
        <v>42</v>
      </c>
      <c r="J24" s="3" t="s">
        <v>41</v>
      </c>
      <c r="K24" s="3" t="s">
        <v>42</v>
      </c>
      <c r="L24" s="3" t="s">
        <v>41</v>
      </c>
    </row>
    <row r="25" spans="1:12" ht="45.95">
      <c r="A25" s="3" t="s">
        <v>2104</v>
      </c>
      <c r="B25" s="3" t="s">
        <v>2105</v>
      </c>
      <c r="C25" s="3" t="s">
        <v>45</v>
      </c>
      <c r="D25" s="3" t="s">
        <v>37</v>
      </c>
      <c r="E25" s="3" t="s">
        <v>2030</v>
      </c>
      <c r="F25" s="3" t="s">
        <v>2087</v>
      </c>
      <c r="G25" s="3" t="s">
        <v>2106</v>
      </c>
      <c r="H25" s="3" t="str">
        <f>HYPERLINK("http://www.jccm.es/sede/tramite/K21","NOTIFICACION DE COMPLEMENTOS ALIMENTICIOS")</f>
        <v>NOTIFICACION DE COMPLEMENTOS ALIMENTICIOS</v>
      </c>
      <c r="I25" s="3" t="s">
        <v>42</v>
      </c>
      <c r="J25" s="3" t="s">
        <v>41</v>
      </c>
      <c r="K25" s="3" t="s">
        <v>42</v>
      </c>
      <c r="L25" s="3" t="s">
        <v>41</v>
      </c>
    </row>
    <row r="26" spans="1:12" ht="45.95">
      <c r="A26" s="3" t="s">
        <v>2107</v>
      </c>
      <c r="B26" s="3" t="s">
        <v>2108</v>
      </c>
      <c r="C26" s="3" t="s">
        <v>95</v>
      </c>
      <c r="D26" s="3" t="s">
        <v>37</v>
      </c>
      <c r="E26" s="3" t="s">
        <v>2030</v>
      </c>
      <c r="F26" s="3" t="s">
        <v>2087</v>
      </c>
      <c r="G26" s="3" t="s">
        <v>2109</v>
      </c>
      <c r="H26" s="3" t="str">
        <f>HYPERLINK("http://www.jccm.es/sede/tramite/K5L","COMUNICACION DE LA CELEBRACION DE CACERIA CUYAS PIEZAS SE DESTINEN AL CONSUMO")</f>
        <v>COMUNICACION DE LA CELEBRACION DE CACERIA CUYAS PIEZAS SE DESTINEN AL CONSUMO</v>
      </c>
      <c r="I26" s="3" t="s">
        <v>42</v>
      </c>
      <c r="J26" s="3" t="s">
        <v>41</v>
      </c>
      <c r="K26" s="3" t="s">
        <v>42</v>
      </c>
      <c r="L26" s="3" t="s">
        <v>41</v>
      </c>
    </row>
    <row r="27" spans="1:12" ht="80.45">
      <c r="A27" s="3" t="s">
        <v>2110</v>
      </c>
      <c r="B27" s="3" t="s">
        <v>2111</v>
      </c>
      <c r="C27" s="3" t="s">
        <v>95</v>
      </c>
      <c r="D27" s="3" t="s">
        <v>2112</v>
      </c>
      <c r="E27" s="3" t="s">
        <v>2030</v>
      </c>
      <c r="F27" s="3" t="s">
        <v>2031</v>
      </c>
      <c r="G27" s="3" t="s">
        <v>2113</v>
      </c>
      <c r="H27" s="3" t="str">
        <f>HYPERLINK("http://www.jccm.es/sede/tramite/KPS","COMUNICACION DE CAMBIO DE DIRECTOR TECNICO, DENOMINACION O TITULARIDAD DE ENTIDAD DE DISTRIBUCION DE MEDICAMENTOS DE USO HUMANO")</f>
        <v>COMUNICACION DE CAMBIO DE DIRECTOR TECNICO, DENOMINACION O TITULARIDAD DE ENTIDAD DE DISTRIBUCION DE MEDICAMENTOS DE USO HUMANO</v>
      </c>
      <c r="I27" s="3" t="s">
        <v>42</v>
      </c>
      <c r="J27" s="3" t="s">
        <v>41</v>
      </c>
      <c r="K27" s="3" t="s">
        <v>42</v>
      </c>
      <c r="L27" s="3" t="s">
        <v>41</v>
      </c>
    </row>
    <row r="28" spans="1:12" ht="80.45">
      <c r="A28" s="3" t="s">
        <v>2114</v>
      </c>
      <c r="B28" s="3" t="s">
        <v>2115</v>
      </c>
      <c r="C28" s="3" t="s">
        <v>2079</v>
      </c>
      <c r="D28" s="3" t="s">
        <v>37</v>
      </c>
      <c r="E28" s="3" t="s">
        <v>2030</v>
      </c>
      <c r="F28" s="3" t="s">
        <v>2031</v>
      </c>
      <c r="G28" s="3" t="s">
        <v>2116</v>
      </c>
      <c r="H28" s="3" t="str">
        <f>HYPERLINK("http://www.jccm.es/sede/tramite/KPT","AUTORIZACION DE FUNCIONAMIENTO DE ENTIDAD DE DISTRIBUCION DE MEDICAMENTOS DE USO HUMANO")</f>
        <v>AUTORIZACION DE FUNCIONAMIENTO DE ENTIDAD DE DISTRIBUCION DE MEDICAMENTOS DE USO HUMANO</v>
      </c>
      <c r="I28" s="3" t="s">
        <v>42</v>
      </c>
      <c r="J28" s="3" t="s">
        <v>41</v>
      </c>
      <c r="K28" s="3" t="s">
        <v>42</v>
      </c>
      <c r="L28" s="3" t="s">
        <v>41</v>
      </c>
    </row>
    <row r="29" spans="1:12" ht="80.45">
      <c r="A29" s="3" t="s">
        <v>2117</v>
      </c>
      <c r="B29" s="3" t="s">
        <v>2118</v>
      </c>
      <c r="C29" s="3" t="s">
        <v>2079</v>
      </c>
      <c r="D29" s="3" t="s">
        <v>37</v>
      </c>
      <c r="E29" s="3" t="s">
        <v>2030</v>
      </c>
      <c r="F29" s="3" t="s">
        <v>2031</v>
      </c>
      <c r="G29" s="3" t="s">
        <v>2119</v>
      </c>
      <c r="H29" s="3" t="str">
        <f>HYPERLINK("http://www.jccm.es/sede/tramite/KPU","AUTORIZACION DE MODIFICACION DE ENTIDAD DE DISTRIBUCION DE MEDICAMENTOS DE USO HUMANO")</f>
        <v>AUTORIZACION DE MODIFICACION DE ENTIDAD DE DISTRIBUCION DE MEDICAMENTOS DE USO HUMANO</v>
      </c>
      <c r="I29" s="3" t="s">
        <v>42</v>
      </c>
      <c r="J29" s="3" t="s">
        <v>41</v>
      </c>
      <c r="K29" s="3" t="s">
        <v>42</v>
      </c>
      <c r="L29" s="3" t="s">
        <v>41</v>
      </c>
    </row>
    <row r="30" spans="1:12" ht="80.45">
      <c r="A30" s="3" t="s">
        <v>2120</v>
      </c>
      <c r="B30" s="3" t="s">
        <v>2121</v>
      </c>
      <c r="C30" s="3" t="s">
        <v>2079</v>
      </c>
      <c r="D30" s="3" t="s">
        <v>37</v>
      </c>
      <c r="E30" s="3" t="s">
        <v>2030</v>
      </c>
      <c r="F30" s="3" t="s">
        <v>2031</v>
      </c>
      <c r="G30" s="3" t="s">
        <v>2122</v>
      </c>
      <c r="H30" s="3" t="str">
        <f>HYPERLINK("http://www.jccm.es/sede/tramite/KPV","AUTORIZACION DE CIERRE DE ENTIDAD DE DISTRIBUCION DE MEDICAMENTOS DE USO HUMANO")</f>
        <v>AUTORIZACION DE CIERRE DE ENTIDAD DE DISTRIBUCION DE MEDICAMENTOS DE USO HUMANO</v>
      </c>
      <c r="I30" s="3" t="s">
        <v>42</v>
      </c>
      <c r="J30" s="3" t="s">
        <v>41</v>
      </c>
      <c r="K30" s="3" t="s">
        <v>42</v>
      </c>
      <c r="L30" s="3" t="s">
        <v>41</v>
      </c>
    </row>
    <row r="31" spans="1:12" ht="80.45">
      <c r="A31" s="3" t="s">
        <v>2123</v>
      </c>
      <c r="B31" s="3" t="s">
        <v>2124</v>
      </c>
      <c r="C31" s="3" t="s">
        <v>95</v>
      </c>
      <c r="D31" s="3" t="s">
        <v>95</v>
      </c>
      <c r="E31" s="3" t="s">
        <v>2030</v>
      </c>
      <c r="F31" s="3" t="s">
        <v>2031</v>
      </c>
      <c r="G31" s="3" t="s">
        <v>2125</v>
      </c>
      <c r="H31" s="3" t="str">
        <f>HYPERLINK("http://www.jccm.es/sede/tramite/KQO","COMUNICACION DE REINICIO DE ACTIVIDAD DE OFICINA DE FARMACIA TRAS CIERRE TEMPORAL.")</f>
        <v>COMUNICACION DE REINICIO DE ACTIVIDAD DE OFICINA DE FARMACIA TRAS CIERRE TEMPORAL.</v>
      </c>
      <c r="I31" s="3" t="s">
        <v>41</v>
      </c>
      <c r="J31" s="3" t="s">
        <v>41</v>
      </c>
      <c r="K31" s="3" t="s">
        <v>42</v>
      </c>
      <c r="L31" s="3" t="s">
        <v>41</v>
      </c>
    </row>
    <row r="32" spans="1:12" ht="80.45">
      <c r="A32" s="3" t="s">
        <v>2126</v>
      </c>
      <c r="B32" s="3" t="s">
        <v>2127</v>
      </c>
      <c r="C32" s="3" t="s">
        <v>45</v>
      </c>
      <c r="D32" s="3" t="s">
        <v>37</v>
      </c>
      <c r="E32" s="3" t="s">
        <v>2030</v>
      </c>
      <c r="F32" s="3" t="s">
        <v>2031</v>
      </c>
      <c r="G32" s="3" t="s">
        <v>2128</v>
      </c>
      <c r="H32" s="3" t="str">
        <f>HYPERLINK("http://www.jccm.es/sede/tramite/KSC","AUTORIZACION DE ACTIVIDADES DE PROMOCION Y PUBLICIDAD EN APOYO DE LA  DONACION-OBTENCION DE TEJIDOS Y CELULAS DE ORIGEN HUMANO EN CASTILLA-LA MANCHA.")</f>
        <v>AUTORIZACION DE ACTIVIDADES DE PROMOCION Y PUBLICIDAD EN APOYO DE LA  DONACION-OBTENCION DE TEJIDOS Y CELULAS DE ORIGEN HUMANO EN CASTILLA-LA MANCHA.</v>
      </c>
      <c r="I32" s="3" t="s">
        <v>42</v>
      </c>
      <c r="J32" s="3" t="s">
        <v>41</v>
      </c>
      <c r="K32" s="3" t="s">
        <v>42</v>
      </c>
      <c r="L32" s="3" t="s">
        <v>41</v>
      </c>
    </row>
    <row r="33" spans="1:12" ht="80.45">
      <c r="A33" s="3" t="s">
        <v>2129</v>
      </c>
      <c r="B33" s="3" t="s">
        <v>2130</v>
      </c>
      <c r="C33" s="3" t="s">
        <v>95</v>
      </c>
      <c r="D33" s="3" t="s">
        <v>95</v>
      </c>
      <c r="E33" s="3" t="s">
        <v>2030</v>
      </c>
      <c r="F33" s="3" t="s">
        <v>2031</v>
      </c>
      <c r="G33" s="3" t="s">
        <v>2131</v>
      </c>
      <c r="H33" s="3" t="str">
        <f>HYPERLINK("http://www.jccm.es/sede/tramite/KTI","COMUNICACION PREVIA DE VENTA A DISTANCIA AL PUBLICO DE MEDICAMENTOS VETERINARIOS NO SUJETOS A PRESCRIPCION VETERINARIA.")</f>
        <v>COMUNICACION PREVIA DE VENTA A DISTANCIA AL PUBLICO DE MEDICAMENTOS VETERINARIOS NO SUJETOS A PRESCRIPCION VETERINARIA.</v>
      </c>
      <c r="I33" s="3" t="s">
        <v>41</v>
      </c>
      <c r="J33" s="3" t="s">
        <v>41</v>
      </c>
      <c r="K33" s="3" t="s">
        <v>42</v>
      </c>
      <c r="L33" s="3" t="s">
        <v>41</v>
      </c>
    </row>
    <row r="34" spans="1:12" ht="80.45">
      <c r="A34" s="3" t="s">
        <v>2132</v>
      </c>
      <c r="B34" s="3" t="s">
        <v>2133</v>
      </c>
      <c r="C34" s="3" t="s">
        <v>45</v>
      </c>
      <c r="D34" s="3" t="s">
        <v>37</v>
      </c>
      <c r="E34" s="3" t="s">
        <v>2030</v>
      </c>
      <c r="F34" s="3" t="s">
        <v>2031</v>
      </c>
      <c r="G34" s="3" t="s">
        <v>2134</v>
      </c>
      <c r="H34" s="3" t="str">
        <f>HYPERLINK("http://www.jccm.es/sede/tramite/KXD","AUTORIZACION DE MODIFICACION DE INSTALACIONES O TRASLADO DE ESTABLECIMIENTO DE DISPENSACION DE MEDICAMENTOS VETERINARIOS")</f>
        <v>AUTORIZACION DE MODIFICACION DE INSTALACIONES O TRASLADO DE ESTABLECIMIENTO DE DISPENSACION DE MEDICAMENTOS VETERINARIOS</v>
      </c>
      <c r="I34" s="3" t="s">
        <v>42</v>
      </c>
      <c r="J34" s="3" t="s">
        <v>41</v>
      </c>
      <c r="K34" s="3" t="s">
        <v>42</v>
      </c>
      <c r="L34" s="3" t="s">
        <v>41</v>
      </c>
    </row>
    <row r="35" spans="1:12" ht="80.45">
      <c r="A35" s="3" t="s">
        <v>2135</v>
      </c>
      <c r="B35" s="3" t="s">
        <v>2136</v>
      </c>
      <c r="C35" s="3" t="s">
        <v>95</v>
      </c>
      <c r="D35" s="3" t="s">
        <v>95</v>
      </c>
      <c r="E35" s="3" t="s">
        <v>2030</v>
      </c>
      <c r="F35" s="3" t="s">
        <v>2031</v>
      </c>
      <c r="G35" s="3" t="s">
        <v>2137</v>
      </c>
      <c r="H35" s="3" t="str">
        <f>HYPERLINK("http://www.jccm.es/sede/tramite/L0F","COMUNICACION DE BOTIQUIN CLINICO VETERINARIO")</f>
        <v>COMUNICACION DE BOTIQUIN CLINICO VETERINARIO</v>
      </c>
      <c r="I35" s="3" t="s">
        <v>41</v>
      </c>
      <c r="J35" s="3" t="s">
        <v>41</v>
      </c>
      <c r="K35" s="3" t="s">
        <v>42</v>
      </c>
      <c r="L35" s="3" t="s">
        <v>41</v>
      </c>
    </row>
    <row r="36" spans="1:12" ht="69">
      <c r="A36" s="3" t="s">
        <v>2138</v>
      </c>
      <c r="B36" s="3" t="s">
        <v>2139</v>
      </c>
      <c r="C36" s="3" t="s">
        <v>2140</v>
      </c>
      <c r="D36" s="3" t="s">
        <v>46</v>
      </c>
      <c r="E36" s="3" t="s">
        <v>2030</v>
      </c>
      <c r="F36" s="3" t="s">
        <v>2087</v>
      </c>
      <c r="G36" s="3" t="s">
        <v>2141</v>
      </c>
      <c r="H36" s="3" t="str">
        <f>HYPERLINK("http://www.jccm.es/sede/tramite/L1Y","AUTORIZACION COMO VETERINARIO ACTUANTE PARA INSPECCIONES  IN SITU  EN UNA ACTIVIDAD CINEGETICA O INSPECCIONES DE PIEZAS DE CAZA PARA AUTOCONSUMO.")</f>
        <v>AUTORIZACION COMO VETERINARIO ACTUANTE PARA INSPECCIONES  IN SITU  EN UNA ACTIVIDAD CINEGETICA O INSPECCIONES DE PIEZAS DE CAZA PARA AUTOCONSUMO.</v>
      </c>
      <c r="I36" s="3" t="s">
        <v>41</v>
      </c>
      <c r="J36" s="3" t="s">
        <v>41</v>
      </c>
      <c r="K36" s="3" t="s">
        <v>42</v>
      </c>
      <c r="L36" s="3" t="s">
        <v>41</v>
      </c>
    </row>
    <row r="37" spans="1:12" ht="80.45">
      <c r="A37" s="3" t="s">
        <v>2142</v>
      </c>
      <c r="B37" s="3" t="s">
        <v>2143</v>
      </c>
      <c r="C37" s="3" t="s">
        <v>95</v>
      </c>
      <c r="D37" s="3" t="s">
        <v>95</v>
      </c>
      <c r="E37" s="3" t="s">
        <v>2030</v>
      </c>
      <c r="F37" s="3" t="s">
        <v>2031</v>
      </c>
      <c r="G37" s="3" t="s">
        <v>2144</v>
      </c>
      <c r="H37" s="3" t="str">
        <f>HYPERLINK("http://www.jccm.es/sede/tramite/L43","COMUNICACION DE ELABORACION DE SISTEMAS PERSONALIZADOS DE DOSIFICACION EN OFICINA DE FARMACIA.")</f>
        <v>COMUNICACION DE ELABORACION DE SISTEMAS PERSONALIZADOS DE DOSIFICACION EN OFICINA DE FARMACIA.</v>
      </c>
      <c r="I37" s="3" t="s">
        <v>41</v>
      </c>
      <c r="J37" s="3" t="s">
        <v>41</v>
      </c>
      <c r="K37" s="3" t="s">
        <v>42</v>
      </c>
      <c r="L37" s="3" t="s">
        <v>41</v>
      </c>
    </row>
    <row r="38" spans="1:12" ht="80.45">
      <c r="A38" s="3" t="s">
        <v>2145</v>
      </c>
      <c r="B38" s="3" t="s">
        <v>2146</v>
      </c>
      <c r="C38" s="3" t="s">
        <v>459</v>
      </c>
      <c r="D38" s="3" t="s">
        <v>37</v>
      </c>
      <c r="E38" s="3" t="s">
        <v>2030</v>
      </c>
      <c r="F38" s="3" t="s">
        <v>2031</v>
      </c>
      <c r="G38" s="3" t="s">
        <v>2147</v>
      </c>
      <c r="H38" s="3" t="str">
        <f>HYPERLINK("http://www.jccm.es/sede/tramite/L4M","SOLICITUD AUTORIZACION DE LIBROS OFICIALES DE OFICINA DE FARMACIA")</f>
        <v>SOLICITUD AUTORIZACION DE LIBROS OFICIALES DE OFICINA DE FARMACIA</v>
      </c>
      <c r="I38" s="3" t="s">
        <v>41</v>
      </c>
      <c r="J38" s="3" t="s">
        <v>41</v>
      </c>
      <c r="K38" s="3" t="s">
        <v>42</v>
      </c>
      <c r="L38" s="3" t="s">
        <v>41</v>
      </c>
    </row>
    <row r="39" spans="1:12" ht="80.45">
      <c r="A39" s="3" t="s">
        <v>2148</v>
      </c>
      <c r="B39" s="3" t="s">
        <v>2149</v>
      </c>
      <c r="C39" s="3" t="s">
        <v>459</v>
      </c>
      <c r="D39" s="3" t="s">
        <v>37</v>
      </c>
      <c r="E39" s="3" t="s">
        <v>2030</v>
      </c>
      <c r="F39" s="3" t="s">
        <v>2031</v>
      </c>
      <c r="G39" s="3" t="s">
        <v>2150</v>
      </c>
      <c r="H39" s="3" t="str">
        <f>HYPERLINK("http://www.jccm.es/sede/tramite/L4L","COMUNICACION DE DESIGNACION DE LOCAL DE UNA NUEVA OFICINA DE FARMACIA.")</f>
        <v>COMUNICACION DE DESIGNACION DE LOCAL DE UNA NUEVA OFICINA DE FARMACIA.</v>
      </c>
      <c r="I39" s="3" t="s">
        <v>41</v>
      </c>
      <c r="J39" s="3" t="s">
        <v>41</v>
      </c>
      <c r="K39" s="3" t="s">
        <v>42</v>
      </c>
      <c r="L39" s="3" t="s">
        <v>41</v>
      </c>
    </row>
    <row r="40" spans="1:12" ht="80.45">
      <c r="A40" s="3" t="s">
        <v>2151</v>
      </c>
      <c r="B40" s="3" t="s">
        <v>2152</v>
      </c>
      <c r="C40" s="3" t="s">
        <v>45</v>
      </c>
      <c r="D40" s="3" t="s">
        <v>37</v>
      </c>
      <c r="E40" s="3" t="s">
        <v>2030</v>
      </c>
      <c r="F40" s="3" t="s">
        <v>2031</v>
      </c>
      <c r="G40" s="3" t="s">
        <v>2153</v>
      </c>
      <c r="H40" s="3" t="str">
        <f>HYPERLINK("http://www.jccm.es/sede/tramite/L4O","AUTORIZACION DE INSTALACION DE CARTEL DE LA OFICINA DE FARMACIA EN UBICACION EXTRAORDINARIA")</f>
        <v>AUTORIZACION DE INSTALACION DE CARTEL DE LA OFICINA DE FARMACIA EN UBICACION EXTRAORDINARIA</v>
      </c>
      <c r="I40" s="3" t="s">
        <v>41</v>
      </c>
      <c r="J40" s="3" t="s">
        <v>41</v>
      </c>
      <c r="K40" s="3" t="s">
        <v>42</v>
      </c>
      <c r="L40" s="3" t="s">
        <v>41</v>
      </c>
    </row>
    <row r="41" spans="1:12" ht="80.45">
      <c r="A41" s="3" t="s">
        <v>2154</v>
      </c>
      <c r="B41" s="3" t="s">
        <v>2155</v>
      </c>
      <c r="C41" s="3" t="s">
        <v>95</v>
      </c>
      <c r="D41" s="3" t="s">
        <v>95</v>
      </c>
      <c r="E41" s="3" t="s">
        <v>2030</v>
      </c>
      <c r="F41" s="3" t="s">
        <v>2031</v>
      </c>
      <c r="G41" s="3" t="s">
        <v>2156</v>
      </c>
      <c r="H41" s="3" t="str">
        <f>HYPERLINK("http://www.jccm.es/sede/tramite/L4N","COMUNICACION DE BUSQUEDA DE FARMACEUTICO ADJUNTO PARA LA OFICINA DE FARMACIA")</f>
        <v>COMUNICACION DE BUSQUEDA DE FARMACEUTICO ADJUNTO PARA LA OFICINA DE FARMACIA</v>
      </c>
      <c r="I41" s="3" t="s">
        <v>41</v>
      </c>
      <c r="J41" s="3" t="s">
        <v>41</v>
      </c>
      <c r="K41" s="3" t="s">
        <v>42</v>
      </c>
      <c r="L41" s="3" t="s">
        <v>41</v>
      </c>
    </row>
    <row r="42" spans="1:12" ht="80.45">
      <c r="A42" s="3" t="s">
        <v>2157</v>
      </c>
      <c r="B42" s="3" t="s">
        <v>2158</v>
      </c>
      <c r="C42" s="3" t="s">
        <v>62</v>
      </c>
      <c r="D42" s="3" t="s">
        <v>46</v>
      </c>
      <c r="E42" s="3" t="s">
        <v>2030</v>
      </c>
      <c r="F42" s="3" t="s">
        <v>2031</v>
      </c>
      <c r="G42" s="3" t="s">
        <v>2159</v>
      </c>
      <c r="H42" s="3" t="str">
        <f>HYPERLINK("http://www.jccm.es/sede/tramite/L4P","SOLICITUD DE INSTALACION DE UN BOTIQUIN POR AYUNTAMIENTOS")</f>
        <v>SOLICITUD DE INSTALACION DE UN BOTIQUIN POR AYUNTAMIENTOS</v>
      </c>
      <c r="I42" s="3" t="s">
        <v>41</v>
      </c>
      <c r="J42" s="3" t="s">
        <v>41</v>
      </c>
      <c r="K42" s="3" t="s">
        <v>42</v>
      </c>
      <c r="L42" s="3" t="s">
        <v>41</v>
      </c>
    </row>
    <row r="43" spans="1:12" ht="80.45">
      <c r="A43" s="3" t="s">
        <v>2160</v>
      </c>
      <c r="B43" s="3" t="s">
        <v>2161</v>
      </c>
      <c r="C43" s="3" t="s">
        <v>95</v>
      </c>
      <c r="D43" s="3" t="s">
        <v>95</v>
      </c>
      <c r="E43" s="3" t="s">
        <v>2030</v>
      </c>
      <c r="F43" s="3" t="s">
        <v>2031</v>
      </c>
      <c r="G43" s="3" t="s">
        <v>2162</v>
      </c>
      <c r="H43" s="3" t="str">
        <f>HYPERLINK("http://www.jccm.es/sede/tramite/L7S","COMUNICACION DEL COLEGIO OFICIAL DE FARMACEUTICOS SOBRE HORARIO SUPERIOR AL MINIMO OFICIAL DE OFICINAS DE FARMACIA O SOBRE SUSTITUTO EN CASO DE AUSENCIA POR VACACIONES.")</f>
        <v>COMUNICACION DEL COLEGIO OFICIAL DE FARMACEUTICOS SOBRE HORARIO SUPERIOR AL MINIMO OFICIAL DE OFICINAS DE FARMACIA O SOBRE SUSTITUTO EN CASO DE AUSENCIA POR VACACIONES.</v>
      </c>
      <c r="I43" s="3" t="s">
        <v>41</v>
      </c>
      <c r="J43" s="3" t="s">
        <v>41</v>
      </c>
      <c r="K43" s="3" t="s">
        <v>42</v>
      </c>
      <c r="L43" s="3" t="s">
        <v>41</v>
      </c>
    </row>
    <row r="44" spans="1:12" ht="80.45">
      <c r="A44" s="3" t="s">
        <v>2163</v>
      </c>
      <c r="B44" s="3" t="s">
        <v>2164</v>
      </c>
      <c r="C44" s="3" t="s">
        <v>95</v>
      </c>
      <c r="D44" s="3" t="s">
        <v>95</v>
      </c>
      <c r="E44" s="3" t="s">
        <v>2030</v>
      </c>
      <c r="F44" s="3" t="s">
        <v>2031</v>
      </c>
      <c r="G44" s="3" t="s">
        <v>2165</v>
      </c>
      <c r="H44" s="3" t="str">
        <f>HYPERLINK("http://www.jccm.es/sede/tramite/L7T","COMUNICACION DE GUARDIAS LOCALIZADAS, PERMUTA DEL SERVICIO DE URGENCIA Y PRESTACION DEL HORARIO MINIMO OFICIAL CONTINUADO EN OFICINAS DE FARMACIA.")</f>
        <v>COMUNICACION DE GUARDIAS LOCALIZADAS, PERMUTA DEL SERVICIO DE URGENCIA Y PRESTACION DEL HORARIO MINIMO OFICIAL CONTINUADO EN OFICINAS DE FARMACIA.</v>
      </c>
      <c r="I44" s="3" t="s">
        <v>41</v>
      </c>
      <c r="J44" s="3" t="s">
        <v>41</v>
      </c>
      <c r="K44" s="3" t="s">
        <v>42</v>
      </c>
      <c r="L44" s="3" t="s">
        <v>41</v>
      </c>
    </row>
    <row r="45" spans="1:12" ht="80.45">
      <c r="A45" s="3" t="s">
        <v>2166</v>
      </c>
      <c r="B45" s="3" t="s">
        <v>2167</v>
      </c>
      <c r="C45" s="3" t="s">
        <v>95</v>
      </c>
      <c r="D45" s="3" t="s">
        <v>95</v>
      </c>
      <c r="E45" s="3" t="s">
        <v>2030</v>
      </c>
      <c r="F45" s="3" t="s">
        <v>2031</v>
      </c>
      <c r="G45" s="3" t="s">
        <v>2168</v>
      </c>
      <c r="H45" s="3" t="str">
        <f>HYPERLINK("http://www.jccm.es/sede/tramite/L7U","COMUNICACION DE CIERRE DE OFICINA DE FARMACIA POR ASUNTOS PARTICULARES O POR CAUSAS INVOLUNTARIAS.")</f>
        <v>COMUNICACION DE CIERRE DE OFICINA DE FARMACIA POR ASUNTOS PARTICULARES O POR CAUSAS INVOLUNTARIAS.</v>
      </c>
      <c r="I45" s="3" t="s">
        <v>41</v>
      </c>
      <c r="J45" s="3" t="s">
        <v>41</v>
      </c>
      <c r="K45" s="3" t="s">
        <v>42</v>
      </c>
      <c r="L45" s="3" t="s">
        <v>41</v>
      </c>
    </row>
    <row r="46" spans="1:12" ht="45.95">
      <c r="A46" s="3" t="s">
        <v>2169</v>
      </c>
      <c r="B46" s="3" t="s">
        <v>2170</v>
      </c>
      <c r="C46" s="3" t="s">
        <v>70</v>
      </c>
      <c r="D46" s="3" t="s">
        <v>46</v>
      </c>
      <c r="E46" s="3" t="s">
        <v>2030</v>
      </c>
      <c r="F46" s="3" t="s">
        <v>2087</v>
      </c>
      <c r="G46" s="3" t="s">
        <v>2171</v>
      </c>
      <c r="H46" s="3" t="str">
        <f>HYPERLINK("http://www.jccm.es/sede/tramite/LAV","AUTORIZACION COMO VETERINARIO COLABORADOR EN MATANZAS DOMICILIARIAS DE CERDOS.")</f>
        <v>AUTORIZACION COMO VETERINARIO COLABORADOR EN MATANZAS DOMICILIARIAS DE CERDOS.</v>
      </c>
      <c r="I46" s="3" t="s">
        <v>41</v>
      </c>
      <c r="J46" s="3" t="s">
        <v>41</v>
      </c>
      <c r="K46" s="3" t="s">
        <v>42</v>
      </c>
      <c r="L46" s="3" t="s">
        <v>41</v>
      </c>
    </row>
    <row r="47" spans="1:12" ht="80.45">
      <c r="A47" s="3" t="s">
        <v>2172</v>
      </c>
      <c r="B47" s="3" t="s">
        <v>2173</v>
      </c>
      <c r="C47" s="3" t="s">
        <v>232</v>
      </c>
      <c r="D47" s="3" t="s">
        <v>37</v>
      </c>
      <c r="E47" s="3" t="s">
        <v>2030</v>
      </c>
      <c r="F47" s="3" t="s">
        <v>2031</v>
      </c>
      <c r="G47" s="3" t="s">
        <v>2174</v>
      </c>
      <c r="H47" s="3" t="str">
        <f>HYPERLINK("http://www.jccm.es/sede/tramite/L05","COMUNICACION DE CESE TOTAL O PARCIAL DE ACTIVIDADES DE CENTROS, SERVICIOS Y ESTABLECIMIENTOS SANITARIOS SIN INTERNAMIENTO")</f>
        <v>COMUNICACION DE CESE TOTAL O PARCIAL DE ACTIVIDADES DE CENTROS, SERVICIOS Y ESTABLECIMIENTOS SANITARIOS SIN INTERNAMIENTO</v>
      </c>
      <c r="I47" s="3" t="s">
        <v>42</v>
      </c>
      <c r="J47" s="3" t="s">
        <v>41</v>
      </c>
      <c r="K47" s="3" t="s">
        <v>42</v>
      </c>
      <c r="L47" s="3" t="s">
        <v>41</v>
      </c>
    </row>
    <row r="48" spans="1:12" ht="80.45">
      <c r="A48" s="3" t="s">
        <v>2175</v>
      </c>
      <c r="B48" s="3" t="s">
        <v>2176</v>
      </c>
      <c r="C48" s="3" t="s">
        <v>232</v>
      </c>
      <c r="D48" s="3" t="s">
        <v>37</v>
      </c>
      <c r="E48" s="3" t="s">
        <v>2030</v>
      </c>
      <c r="F48" s="3" t="s">
        <v>2031</v>
      </c>
      <c r="G48" s="3" t="s">
        <v>2177</v>
      </c>
      <c r="H48" s="3" t="str">
        <f>HYPERLINK("http://www.jccm.es/sede/tramite/JTE","AUTORIZACION DE INSTALACION DE CENTROS, SERVICIOS Y ESTABLECIMIENTOS SANITARIOS SIN INTERNAMIENTO")</f>
        <v>AUTORIZACION DE INSTALACION DE CENTROS, SERVICIOS Y ESTABLECIMIENTOS SANITARIOS SIN INTERNAMIENTO</v>
      </c>
      <c r="I48" s="3" t="s">
        <v>42</v>
      </c>
      <c r="J48" s="3" t="s">
        <v>41</v>
      </c>
      <c r="K48" s="3" t="s">
        <v>42</v>
      </c>
      <c r="L48" s="3" t="s">
        <v>41</v>
      </c>
    </row>
    <row r="49" spans="1:12" ht="80.45">
      <c r="A49" s="3" t="s">
        <v>2178</v>
      </c>
      <c r="B49" s="3" t="s">
        <v>2179</v>
      </c>
      <c r="C49" s="3" t="s">
        <v>232</v>
      </c>
      <c r="D49" s="3" t="s">
        <v>37</v>
      </c>
      <c r="E49" s="3" t="s">
        <v>2030</v>
      </c>
      <c r="F49" s="3" t="s">
        <v>2031</v>
      </c>
      <c r="G49" s="3" t="s">
        <v>2180</v>
      </c>
      <c r="H49" s="3" t="str">
        <f>HYPERLINK("http://www.jccm.es/sede/tramite/JRE","AUTORIZACION DE MODIFICACION DE ACTIVIDADES DE CENTROS, SERVICIOS Y ESTABLECIMIENTOS SANITARIOS SIN INTERNAMIENTO")</f>
        <v>AUTORIZACION DE MODIFICACION DE ACTIVIDADES DE CENTROS, SERVICIOS Y ESTABLECIMIENTOS SANITARIOS SIN INTERNAMIENTO</v>
      </c>
      <c r="I49" s="3" t="s">
        <v>42</v>
      </c>
      <c r="J49" s="3" t="s">
        <v>41</v>
      </c>
      <c r="K49" s="3" t="s">
        <v>42</v>
      </c>
      <c r="L49" s="3" t="s">
        <v>41</v>
      </c>
    </row>
    <row r="50" spans="1:12" ht="92.1">
      <c r="A50" s="3" t="s">
        <v>2181</v>
      </c>
      <c r="B50" s="3" t="s">
        <v>2182</v>
      </c>
      <c r="C50" s="3" t="s">
        <v>232</v>
      </c>
      <c r="D50" s="3" t="s">
        <v>37</v>
      </c>
      <c r="E50" s="3" t="s">
        <v>2030</v>
      </c>
      <c r="F50" s="3" t="s">
        <v>2031</v>
      </c>
      <c r="G50" s="3" t="s">
        <v>2183</v>
      </c>
      <c r="H50" s="3" t="str">
        <f>HYPERLINK("http://www.jccm.es/sede/tramite/JRD","AUTORIZACION DE MODIFICACION QUE REQUIERE LA REALIZACION DE OBRAS O INSTALACIONES DE CENTROS, SERVICIOS Y ESTABLECIMIENTOS SANITARIOS SIN INTERNAMIENTO")</f>
        <v>AUTORIZACION DE MODIFICACION QUE REQUIERE LA REALIZACION DE OBRAS O INSTALACIONES DE CENTROS, SERVICIOS Y ESTABLECIMIENTOS SANITARIOS SIN INTERNAMIENTO</v>
      </c>
      <c r="I50" s="3" t="s">
        <v>42</v>
      </c>
      <c r="J50" s="3" t="s">
        <v>41</v>
      </c>
      <c r="K50" s="3" t="s">
        <v>42</v>
      </c>
      <c r="L50" s="3" t="s">
        <v>41</v>
      </c>
    </row>
    <row r="51" spans="1:12" ht="80.45">
      <c r="A51" s="3" t="s">
        <v>2184</v>
      </c>
      <c r="B51" s="3" t="s">
        <v>2185</v>
      </c>
      <c r="C51" s="3" t="s">
        <v>232</v>
      </c>
      <c r="D51" s="3" t="s">
        <v>37</v>
      </c>
      <c r="E51" s="3" t="s">
        <v>2030</v>
      </c>
      <c r="F51" s="3" t="s">
        <v>2031</v>
      </c>
      <c r="G51" s="3" t="s">
        <v>2186</v>
      </c>
      <c r="H51" s="3" t="str">
        <f>HYPERLINK("http://www.jccm.es/sede/tramite/JRC","AUTORIZACION DE PUESTA EN FUNCIONAMIENTO DE CENTROS, SERVICIOS Y ESTABLECIMIENTOS SANITARIOS SIN INTERNAMIENTO")</f>
        <v>AUTORIZACION DE PUESTA EN FUNCIONAMIENTO DE CENTROS, SERVICIOS Y ESTABLECIMIENTOS SANITARIOS SIN INTERNAMIENTO</v>
      </c>
      <c r="I51" s="3" t="s">
        <v>42</v>
      </c>
      <c r="J51" s="3" t="s">
        <v>41</v>
      </c>
      <c r="K51" s="3" t="s">
        <v>42</v>
      </c>
      <c r="L51" s="3" t="s">
        <v>41</v>
      </c>
    </row>
    <row r="52" spans="1:12" ht="80.45">
      <c r="A52" s="3" t="s">
        <v>2187</v>
      </c>
      <c r="B52" s="3" t="s">
        <v>2188</v>
      </c>
      <c r="C52" s="3" t="s">
        <v>232</v>
      </c>
      <c r="D52" s="3" t="s">
        <v>37</v>
      </c>
      <c r="E52" s="3" t="s">
        <v>2030</v>
      </c>
      <c r="F52" s="3" t="s">
        <v>2031</v>
      </c>
      <c r="G52" s="3" t="s">
        <v>2189</v>
      </c>
      <c r="H52" s="3" t="str">
        <f>HYPERLINK("http://www.jccm.es/sede/tramite/JTF","AUTORIZACION DE CESE TOTAL O PARCIAL DE CENTROS Y SERVICIOS SANITARIOS SIN INTERNAMIENTO")</f>
        <v>AUTORIZACION DE CESE TOTAL O PARCIAL DE CENTROS Y SERVICIOS SANITARIOS SIN INTERNAMIENTO</v>
      </c>
      <c r="I52" s="3" t="s">
        <v>42</v>
      </c>
      <c r="J52" s="3" t="s">
        <v>41</v>
      </c>
      <c r="K52" s="3" t="s">
        <v>42</v>
      </c>
      <c r="L52" s="3" t="s">
        <v>41</v>
      </c>
    </row>
    <row r="53" spans="1:12" ht="80.45">
      <c r="A53" s="3" t="s">
        <v>2190</v>
      </c>
      <c r="B53" s="3" t="s">
        <v>2191</v>
      </c>
      <c r="C53" s="3" t="s">
        <v>232</v>
      </c>
      <c r="D53" s="3" t="s">
        <v>37</v>
      </c>
      <c r="E53" s="3" t="s">
        <v>2030</v>
      </c>
      <c r="F53" s="3" t="s">
        <v>2031</v>
      </c>
      <c r="G53" s="3" t="s">
        <v>2192</v>
      </c>
      <c r="H53" s="3" t="str">
        <f>HYPERLINK("http://www.jccm.es/sede/tramite/JRF","AUTORIZACION DE RENOVACION DE LA AUTORIZACION DE PUESTA EN FUNCIONAMIENTO DE CENTROS, SERVICIOS Y ESTABLECIMIENTOS SANITARIOS SIN INTERNAMIENTO")</f>
        <v>AUTORIZACION DE RENOVACION DE LA AUTORIZACION DE PUESTA EN FUNCIONAMIENTO DE CENTROS, SERVICIOS Y ESTABLECIMIENTOS SANITARIOS SIN INTERNAMIENTO</v>
      </c>
      <c r="I53" s="3" t="s">
        <v>42</v>
      </c>
      <c r="J53" s="3" t="s">
        <v>41</v>
      </c>
      <c r="K53" s="3" t="s">
        <v>42</v>
      </c>
      <c r="L53" s="3" t="s">
        <v>41</v>
      </c>
    </row>
    <row r="54" spans="1:12" ht="80.45">
      <c r="A54" s="3" t="s">
        <v>2193</v>
      </c>
      <c r="B54" s="3" t="s">
        <v>2194</v>
      </c>
      <c r="C54" s="3" t="s">
        <v>45</v>
      </c>
      <c r="D54" s="3" t="s">
        <v>37</v>
      </c>
      <c r="E54" s="3" t="s">
        <v>2030</v>
      </c>
      <c r="F54" s="3" t="s">
        <v>2031</v>
      </c>
      <c r="G54" s="3" t="s">
        <v>2195</v>
      </c>
      <c r="H54" s="3" t="str">
        <f>HYPERLINK("http://www.jccm.es/sede/tramite/JRG","CONCESION DE  LICENCIAS DE FUNCIONAMIENTO A LOS FABRICANTES DE PRODUCTOS SANITARIOS A MEDIDA")</f>
        <v>CONCESION DE  LICENCIAS DE FUNCIONAMIENTO A LOS FABRICANTES DE PRODUCTOS SANITARIOS A MEDIDA</v>
      </c>
      <c r="I54" s="3" t="s">
        <v>42</v>
      </c>
      <c r="J54" s="3" t="s">
        <v>41</v>
      </c>
      <c r="K54" s="3" t="s">
        <v>42</v>
      </c>
      <c r="L54" s="3" t="s">
        <v>41</v>
      </c>
    </row>
    <row r="55" spans="1:12" ht="80.45">
      <c r="A55" s="3" t="s">
        <v>2196</v>
      </c>
      <c r="B55" s="3" t="s">
        <v>2197</v>
      </c>
      <c r="C55" s="3" t="s">
        <v>45</v>
      </c>
      <c r="D55" s="3" t="s">
        <v>37</v>
      </c>
      <c r="E55" s="3" t="s">
        <v>2030</v>
      </c>
      <c r="F55" s="3" t="s">
        <v>2031</v>
      </c>
      <c r="G55" s="3" t="s">
        <v>2198</v>
      </c>
      <c r="H55" s="3" t="str">
        <f>HYPERLINK("http://www.jccm.es/sede/tramite/JTN","RENOVACION DE LA CONCESION DE LICENCIAS DE FUNCIONAMIENTO A LOS FABRICANTES DE PRODUCTOS SANITARIOS A MEDIDA")</f>
        <v>RENOVACION DE LA CONCESION DE LICENCIAS DE FUNCIONAMIENTO A LOS FABRICANTES DE PRODUCTOS SANITARIOS A MEDIDA</v>
      </c>
      <c r="I55" s="3" t="s">
        <v>42</v>
      </c>
      <c r="J55" s="3" t="s">
        <v>41</v>
      </c>
      <c r="K55" s="3" t="s">
        <v>42</v>
      </c>
      <c r="L55" s="3" t="s">
        <v>41</v>
      </c>
    </row>
    <row r="56" spans="1:12" ht="80.45">
      <c r="A56" s="3" t="s">
        <v>2199</v>
      </c>
      <c r="B56" s="3" t="s">
        <v>2200</v>
      </c>
      <c r="C56" s="3" t="s">
        <v>95</v>
      </c>
      <c r="D56" s="3" t="s">
        <v>95</v>
      </c>
      <c r="E56" s="3" t="s">
        <v>2030</v>
      </c>
      <c r="F56" s="3" t="s">
        <v>2031</v>
      </c>
      <c r="G56" s="3" t="s">
        <v>2201</v>
      </c>
      <c r="H56" s="3" t="str">
        <f>HYPERLINK("http://www.jccm.es/sede/tramite/JUP","COMUNICACION RELATIVA A PERSONAL DE OFICINA DE FARMACIA (SUSTITUTOS, ADJUNTOS O TECNICOS EN FARMACIA Y PARAFARMACIA).")</f>
        <v>COMUNICACION RELATIVA A PERSONAL DE OFICINA DE FARMACIA (SUSTITUTOS, ADJUNTOS O TECNICOS EN FARMACIA Y PARAFARMACIA).</v>
      </c>
      <c r="I56" s="3" t="s">
        <v>41</v>
      </c>
      <c r="J56" s="3" t="s">
        <v>41</v>
      </c>
      <c r="K56" s="3" t="s">
        <v>42</v>
      </c>
      <c r="L56" s="3" t="s">
        <v>41</v>
      </c>
    </row>
    <row r="57" spans="1:12" ht="80.45">
      <c r="A57" s="3" t="s">
        <v>2202</v>
      </c>
      <c r="B57" s="3" t="s">
        <v>2203</v>
      </c>
      <c r="C57" s="3" t="s">
        <v>95</v>
      </c>
      <c r="D57" s="3" t="s">
        <v>95</v>
      </c>
      <c r="E57" s="3" t="s">
        <v>2030</v>
      </c>
      <c r="F57" s="3" t="s">
        <v>2031</v>
      </c>
      <c r="G57" s="3" t="s">
        <v>2204</v>
      </c>
      <c r="H57" s="3" t="str">
        <f>HYPERLINK("http://www.jccm.es/sede/tramite/L7R","DESIGNACION COMO SUSTITUTO A OTRO TITULAR DE UNA OFICINA DE FARMACIA PROXIMA.")</f>
        <v>DESIGNACION COMO SUSTITUTO A OTRO TITULAR DE UNA OFICINA DE FARMACIA PROXIMA.</v>
      </c>
      <c r="I57" s="3" t="s">
        <v>41</v>
      </c>
      <c r="J57" s="3" t="s">
        <v>41</v>
      </c>
      <c r="K57" s="3" t="s">
        <v>42</v>
      </c>
      <c r="L57" s="3" t="s">
        <v>41</v>
      </c>
    </row>
    <row r="58" spans="1:12" ht="80.45">
      <c r="A58" s="3" t="s">
        <v>2205</v>
      </c>
      <c r="B58" s="3" t="s">
        <v>2206</v>
      </c>
      <c r="C58" s="3" t="s">
        <v>45</v>
      </c>
      <c r="D58" s="3" t="s">
        <v>46</v>
      </c>
      <c r="E58" s="3" t="s">
        <v>2030</v>
      </c>
      <c r="F58" s="3" t="s">
        <v>2031</v>
      </c>
      <c r="G58" s="3" t="s">
        <v>2207</v>
      </c>
      <c r="H58" s="3" t="str">
        <f>HYPERLINK("http://www.jccm.es/sede/tramite/JRN","AUTORIZACION DE MODIFICACION DE ACTIVIDADES DE CENTROS SANITARIOS CON INTERNAMIENTO")</f>
        <v>AUTORIZACION DE MODIFICACION DE ACTIVIDADES DE CENTROS SANITARIOS CON INTERNAMIENTO</v>
      </c>
      <c r="I58" s="3" t="s">
        <v>42</v>
      </c>
      <c r="J58" s="3" t="s">
        <v>41</v>
      </c>
      <c r="K58" s="3" t="s">
        <v>42</v>
      </c>
      <c r="L58" s="3" t="s">
        <v>42</v>
      </c>
    </row>
    <row r="59" spans="1:12" ht="80.45">
      <c r="A59" s="3" t="s">
        <v>2208</v>
      </c>
      <c r="B59" s="3" t="s">
        <v>2209</v>
      </c>
      <c r="C59" s="3" t="s">
        <v>45</v>
      </c>
      <c r="D59" s="3" t="s">
        <v>46</v>
      </c>
      <c r="E59" s="3" t="s">
        <v>2030</v>
      </c>
      <c r="F59" s="3" t="s">
        <v>2031</v>
      </c>
      <c r="G59" s="3" t="s">
        <v>2210</v>
      </c>
      <c r="H59" s="3" t="str">
        <f>HYPERLINK("http://www.jccm.es/sede/tramite/JTJ","AUTORIZACION DE INSTALACION DE CENTROS SANITARIOS CON INTERNAMIENTO")</f>
        <v>AUTORIZACION DE INSTALACION DE CENTROS SANITARIOS CON INTERNAMIENTO</v>
      </c>
      <c r="I59" s="3" t="s">
        <v>42</v>
      </c>
      <c r="J59" s="3" t="s">
        <v>41</v>
      </c>
      <c r="K59" s="3" t="s">
        <v>42</v>
      </c>
      <c r="L59" s="3" t="s">
        <v>42</v>
      </c>
    </row>
    <row r="60" spans="1:12" ht="80.45">
      <c r="A60" s="3" t="s">
        <v>2211</v>
      </c>
      <c r="B60" s="3" t="s">
        <v>2212</v>
      </c>
      <c r="C60" s="3" t="s">
        <v>45</v>
      </c>
      <c r="D60" s="3" t="s">
        <v>46</v>
      </c>
      <c r="E60" s="3" t="s">
        <v>2030</v>
      </c>
      <c r="F60" s="3" t="s">
        <v>2031</v>
      </c>
      <c r="G60" s="3" t="s">
        <v>2213</v>
      </c>
      <c r="H60" s="3" t="str">
        <f>HYPERLINK("http://www.jccm.es/sede/tramite/JRM","AUTORIZACION DE MODIFICACION QUE REQUIERE LA REALIZACION DE OBRAS O INSTALACIONES DE CENTROS SANITARIOS CON INTERNAMIENTO")</f>
        <v>AUTORIZACION DE MODIFICACION QUE REQUIERE LA REALIZACION DE OBRAS O INSTALACIONES DE CENTROS SANITARIOS CON INTERNAMIENTO</v>
      </c>
      <c r="I60" s="3" t="s">
        <v>42</v>
      </c>
      <c r="J60" s="3" t="s">
        <v>41</v>
      </c>
      <c r="K60" s="3" t="s">
        <v>42</v>
      </c>
      <c r="L60" s="3" t="s">
        <v>42</v>
      </c>
    </row>
    <row r="61" spans="1:12" ht="80.45">
      <c r="A61" s="3" t="s">
        <v>2214</v>
      </c>
      <c r="B61" s="3" t="s">
        <v>2215</v>
      </c>
      <c r="C61" s="3" t="s">
        <v>45</v>
      </c>
      <c r="D61" s="3" t="s">
        <v>46</v>
      </c>
      <c r="E61" s="3" t="s">
        <v>2030</v>
      </c>
      <c r="F61" s="3" t="s">
        <v>2031</v>
      </c>
      <c r="G61" s="3" t="s">
        <v>2216</v>
      </c>
      <c r="H61" s="3" t="str">
        <f>HYPERLINK("http://www.jccm.es/sede/tramite/JRL","AUTORIZACION DE PUESTA EN FUNCIONAMIENTO DE CENTROS SANITARIOS CON INTERNAMIENTO")</f>
        <v>AUTORIZACION DE PUESTA EN FUNCIONAMIENTO DE CENTROS SANITARIOS CON INTERNAMIENTO</v>
      </c>
      <c r="I61" s="3" t="s">
        <v>42</v>
      </c>
      <c r="J61" s="3" t="s">
        <v>41</v>
      </c>
      <c r="K61" s="3" t="s">
        <v>42</v>
      </c>
      <c r="L61" s="3" t="s">
        <v>42</v>
      </c>
    </row>
    <row r="62" spans="1:12" ht="80.45">
      <c r="A62" s="3" t="s">
        <v>2217</v>
      </c>
      <c r="B62" s="3" t="s">
        <v>2218</v>
      </c>
      <c r="C62" s="3" t="s">
        <v>45</v>
      </c>
      <c r="D62" s="3" t="s">
        <v>46</v>
      </c>
      <c r="E62" s="3" t="s">
        <v>2030</v>
      </c>
      <c r="F62" s="3" t="s">
        <v>2031</v>
      </c>
      <c r="G62" s="3" t="s">
        <v>2219</v>
      </c>
      <c r="H62" s="3" t="str">
        <f>HYPERLINK("http://www.jccm.es/sede/tramite/JTL","CESE TOTAL O PARCIAL  DE CENTROS SANITARIOS CON INTERNAMIENTO")</f>
        <v>CESE TOTAL O PARCIAL  DE CENTROS SANITARIOS CON INTERNAMIENTO</v>
      </c>
      <c r="I62" s="3" t="s">
        <v>42</v>
      </c>
      <c r="J62" s="3" t="s">
        <v>41</v>
      </c>
      <c r="K62" s="3" t="s">
        <v>42</v>
      </c>
      <c r="L62" s="3" t="s">
        <v>42</v>
      </c>
    </row>
    <row r="63" spans="1:12" ht="80.45">
      <c r="A63" s="3" t="s">
        <v>2220</v>
      </c>
      <c r="B63" s="3" t="s">
        <v>2221</v>
      </c>
      <c r="C63" s="3" t="s">
        <v>45</v>
      </c>
      <c r="D63" s="3" t="s">
        <v>46</v>
      </c>
      <c r="E63" s="3" t="s">
        <v>2030</v>
      </c>
      <c r="F63" s="3" t="s">
        <v>2031</v>
      </c>
      <c r="G63" s="3" t="s">
        <v>2222</v>
      </c>
      <c r="H63" s="3" t="str">
        <f>HYPERLINK("http://www.jccm.es/sede/tramite/JTK","AUTORIZACION DE RENOVACION DE LA AUTORIZACION DE PUESTA EN FUNCIONAMIENTO DE CENTROS SANITARIOS CON INTERNAMIENTO")</f>
        <v>AUTORIZACION DE RENOVACION DE LA AUTORIZACION DE PUESTA EN FUNCIONAMIENTO DE CENTROS SANITARIOS CON INTERNAMIENTO</v>
      </c>
      <c r="I63" s="3" t="s">
        <v>42</v>
      </c>
      <c r="J63" s="3" t="s">
        <v>41</v>
      </c>
      <c r="K63" s="3" t="s">
        <v>42</v>
      </c>
      <c r="L63" s="3" t="s">
        <v>42</v>
      </c>
    </row>
    <row r="64" spans="1:12" ht="80.45">
      <c r="A64" s="3" t="s">
        <v>2223</v>
      </c>
      <c r="B64" s="3" t="s">
        <v>2224</v>
      </c>
      <c r="C64" s="3" t="s">
        <v>45</v>
      </c>
      <c r="D64" s="3" t="s">
        <v>46</v>
      </c>
      <c r="E64" s="3" t="s">
        <v>2030</v>
      </c>
      <c r="F64" s="3" t="s">
        <v>2031</v>
      </c>
      <c r="G64" s="3" t="s">
        <v>2225</v>
      </c>
      <c r="H64" s="3" t="str">
        <f>HYPERLINK("http://www.jccm.es/sede/tramite/KXM","AUTORIZACION DE INSTALACION DE CENTROS Y SERVICIOS SIN INTERNAMIENTO DE CIRUGIA MAYOR AMBULATORIA, HEMODIALISIS, RADIOTERAPIA Y MEDICINA NUCLEAR")</f>
        <v>AUTORIZACION DE INSTALACION DE CENTROS Y SERVICIOS SIN INTERNAMIENTO DE CIRUGIA MAYOR AMBULATORIA, HEMODIALISIS, RADIOTERAPIA Y MEDICINA NUCLEAR</v>
      </c>
      <c r="I64" s="3" t="s">
        <v>42</v>
      </c>
      <c r="J64" s="3" t="s">
        <v>41</v>
      </c>
      <c r="K64" s="3" t="s">
        <v>42</v>
      </c>
      <c r="L64" s="3" t="s">
        <v>41</v>
      </c>
    </row>
    <row r="65" spans="1:12" ht="80.45">
      <c r="A65" s="3" t="s">
        <v>2226</v>
      </c>
      <c r="B65" s="3" t="s">
        <v>2227</v>
      </c>
      <c r="C65" s="3" t="s">
        <v>45</v>
      </c>
      <c r="D65" s="3" t="s">
        <v>46</v>
      </c>
      <c r="E65" s="3" t="s">
        <v>2030</v>
      </c>
      <c r="F65" s="3" t="s">
        <v>2031</v>
      </c>
      <c r="G65" s="3" t="s">
        <v>2228</v>
      </c>
      <c r="H65" s="3" t="str">
        <f>HYPERLINK("http://www.jccm.es/sede/tramite/KXN","AUTORIZACION DE MODIFICACION DE ACTIVIDADES DE CENTROS Y SERVICIOS SIN INTERNAMIENTO DE CIRUGIA MAYOR AMBULATORIA, HEMODIALISIS, RADIOTERAPIA Y MEDICINA NUCLEAR")</f>
        <v>AUTORIZACION DE MODIFICACION DE ACTIVIDADES DE CENTROS Y SERVICIOS SIN INTERNAMIENTO DE CIRUGIA MAYOR AMBULATORIA, HEMODIALISIS, RADIOTERAPIA Y MEDICINA NUCLEAR</v>
      </c>
      <c r="I65" s="3" t="s">
        <v>42</v>
      </c>
      <c r="J65" s="3" t="s">
        <v>41</v>
      </c>
      <c r="K65" s="3" t="s">
        <v>42</v>
      </c>
      <c r="L65" s="3" t="s">
        <v>41</v>
      </c>
    </row>
    <row r="66" spans="1:12" ht="103.5">
      <c r="A66" s="3" t="s">
        <v>2229</v>
      </c>
      <c r="B66" s="3" t="s">
        <v>2230</v>
      </c>
      <c r="C66" s="3" t="s">
        <v>45</v>
      </c>
      <c r="D66" s="3" t="s">
        <v>46</v>
      </c>
      <c r="E66" s="3" t="s">
        <v>2030</v>
      </c>
      <c r="F66" s="3" t="s">
        <v>2031</v>
      </c>
      <c r="G66" s="3" t="s">
        <v>2231</v>
      </c>
      <c r="H66" s="3" t="str">
        <f>HYPERLINK("http://www.jccm.es/sede/tramite/KXO","AUTORIZACION DE MODIFICACION QUE REQUIERE REALIZACION DE OBRAS O INSTALACIONES DE CENTROS Y SERVICIOS SIN INTERNAMIENTO DE CIRUGIA MAYOR AMBULATORIA, HEMODIALISIS, RADIOTERAPIA Y MEDICINA NUCLEAR")</f>
        <v>AUTORIZACION DE MODIFICACION QUE REQUIERE REALIZACION DE OBRAS O INSTALACIONES DE CENTROS Y SERVICIOS SIN INTERNAMIENTO DE CIRUGIA MAYOR AMBULATORIA, HEMODIALISIS, RADIOTERAPIA Y MEDICINA NUCLEAR</v>
      </c>
      <c r="I66" s="3" t="s">
        <v>42</v>
      </c>
      <c r="J66" s="3" t="s">
        <v>41</v>
      </c>
      <c r="K66" s="3" t="s">
        <v>42</v>
      </c>
      <c r="L66" s="3" t="s">
        <v>41</v>
      </c>
    </row>
    <row r="67" spans="1:12" ht="80.45">
      <c r="A67" s="3" t="s">
        <v>2232</v>
      </c>
      <c r="B67" s="3" t="s">
        <v>2233</v>
      </c>
      <c r="C67" s="3" t="s">
        <v>45</v>
      </c>
      <c r="D67" s="3" t="s">
        <v>46</v>
      </c>
      <c r="E67" s="3" t="s">
        <v>2030</v>
      </c>
      <c r="F67" s="3" t="s">
        <v>2031</v>
      </c>
      <c r="G67" s="3" t="s">
        <v>2234</v>
      </c>
      <c r="H67" s="3" t="str">
        <f>HYPERLINK("http://www.jccm.es/sede/tramite/KXL","AUTORIZACION DE PUESTA EN FUNCIONAMIENTO DE CENTROS Y SERVICIOS SIN INTERNAMIENTO DE CIRUGIA MAYOR AMBULATORIA, HEMODIALISIS, RADIOTERAPIA Y MEDICINA NUCLEAR")</f>
        <v>AUTORIZACION DE PUESTA EN FUNCIONAMIENTO DE CENTROS Y SERVICIOS SIN INTERNAMIENTO DE CIRUGIA MAYOR AMBULATORIA, HEMODIALISIS, RADIOTERAPIA Y MEDICINA NUCLEAR</v>
      </c>
      <c r="I67" s="3" t="s">
        <v>42</v>
      </c>
      <c r="J67" s="3" t="s">
        <v>41</v>
      </c>
      <c r="K67" s="3" t="s">
        <v>42</v>
      </c>
      <c r="L67" s="3" t="s">
        <v>41</v>
      </c>
    </row>
    <row r="68" spans="1:12" ht="92.1">
      <c r="A68" s="3" t="s">
        <v>2235</v>
      </c>
      <c r="B68" s="3" t="s">
        <v>2236</v>
      </c>
      <c r="C68" s="3" t="s">
        <v>45</v>
      </c>
      <c r="D68" s="3" t="s">
        <v>46</v>
      </c>
      <c r="E68" s="3" t="s">
        <v>2030</v>
      </c>
      <c r="F68" s="3" t="s">
        <v>2031</v>
      </c>
      <c r="G68" s="3" t="s">
        <v>2237</v>
      </c>
      <c r="H68" s="3" t="str">
        <f>HYPERLINK("http://www.jccm.es/sede/tramite/KXP","AUTORIZACION DE RENOVACION DE LA AUTORIZACION DE PUESTA EN FUNCIONAMIENTO DE CENTROS Y SERVICIOS SIN INTERNAMIENTO DE CIRUGIA MAYOR AMBULATORIA, HEMODIALISIS, RADIOTERAPIA Y MEDICINA NUCLEAR")</f>
        <v>AUTORIZACION DE RENOVACION DE LA AUTORIZACION DE PUESTA EN FUNCIONAMIENTO DE CENTROS Y SERVICIOS SIN INTERNAMIENTO DE CIRUGIA MAYOR AMBULATORIA, HEMODIALISIS, RADIOTERAPIA Y MEDICINA NUCLEAR</v>
      </c>
      <c r="I68" s="3" t="s">
        <v>42</v>
      </c>
      <c r="J68" s="3" t="s">
        <v>41</v>
      </c>
      <c r="K68" s="3" t="s">
        <v>42</v>
      </c>
      <c r="L68" s="3" t="s">
        <v>41</v>
      </c>
    </row>
    <row r="69" spans="1:12" ht="80.45">
      <c r="A69" s="3" t="s">
        <v>2238</v>
      </c>
      <c r="B69" s="3" t="s">
        <v>2239</v>
      </c>
      <c r="C69" s="3" t="s">
        <v>45</v>
      </c>
      <c r="D69" s="3" t="s">
        <v>46</v>
      </c>
      <c r="E69" s="3" t="s">
        <v>2030</v>
      </c>
      <c r="F69" s="3" t="s">
        <v>2031</v>
      </c>
      <c r="G69" s="3" t="s">
        <v>2240</v>
      </c>
      <c r="H69" s="3" t="str">
        <f>HYPERLINK("http://www.jccm.es/sede/tramite/KXJ","AUTORIZACION DE CESE TOTAL O PARCIAL DE CENTROS Y SERVICIOS SIN INTERNAMIENTO DE HEMODIALISIS")</f>
        <v>AUTORIZACION DE CESE TOTAL O PARCIAL DE CENTROS Y SERVICIOS SIN INTERNAMIENTO DE HEMODIALISIS</v>
      </c>
      <c r="I69" s="3" t="s">
        <v>42</v>
      </c>
      <c r="J69" s="3" t="s">
        <v>41</v>
      </c>
      <c r="K69" s="3" t="s">
        <v>42</v>
      </c>
      <c r="L69" s="3" t="s">
        <v>41</v>
      </c>
    </row>
    <row r="70" spans="1:12" ht="80.45">
      <c r="A70" s="3" t="s">
        <v>2241</v>
      </c>
      <c r="B70" s="3" t="s">
        <v>2242</v>
      </c>
      <c r="C70" s="3" t="s">
        <v>45</v>
      </c>
      <c r="D70" s="3" t="s">
        <v>46</v>
      </c>
      <c r="E70" s="3" t="s">
        <v>2030</v>
      </c>
      <c r="F70" s="3" t="s">
        <v>2031</v>
      </c>
      <c r="G70" s="3" t="s">
        <v>2243</v>
      </c>
      <c r="H70" s="3" t="str">
        <f>HYPERLINK("http://www.jccm.es/sede/tramite/KS9","COMUNICACION DE MODIFICACION O CESE DE ACTIVIDADES DE DONACION-TRASPLANTE DE ORGANOS, TEJIDOS Y CELULAS EN CENTROS CON INTERNAMIENTO.")</f>
        <v>COMUNICACION DE MODIFICACION O CESE DE ACTIVIDADES DE DONACION-TRASPLANTE DE ORGANOS, TEJIDOS Y CELULAS EN CENTROS CON INTERNAMIENTO.</v>
      </c>
      <c r="I70" s="3" t="s">
        <v>42</v>
      </c>
      <c r="J70" s="3" t="s">
        <v>41</v>
      </c>
      <c r="K70" s="3" t="s">
        <v>42</v>
      </c>
      <c r="L70" s="3" t="s">
        <v>41</v>
      </c>
    </row>
    <row r="71" spans="1:12" ht="80.45">
      <c r="A71" s="3" t="s">
        <v>2244</v>
      </c>
      <c r="B71" s="3" t="s">
        <v>2245</v>
      </c>
      <c r="C71" s="3" t="s">
        <v>45</v>
      </c>
      <c r="D71" s="3" t="s">
        <v>46</v>
      </c>
      <c r="E71" s="3" t="s">
        <v>2030</v>
      </c>
      <c r="F71" s="3" t="s">
        <v>2031</v>
      </c>
      <c r="G71" s="3" t="s">
        <v>2246</v>
      </c>
      <c r="H71" s="3" t="str">
        <f>HYPERLINK("http://www.jccm.es/sede/tramite/KS8","AUTORIZACION DE ACTIVIDADES DE DONACION-TRASPLANTE DE ORGANOS, TEJIDOS Y CELULAS EN CENTROS CON INTERNAMIENTO.")</f>
        <v>AUTORIZACION DE ACTIVIDADES DE DONACION-TRASPLANTE DE ORGANOS, TEJIDOS Y CELULAS EN CENTROS CON INTERNAMIENTO.</v>
      </c>
      <c r="I71" s="3" t="s">
        <v>42</v>
      </c>
      <c r="J71" s="3" t="s">
        <v>41</v>
      </c>
      <c r="K71" s="3" t="s">
        <v>42</v>
      </c>
      <c r="L71" s="3" t="s">
        <v>41</v>
      </c>
    </row>
    <row r="72" spans="1:12" ht="80.45">
      <c r="A72" s="3" t="s">
        <v>2247</v>
      </c>
      <c r="B72" s="3" t="s">
        <v>2248</v>
      </c>
      <c r="C72" s="3" t="s">
        <v>45</v>
      </c>
      <c r="D72" s="3" t="s">
        <v>37</v>
      </c>
      <c r="E72" s="3" t="s">
        <v>2030</v>
      </c>
      <c r="F72" s="3" t="s">
        <v>2031</v>
      </c>
      <c r="G72" s="3" t="s">
        <v>2249</v>
      </c>
      <c r="H72" s="3" t="str">
        <f>HYPERLINK("http://www.jccm.es/sede/tramite/KSB","COMUNICACION DE MODIFICACION O CESE DE ACTIVIDADES DE DONACION-TRASPLANTE DE  TEJIDOS Y CELULAS EN CENTROS SIN INTERNAMIENTO.")</f>
        <v>COMUNICACION DE MODIFICACION O CESE DE ACTIVIDADES DE DONACION-TRASPLANTE DE  TEJIDOS Y CELULAS EN CENTROS SIN INTERNAMIENTO.</v>
      </c>
      <c r="I72" s="3" t="s">
        <v>42</v>
      </c>
      <c r="J72" s="3" t="s">
        <v>41</v>
      </c>
      <c r="K72" s="3" t="s">
        <v>42</v>
      </c>
      <c r="L72" s="3" t="s">
        <v>41</v>
      </c>
    </row>
    <row r="73" spans="1:12" ht="80.45">
      <c r="A73" s="3" t="s">
        <v>2250</v>
      </c>
      <c r="B73" s="3" t="s">
        <v>2251</v>
      </c>
      <c r="C73" s="3" t="s">
        <v>45</v>
      </c>
      <c r="D73" s="3" t="s">
        <v>37</v>
      </c>
      <c r="E73" s="3" t="s">
        <v>2030</v>
      </c>
      <c r="F73" s="3" t="s">
        <v>2031</v>
      </c>
      <c r="G73" s="3" t="s">
        <v>2252</v>
      </c>
      <c r="H73" s="3" t="str">
        <f>HYPERLINK("http://www.jccm.es/sede/tramite/KSA","AUTORIZACION DE ACTIVIDADES DE DONACION-TRASPLANTE DE TEJIDOS Y CELULAS EN CENTROS SIN INTERNAMIENTO.")</f>
        <v>AUTORIZACION DE ACTIVIDADES DE DONACION-TRASPLANTE DE TEJIDOS Y CELULAS EN CENTROS SIN INTERNAMIENTO.</v>
      </c>
      <c r="I73" s="3" t="s">
        <v>42</v>
      </c>
      <c r="J73" s="3" t="s">
        <v>41</v>
      </c>
      <c r="K73" s="3" t="s">
        <v>42</v>
      </c>
      <c r="L73" s="3" t="s">
        <v>41</v>
      </c>
    </row>
    <row r="74" spans="1:12" ht="80.45">
      <c r="A74" s="3" t="s">
        <v>2253</v>
      </c>
      <c r="B74" s="3" t="s">
        <v>2254</v>
      </c>
      <c r="C74" s="3" t="s">
        <v>45</v>
      </c>
      <c r="D74" s="3" t="s">
        <v>37</v>
      </c>
      <c r="E74" s="3" t="s">
        <v>2030</v>
      </c>
      <c r="F74" s="3" t="s">
        <v>2031</v>
      </c>
      <c r="G74" s="3" t="s">
        <v>2255</v>
      </c>
      <c r="H74" s="3" t="str">
        <f>HYPERLINK("http://www.jccm.es/sede/tramite/KXH","AUTORIZACION DE INSTALACION DE ALMACEN MAYORISTA DE DISTRIBUCION DE MEDICAMENTOS VETERINARIOS")</f>
        <v>AUTORIZACION DE INSTALACION DE ALMACEN MAYORISTA DE DISTRIBUCION DE MEDICAMENTOS VETERINARIOS</v>
      </c>
      <c r="I74" s="3" t="s">
        <v>42</v>
      </c>
      <c r="J74" s="3" t="s">
        <v>41</v>
      </c>
      <c r="K74" s="3" t="s">
        <v>42</v>
      </c>
      <c r="L74" s="3" t="s">
        <v>41</v>
      </c>
    </row>
    <row r="75" spans="1:12" ht="80.45">
      <c r="A75" s="3" t="s">
        <v>2256</v>
      </c>
      <c r="B75" s="3" t="s">
        <v>2257</v>
      </c>
      <c r="C75" s="3" t="s">
        <v>45</v>
      </c>
      <c r="D75" s="3" t="s">
        <v>37</v>
      </c>
      <c r="E75" s="3" t="s">
        <v>2030</v>
      </c>
      <c r="F75" s="3" t="s">
        <v>2031</v>
      </c>
      <c r="G75" s="3" t="s">
        <v>2258</v>
      </c>
      <c r="H75" s="3" t="str">
        <f>HYPERLINK("http://www.jccm.es/sede/tramite/KXG","AUTORIZACION DE FUNCIONAMIENTO DE ALMACEN MAYORISTA DE DISTRIBUCION DE MEDICAMENTOS VETERINARIOS")</f>
        <v>AUTORIZACION DE FUNCIONAMIENTO DE ALMACEN MAYORISTA DE DISTRIBUCION DE MEDICAMENTOS VETERINARIOS</v>
      </c>
      <c r="I75" s="3" t="s">
        <v>42</v>
      </c>
      <c r="J75" s="3" t="s">
        <v>41</v>
      </c>
      <c r="K75" s="3" t="s">
        <v>42</v>
      </c>
      <c r="L75" s="3" t="s">
        <v>41</v>
      </c>
    </row>
    <row r="76" spans="1:12" ht="80.45">
      <c r="A76" s="3" t="s">
        <v>2259</v>
      </c>
      <c r="B76" s="3" t="s">
        <v>2260</v>
      </c>
      <c r="C76" s="3" t="s">
        <v>45</v>
      </c>
      <c r="D76" s="3" t="s">
        <v>37</v>
      </c>
      <c r="E76" s="3" t="s">
        <v>2030</v>
      </c>
      <c r="F76" s="3" t="s">
        <v>2031</v>
      </c>
      <c r="G76" s="3" t="s">
        <v>2261</v>
      </c>
      <c r="H76" s="3" t="str">
        <f>HYPERLINK("http://www.jccm.es/sede/tramite/KXI","AUTORIZACION DE MODIFICACION DE INSTALACIONES DE ALMACEN MAYORISTA DE DISTRIBUCION DE MEDICAMENTOS VETERINARIOS")</f>
        <v>AUTORIZACION DE MODIFICACION DE INSTALACIONES DE ALMACEN MAYORISTA DE DISTRIBUCION DE MEDICAMENTOS VETERINARIOS</v>
      </c>
      <c r="I76" s="3" t="s">
        <v>42</v>
      </c>
      <c r="J76" s="3" t="s">
        <v>41</v>
      </c>
      <c r="K76" s="3" t="s">
        <v>42</v>
      </c>
      <c r="L76" s="3" t="s">
        <v>41</v>
      </c>
    </row>
    <row r="77" spans="1:12" ht="80.45">
      <c r="A77" s="3" t="s">
        <v>2262</v>
      </c>
      <c r="B77" s="3" t="s">
        <v>2263</v>
      </c>
      <c r="C77" s="3" t="s">
        <v>45</v>
      </c>
      <c r="D77" s="3" t="s">
        <v>37</v>
      </c>
      <c r="E77" s="3" t="s">
        <v>2030</v>
      </c>
      <c r="F77" s="3" t="s">
        <v>2031</v>
      </c>
      <c r="G77" s="3" t="s">
        <v>2264</v>
      </c>
      <c r="H77" s="3" t="str">
        <f>HYPERLINK("http://www.jccm.es/sede/tramite/KXF","AUTORIZACION DE CIERRE DE ALMACEN MAYORISTA DE DISTRIBUCION DE MEDICAMENTOS VETERINARIOS")</f>
        <v>AUTORIZACION DE CIERRE DE ALMACEN MAYORISTA DE DISTRIBUCION DE MEDICAMENTOS VETERINARIOS</v>
      </c>
      <c r="I77" s="3" t="s">
        <v>42</v>
      </c>
      <c r="J77" s="3" t="s">
        <v>41</v>
      </c>
      <c r="K77" s="3" t="s">
        <v>42</v>
      </c>
      <c r="L77" s="3" t="s">
        <v>41</v>
      </c>
    </row>
    <row r="78" spans="1:12" ht="57.6">
      <c r="A78" s="3" t="s">
        <v>2265</v>
      </c>
      <c r="B78" s="3" t="s">
        <v>2266</v>
      </c>
      <c r="C78" s="3" t="s">
        <v>45</v>
      </c>
      <c r="D78" s="3" t="s">
        <v>37</v>
      </c>
      <c r="E78" s="3" t="s">
        <v>2030</v>
      </c>
      <c r="F78" s="3" t="s">
        <v>2087</v>
      </c>
      <c r="G78" s="3" t="s">
        <v>2267</v>
      </c>
      <c r="H78" s="3" t="str">
        <f>HYPERLINK("http://www.jccm.es/sede/tramite/716","SOLICITUD DE INSCRIPCION EN EL REGISTRO OFICIAL DE ESTABLECIMIENTOS Y SERVICIOS BIOCIDAS DE CASTILLA-LA MANCHA")</f>
        <v>SOLICITUD DE INSCRIPCION EN EL REGISTRO OFICIAL DE ESTABLECIMIENTOS Y SERVICIOS BIOCIDAS DE CASTILLA-LA MANCHA</v>
      </c>
      <c r="I78" s="3" t="s">
        <v>42</v>
      </c>
      <c r="J78" s="3" t="s">
        <v>41</v>
      </c>
      <c r="K78" s="3" t="s">
        <v>42</v>
      </c>
      <c r="L78" s="3" t="s">
        <v>41</v>
      </c>
    </row>
    <row r="79" spans="1:12" ht="126.6">
      <c r="A79" s="3" t="s">
        <v>2268</v>
      </c>
      <c r="B79" s="3" t="s">
        <v>2269</v>
      </c>
      <c r="C79" s="3" t="s">
        <v>45</v>
      </c>
      <c r="D79" s="3" t="s">
        <v>37</v>
      </c>
      <c r="E79" s="3" t="s">
        <v>2030</v>
      </c>
      <c r="F79" s="3" t="s">
        <v>2087</v>
      </c>
      <c r="G79" s="3" t="s">
        <v>2270</v>
      </c>
      <c r="H79" s="3" t="str">
        <f>HYPERLINK("http://www.jccm.es/sede/tramite/KQU",".AUTORIZACION ESPECIFICA  E INSCRIPCION EN EL REGISTRO DE CENTROS DE RECOGIDA Y TENERIAS QUE SUMINISTRAN MATERIA PRIMA PARA LA FABRICACION DE COLAGENO Y GELATINA DE CONSUMO HUMANO")</f>
        <v>.AUTORIZACION ESPECIFICA  E INSCRIPCION EN EL REGISTRO DE CENTROS DE RECOGIDA Y TENERIAS QUE SUMINISTRAN MATERIA PRIMA PARA LA FABRICACION DE COLAGENO Y GELATINA DE CONSUMO HUMANO</v>
      </c>
      <c r="I79" s="3" t="s">
        <v>42</v>
      </c>
      <c r="J79" s="3" t="s">
        <v>41</v>
      </c>
      <c r="K79" s="3" t="s">
        <v>42</v>
      </c>
      <c r="L79" s="3" t="s">
        <v>41</v>
      </c>
    </row>
    <row r="80" spans="1:12" ht="57.6">
      <c r="A80" s="3" t="s">
        <v>2271</v>
      </c>
      <c r="B80" s="3" t="s">
        <v>2272</v>
      </c>
      <c r="C80" s="3" t="s">
        <v>70</v>
      </c>
      <c r="D80" s="3" t="s">
        <v>37</v>
      </c>
      <c r="E80" s="3" t="s">
        <v>2030</v>
      </c>
      <c r="F80" s="3" t="s">
        <v>2087</v>
      </c>
      <c r="G80" s="3" t="s">
        <v>2273</v>
      </c>
      <c r="H80" s="3" t="str">
        <f>HYPERLINK("http://www.jccm.es/sede/tramite/LI0","REGISTRO SANITARIO DE EMPRESAS Y ESTABLECIMIENTOS ALIMENTARIOS DE CASTILLA-LA MANCHA.")</f>
        <v>REGISTRO SANITARIO DE EMPRESAS Y ESTABLECIMIENTOS ALIMENTARIOS DE CASTILLA-LA MANCHA.</v>
      </c>
      <c r="I80" s="3" t="s">
        <v>42</v>
      </c>
      <c r="J80" s="3" t="s">
        <v>41</v>
      </c>
      <c r="K80" s="3" t="s">
        <v>42</v>
      </c>
      <c r="L80" s="3" t="s">
        <v>41</v>
      </c>
    </row>
    <row r="81" spans="1:12" ht="57.6">
      <c r="A81" s="3" t="s">
        <v>2274</v>
      </c>
      <c r="B81" s="3" t="s">
        <v>2275</v>
      </c>
      <c r="C81" s="3" t="s">
        <v>45</v>
      </c>
      <c r="D81" s="3" t="s">
        <v>37</v>
      </c>
      <c r="E81" s="3" t="s">
        <v>2030</v>
      </c>
      <c r="F81" s="3" t="s">
        <v>2087</v>
      </c>
      <c r="G81" s="3" t="s">
        <v>2276</v>
      </c>
      <c r="H81" s="3" t="str">
        <f>HYPERLINK("http://www.jccm.es/sede/tramite/LID","REGISTRO DE SOLICITUDES DE VACUNACION COVID-19 PARA PERSONAL DE PRIMERA LINEA EN EL AMBITO SANITARIO Y SOCIOSANITARIO")</f>
        <v>REGISTRO DE SOLICITUDES DE VACUNACION COVID-19 PARA PERSONAL DE PRIMERA LINEA EN EL AMBITO SANITARIO Y SOCIOSANITARIO</v>
      </c>
      <c r="I81" s="3" t="s">
        <v>41</v>
      </c>
      <c r="J81" s="3" t="s">
        <v>41</v>
      </c>
      <c r="K81" s="3" t="s">
        <v>42</v>
      </c>
      <c r="L81" s="3" t="s">
        <v>41</v>
      </c>
    </row>
    <row r="82" spans="1:12" ht="80.45">
      <c r="A82" s="3" t="s">
        <v>2277</v>
      </c>
      <c r="B82" s="3" t="s">
        <v>2278</v>
      </c>
      <c r="C82" s="3" t="s">
        <v>95</v>
      </c>
      <c r="D82" s="3" t="s">
        <v>95</v>
      </c>
      <c r="E82" s="3" t="s">
        <v>2030</v>
      </c>
      <c r="F82" s="3" t="s">
        <v>2031</v>
      </c>
      <c r="G82" s="3" t="s">
        <v>2279</v>
      </c>
      <c r="H82" s="3" t="str">
        <f>HYPERLINK("http://www.jccm.es/sede/tramite/KU5","COMUNICACION DE MODIFICACION, SUSPENSION O CESE DE DESFIBRILADORES EXTERNOS AUTOMATIZADOS (DEA) FUERA DEL AMBITO SANITARIO")</f>
        <v>COMUNICACION DE MODIFICACION, SUSPENSION O CESE DE DESFIBRILADORES EXTERNOS AUTOMATIZADOS (DEA) FUERA DEL AMBITO SANITARIO</v>
      </c>
      <c r="I82" s="3" t="s">
        <v>42</v>
      </c>
      <c r="J82" s="3" t="s">
        <v>41</v>
      </c>
      <c r="K82" s="3" t="s">
        <v>42</v>
      </c>
      <c r="L82" s="3" t="s">
        <v>41</v>
      </c>
    </row>
    <row r="83" spans="1:12" ht="80.45">
      <c r="A83" s="3" t="s">
        <v>2280</v>
      </c>
      <c r="B83" s="3" t="s">
        <v>2281</v>
      </c>
      <c r="C83" s="3" t="s">
        <v>95</v>
      </c>
      <c r="D83" s="3" t="s">
        <v>95</v>
      </c>
      <c r="E83" s="3" t="s">
        <v>2030</v>
      </c>
      <c r="F83" s="3" t="s">
        <v>2031</v>
      </c>
      <c r="G83" s="3" t="s">
        <v>2282</v>
      </c>
      <c r="H83" s="3" t="str">
        <f>HYPERLINK("http://www.jccm.es/sede/tramite/JCB","DECLARACION RESPONSABLE DE INSTALACION DE DESFIBRILADORES EXTERNOS AUTOMATIZADOS (DEA) FUERA DEL AMBITO SANITARIO.")</f>
        <v>DECLARACION RESPONSABLE DE INSTALACION DE DESFIBRILADORES EXTERNOS AUTOMATIZADOS (DEA) FUERA DEL AMBITO SANITARIO.</v>
      </c>
      <c r="I83" s="3" t="s">
        <v>41</v>
      </c>
      <c r="J83" s="3" t="s">
        <v>41</v>
      </c>
      <c r="K83" s="3" t="s">
        <v>42</v>
      </c>
      <c r="L83" s="3" t="s">
        <v>41</v>
      </c>
    </row>
    <row r="84" spans="1:12" ht="126.6">
      <c r="A84" s="3" t="s">
        <v>2283</v>
      </c>
      <c r="B84" s="3" t="s">
        <v>2284</v>
      </c>
      <c r="C84" s="3" t="s">
        <v>2285</v>
      </c>
      <c r="D84" s="3" t="s">
        <v>37</v>
      </c>
      <c r="E84" s="3" t="s">
        <v>2030</v>
      </c>
      <c r="F84" s="3" t="s">
        <v>2286</v>
      </c>
      <c r="G84" s="3" t="s">
        <v>2287</v>
      </c>
      <c r="H84" s="3" t="str">
        <f>HYPERLINK("http://www.jccm.es/sede/tramite/IUY","INSCRIPCION DEL DOCUMENTO DE DECLARACION DE VOLUNTADES ANTICIPADAS EN MATERIA DE LA PROPIA SALUD EN EL REGISTRO DE VOLUNTADES ANTICIPADAS DE CASTILLA-LA MANCHA")</f>
        <v>INSCRIPCION DEL DOCUMENTO DE DECLARACION DE VOLUNTADES ANTICIPADAS EN MATERIA DE LA PROPIA SALUD EN EL REGISTRO DE VOLUNTADES ANTICIPADAS DE CASTILLA-LA MANCHA</v>
      </c>
      <c r="I84" s="3" t="s">
        <v>41</v>
      </c>
      <c r="J84" s="3" t="s">
        <v>41</v>
      </c>
      <c r="K84" s="3" t="s">
        <v>42</v>
      </c>
      <c r="L84" s="3" t="s">
        <v>41</v>
      </c>
    </row>
    <row r="85" spans="1:12" ht="126.6">
      <c r="A85" s="3" t="s">
        <v>2288</v>
      </c>
      <c r="B85" s="3" t="s">
        <v>2289</v>
      </c>
      <c r="C85" s="3" t="s">
        <v>2285</v>
      </c>
      <c r="D85" s="3" t="s">
        <v>37</v>
      </c>
      <c r="E85" s="3" t="s">
        <v>2030</v>
      </c>
      <c r="F85" s="3" t="s">
        <v>2286</v>
      </c>
      <c r="G85" s="3" t="s">
        <v>2290</v>
      </c>
      <c r="H85" s="3" t="str">
        <f>HYPERLINK("http://www.jccm.es/sede/tramite/L2J","SOLICITUD DE VISITA A DOMICILIO PARA EL OTORGAMIENTO DEL DOCUMENTO DE DECLARACION DE VOLUNTADES ANTICIPADAS EN MATERIA DE LA PROPIA SALUD")</f>
        <v>SOLICITUD DE VISITA A DOMICILIO PARA EL OTORGAMIENTO DEL DOCUMENTO DE DECLARACION DE VOLUNTADES ANTICIPADAS EN MATERIA DE LA PROPIA SALUD</v>
      </c>
      <c r="I85" s="3" t="s">
        <v>42</v>
      </c>
      <c r="J85" s="3" t="s">
        <v>41</v>
      </c>
      <c r="K85" s="3" t="s">
        <v>42</v>
      </c>
      <c r="L85" s="3" t="s">
        <v>41</v>
      </c>
    </row>
    <row r="86" spans="1:12" ht="45.95">
      <c r="A86" s="3" t="s">
        <v>2291</v>
      </c>
      <c r="B86" s="3" t="s">
        <v>2292</v>
      </c>
      <c r="C86" s="3" t="s">
        <v>45</v>
      </c>
      <c r="D86" s="3" t="s">
        <v>37</v>
      </c>
      <c r="E86" s="3" t="s">
        <v>2030</v>
      </c>
      <c r="F86" s="3" t="s">
        <v>2087</v>
      </c>
      <c r="G86" s="3" t="s">
        <v>2293</v>
      </c>
      <c r="H86" s="3" t="str">
        <f>HYPERLINK("http://www.jccm.es/sede/tramite/514","REGISTRO GENERAL SANITARIO DE EMPRESAS ALIMENTARIAS Y ALIMENTOS. COMUNICACION PREVIA.")</f>
        <v>REGISTRO GENERAL SANITARIO DE EMPRESAS ALIMENTARIAS Y ALIMENTOS. COMUNICACION PREVIA.</v>
      </c>
      <c r="I86" s="3" t="s">
        <v>42</v>
      </c>
      <c r="J86" s="3" t="s">
        <v>41</v>
      </c>
      <c r="K86" s="3" t="s">
        <v>42</v>
      </c>
      <c r="L86" s="3" t="s">
        <v>42</v>
      </c>
    </row>
    <row r="87" spans="1:12" ht="45.95">
      <c r="A87" s="3" t="s">
        <v>2294</v>
      </c>
      <c r="B87" s="3" t="s">
        <v>2295</v>
      </c>
      <c r="C87" s="3" t="s">
        <v>45</v>
      </c>
      <c r="D87" s="3" t="s">
        <v>37</v>
      </c>
      <c r="E87" s="3" t="s">
        <v>2030</v>
      </c>
      <c r="F87" s="3" t="s">
        <v>2087</v>
      </c>
      <c r="G87" s="3" t="s">
        <v>2296</v>
      </c>
      <c r="H87" s="3" t="str">
        <f>HYPERLINK("http://www.jccm.es/sede/tramite/KAA","REGISTRO GENERAL SANITARIO DE EMPRESAS ALIMENTARIAS Y ALIMENTOS. SOLICITUD DE AUTORIZACION E INSCRIPCION.")</f>
        <v>REGISTRO GENERAL SANITARIO DE EMPRESAS ALIMENTARIAS Y ALIMENTOS. SOLICITUD DE AUTORIZACION E INSCRIPCION.</v>
      </c>
      <c r="I87" s="3" t="s">
        <v>42</v>
      </c>
      <c r="J87" s="3" t="s">
        <v>41</v>
      </c>
      <c r="K87" s="3" t="s">
        <v>42</v>
      </c>
      <c r="L87" s="3" t="s">
        <v>41</v>
      </c>
    </row>
    <row r="88" spans="1:12" ht="103.5">
      <c r="A88" s="3" t="s">
        <v>2297</v>
      </c>
      <c r="B88" s="3" t="s">
        <v>2298</v>
      </c>
      <c r="C88" s="3" t="s">
        <v>2299</v>
      </c>
      <c r="D88" s="3" t="s">
        <v>46</v>
      </c>
      <c r="E88" s="3" t="s">
        <v>2030</v>
      </c>
      <c r="F88" s="3" t="s">
        <v>2286</v>
      </c>
      <c r="G88" s="3" t="s">
        <v>2300</v>
      </c>
      <c r="H88" s="3" t="str">
        <f>HYPERLINK("http://www.jccm.es/sede/tramite/G52","SUBVENCIONES A ASOCIACIONES Y ENTIDADES PRIVADAS SIN ANIMO DE LUCRO PARA EL DESARROLLO DE ACTIVIDADES Y PRESTACION DE SERVICIOS EN MATERIA SOCIOSANITARIA.")</f>
        <v>SUBVENCIONES A ASOCIACIONES Y ENTIDADES PRIVADAS SIN ANIMO DE LUCRO PARA EL DESARROLLO DE ACTIVIDADES Y PRESTACION DE SERVICIOS EN MATERIA SOCIOSANITARIA.</v>
      </c>
      <c r="I88" s="3" t="s">
        <v>41</v>
      </c>
      <c r="J88" s="3" t="s">
        <v>41</v>
      </c>
      <c r="K88" s="3" t="s">
        <v>42</v>
      </c>
      <c r="L88" s="3" t="s">
        <v>41</v>
      </c>
    </row>
    <row r="89" spans="1:12" ht="92.1">
      <c r="A89" s="3" t="s">
        <v>2301</v>
      </c>
      <c r="B89" s="3" t="s">
        <v>2302</v>
      </c>
      <c r="C89" s="3" t="s">
        <v>36</v>
      </c>
      <c r="D89" s="3" t="s">
        <v>46</v>
      </c>
      <c r="E89" s="3" t="s">
        <v>2030</v>
      </c>
      <c r="F89" s="3" t="s">
        <v>2087</v>
      </c>
      <c r="G89" s="3" t="s">
        <v>2303</v>
      </c>
      <c r="H89" s="3" t="str">
        <f>HYPERLINK("http://www.jccm.es/sede/tramite/J38","SUBVENCIONES A ASOCIACIONES Y ENTIDADES PRIVADAS SIN ANIMO DE LUCRO PARA EL FUNCIONAMIENTO DE CENTROS Y DESARROLLO DE PROGRAMAS DE ATENCION A PERSONAS CON ADICCIONES.")</f>
        <v>SUBVENCIONES A ASOCIACIONES Y ENTIDADES PRIVADAS SIN ANIMO DE LUCRO PARA EL FUNCIONAMIENTO DE CENTROS Y DESARROLLO DE PROGRAMAS DE ATENCION A PERSONAS CON ADICCIONES.</v>
      </c>
      <c r="I89" s="3" t="s">
        <v>41</v>
      </c>
      <c r="J89" s="3" t="s">
        <v>41</v>
      </c>
      <c r="K89" s="3" t="s">
        <v>42</v>
      </c>
      <c r="L89" s="3" t="s">
        <v>41</v>
      </c>
    </row>
    <row r="90" spans="1:12" ht="126.6">
      <c r="A90" s="3" t="s">
        <v>2304</v>
      </c>
      <c r="B90" s="3" t="s">
        <v>2305</v>
      </c>
      <c r="C90" s="3" t="s">
        <v>36</v>
      </c>
      <c r="D90" s="3" t="s">
        <v>46</v>
      </c>
      <c r="E90" s="3" t="s">
        <v>2030</v>
      </c>
      <c r="F90" s="3" t="s">
        <v>2087</v>
      </c>
      <c r="G90" s="3" t="s">
        <v>2306</v>
      </c>
      <c r="H90" s="3" t="str">
        <f>HYPERLINK("http://www.jccm.es/sede/tramite/120","SUBVENCIONES A AYUNTAMIENTOS PARA PROGRAMAS DE PREVENCION SELECTIVA E INDICADA DEL CONSUMO DE DROGAS U OTRAS CONDUCTAS ADICTIVAS Y DE EDUCACION DE CALLE PARA  PERSONAS CON DROGODEPENDENCIA.")</f>
        <v>SUBVENCIONES A AYUNTAMIENTOS PARA PROGRAMAS DE PREVENCION SELECTIVA E INDICADA DEL CONSUMO DE DROGAS U OTRAS CONDUCTAS ADICTIVAS Y DE EDUCACION DE CALLE PARA  PERSONAS CON DROGODEPENDENCIA.</v>
      </c>
      <c r="I90" s="3" t="s">
        <v>41</v>
      </c>
      <c r="J90" s="3" t="s">
        <v>41</v>
      </c>
      <c r="K90" s="3" t="s">
        <v>42</v>
      </c>
      <c r="L90" s="3" t="s">
        <v>41</v>
      </c>
    </row>
    <row r="91" spans="1:12" ht="69">
      <c r="A91" s="3" t="s">
        <v>2307</v>
      </c>
      <c r="B91" s="3" t="s">
        <v>2308</v>
      </c>
      <c r="C91" s="3" t="s">
        <v>327</v>
      </c>
      <c r="D91" s="3" t="s">
        <v>46</v>
      </c>
      <c r="E91" s="3" t="s">
        <v>2030</v>
      </c>
      <c r="F91" s="3" t="s">
        <v>2286</v>
      </c>
      <c r="G91" s="3" t="s">
        <v>2309</v>
      </c>
      <c r="H91" s="3" t="str">
        <f>HYPERLINK("http://www.jccm.es/sede/tramite/LOF","SUBVENCIONES DESTINADAS A LA ATENCION ADECUADA A UNIDADES FAMILIARES CON ALGUN MIEMBRO DIAGNOSTICADO CON UNA ENFERMEDAD RARA")</f>
        <v>SUBVENCIONES DESTINADAS A LA ATENCION ADECUADA A UNIDADES FAMILIARES CON ALGUN MIEMBRO DIAGNOSTICADO CON UNA ENFERMEDAD RARA</v>
      </c>
      <c r="I91" s="3" t="s">
        <v>42</v>
      </c>
      <c r="J91" s="3" t="s">
        <v>41</v>
      </c>
      <c r="K91" s="3" t="s">
        <v>42</v>
      </c>
      <c r="L91" s="3" t="s">
        <v>41</v>
      </c>
    </row>
    <row r="92" spans="1:12" ht="149.44999999999999">
      <c r="A92" s="3" t="s">
        <v>2310</v>
      </c>
      <c r="B92" s="3" t="s">
        <v>2311</v>
      </c>
      <c r="C92" s="3" t="s">
        <v>51</v>
      </c>
      <c r="D92" s="3" t="s">
        <v>46</v>
      </c>
      <c r="E92" s="3" t="s">
        <v>2030</v>
      </c>
      <c r="F92" s="3" t="s">
        <v>2286</v>
      </c>
      <c r="G92" s="3" t="s">
        <v>2312</v>
      </c>
      <c r="H92" s="3" t="str">
        <f>HYPERLINK("http://www.jccm.es/sede/tramite/LWV","SUBVENCIONES A ASOCIACIONES Y ENTIDADES PRIVADAS SIN ANIMO DE LUCRO PARA FINANCIACION DE GASTOS DE MEJORA DE EQUIPAMIENTOS, FORMACION Y MATERIAL EN EL AMBITO DE LA CRONICIDAD")</f>
        <v>SUBVENCIONES A ASOCIACIONES Y ENTIDADES PRIVADAS SIN ANIMO DE LUCRO PARA FINANCIACION DE GASTOS DE MEJORA DE EQUIPAMIENTOS, FORMACION Y MATERIAL EN EL AMBITO DE LA CRONICIDAD</v>
      </c>
      <c r="I92" s="3" t="s">
        <v>41</v>
      </c>
      <c r="J92" s="3" t="s">
        <v>41</v>
      </c>
      <c r="K92" s="3" t="s">
        <v>42</v>
      </c>
      <c r="L92" s="3" t="s">
        <v>41</v>
      </c>
    </row>
    <row r="93" spans="1:12" ht="80.45">
      <c r="A93" s="3" t="s">
        <v>2313</v>
      </c>
      <c r="B93" s="3" t="s">
        <v>2314</v>
      </c>
      <c r="C93" s="3" t="s">
        <v>1535</v>
      </c>
      <c r="D93" s="3" t="s">
        <v>1368</v>
      </c>
      <c r="E93" s="3" t="s">
        <v>2030</v>
      </c>
      <c r="F93" s="3" t="s">
        <v>2286</v>
      </c>
      <c r="G93" s="3" t="s">
        <v>2315</v>
      </c>
      <c r="H93" s="3" t="str">
        <f>HYPERLINK("http://www.jccm.es/sede/tramite/LXW","ALEGACIONES AL PROCEDIMIENTO DE EXIGENCIA DE  REINTEGRO DE SUBVENCIONES CONCEDIDAS POR LA FUNDACION SOCIOSANITARIA DE CASTILLA - LA MANCHA.")</f>
        <v>ALEGACIONES AL PROCEDIMIENTO DE EXIGENCIA DE  REINTEGRO DE SUBVENCIONES CONCEDIDAS POR LA FUNDACION SOCIOSANITARIA DE CASTILLA - LA MANCHA.</v>
      </c>
      <c r="I93" s="3" t="s">
        <v>41</v>
      </c>
      <c r="J93" s="3" t="s">
        <v>41</v>
      </c>
      <c r="K93" s="3" t="s">
        <v>42</v>
      </c>
      <c r="L93" s="3" t="s">
        <v>41</v>
      </c>
    </row>
    <row r="94" spans="1:12" ht="80.45">
      <c r="A94" s="3" t="s">
        <v>2316</v>
      </c>
      <c r="B94" s="3" t="s">
        <v>2317</v>
      </c>
      <c r="C94" s="3" t="s">
        <v>442</v>
      </c>
      <c r="D94" s="3" t="s">
        <v>37</v>
      </c>
      <c r="E94" s="3" t="s">
        <v>2030</v>
      </c>
      <c r="F94" s="3" t="s">
        <v>2031</v>
      </c>
      <c r="G94" s="3" t="s">
        <v>2318</v>
      </c>
      <c r="H94" s="3" t="str">
        <f>HYPERLINK("http://www.jccm.es/sede/tramite/350","OBTENCION INICIAL DE LA CERTIFICACION TECNICO-SANITARIA DEL TRANSPORTE SANITARIO POR CARRETERA")</f>
        <v>OBTENCION INICIAL DE LA CERTIFICACION TECNICO-SANITARIA DEL TRANSPORTE SANITARIO POR CARRETERA</v>
      </c>
      <c r="I94" s="3" t="s">
        <v>42</v>
      </c>
      <c r="J94" s="3" t="s">
        <v>41</v>
      </c>
      <c r="K94" s="3" t="s">
        <v>42</v>
      </c>
      <c r="L94" s="3" t="s">
        <v>41</v>
      </c>
    </row>
    <row r="95" spans="1:12" ht="45.95">
      <c r="A95" s="3" t="s">
        <v>2319</v>
      </c>
      <c r="B95" s="3" t="s">
        <v>2320</v>
      </c>
      <c r="C95" s="3" t="s">
        <v>45</v>
      </c>
      <c r="D95" s="3" t="s">
        <v>37</v>
      </c>
      <c r="E95" s="3" t="s">
        <v>2030</v>
      </c>
      <c r="F95" s="3" t="s">
        <v>2087</v>
      </c>
      <c r="G95" s="3" t="s">
        <v>2321</v>
      </c>
      <c r="H95" s="3" t="str">
        <f>HYPERLINK("http://www.jccm.es/sede/tramite/I6B","ACREDITACION DE OFICINAS DE FARMACIA PARA ELABORAR, CONSERVAR Y DISPENSAR AGONISTAS OPIACEOS")</f>
        <v>ACREDITACION DE OFICINAS DE FARMACIA PARA ELABORAR, CONSERVAR Y DISPENSAR AGONISTAS OPIACEOS</v>
      </c>
      <c r="I95" s="3" t="s">
        <v>42</v>
      </c>
      <c r="J95" s="3" t="s">
        <v>41</v>
      </c>
      <c r="K95" s="3" t="s">
        <v>42</v>
      </c>
      <c r="L95" s="3" t="s">
        <v>41</v>
      </c>
    </row>
    <row r="96" spans="1:12" ht="149.44999999999999">
      <c r="A96" s="3" t="s">
        <v>2322</v>
      </c>
      <c r="B96" s="3" t="s">
        <v>2323</v>
      </c>
      <c r="C96" s="3" t="s">
        <v>2324</v>
      </c>
      <c r="D96" s="3" t="s">
        <v>37</v>
      </c>
      <c r="E96" s="3" t="s">
        <v>2030</v>
      </c>
      <c r="F96" s="3" t="s">
        <v>2031</v>
      </c>
      <c r="G96" s="3" t="s">
        <v>2325</v>
      </c>
      <c r="H96" s="3" t="str">
        <f>HYPERLINK("http://www.jccm.es/sede/tramite/IHP","DECLARACION DE INTERES SANITARIO O SOCIOSANITARIO EN ACTIVIDADES DE CARACTER CIENTIFICO Y TECNICO")</f>
        <v>DECLARACION DE INTERES SANITARIO O SOCIOSANITARIO EN ACTIVIDADES DE CARACTER CIENTIFICO Y TECNICO</v>
      </c>
      <c r="I96" s="3" t="s">
        <v>42</v>
      </c>
      <c r="J96" s="3" t="s">
        <v>41</v>
      </c>
      <c r="K96" s="3" t="s">
        <v>42</v>
      </c>
      <c r="L96" s="3" t="s">
        <v>41</v>
      </c>
    </row>
    <row r="97" spans="1:12" ht="80.45">
      <c r="A97" s="3" t="s">
        <v>2326</v>
      </c>
      <c r="B97" s="3" t="s">
        <v>2327</v>
      </c>
      <c r="C97" s="3" t="s">
        <v>51</v>
      </c>
      <c r="D97" s="3" t="s">
        <v>37</v>
      </c>
      <c r="E97" s="3" t="s">
        <v>2030</v>
      </c>
      <c r="F97" s="3" t="s">
        <v>2031</v>
      </c>
      <c r="G97" s="3" t="s">
        <v>2328</v>
      </c>
      <c r="H97" s="3" t="str">
        <f>HYPERLINK("http://www.jccm.es/sede/tramite/J6H","RENOVACION DE LA CERTIFICACION TECNICO-SANITARIA DE TRANSPORTE POR CARRETERA")</f>
        <v>RENOVACION DE LA CERTIFICACION TECNICO-SANITARIA DE TRANSPORTE POR CARRETERA</v>
      </c>
      <c r="I97" s="3" t="s">
        <v>42</v>
      </c>
      <c r="J97" s="3" t="s">
        <v>41</v>
      </c>
      <c r="K97" s="3" t="s">
        <v>42</v>
      </c>
      <c r="L97" s="3" t="s">
        <v>41</v>
      </c>
    </row>
    <row r="98" spans="1:12" ht="80.45">
      <c r="A98" s="3" t="s">
        <v>2329</v>
      </c>
      <c r="B98" s="3" t="s">
        <v>2330</v>
      </c>
      <c r="C98" s="3" t="s">
        <v>62</v>
      </c>
      <c r="D98" s="3" t="s">
        <v>37</v>
      </c>
      <c r="E98" s="3" t="s">
        <v>2030</v>
      </c>
      <c r="F98" s="3" t="s">
        <v>2031</v>
      </c>
      <c r="G98" s="3" t="s">
        <v>2331</v>
      </c>
      <c r="H98" s="3" t="str">
        <f>HYPERLINK("http://www.jccm.es/sede/tramite/J6J","CONSULTA PREVIA A LA SOLICITUD DE LA CERTIFICACION TECNICO-SANITARIA DEL TRANSPORTE SANITARIO POR CARRETERA")</f>
        <v>CONSULTA PREVIA A LA SOLICITUD DE LA CERTIFICACION TECNICO-SANITARIA DEL TRANSPORTE SANITARIO POR CARRETERA</v>
      </c>
      <c r="I98" s="3" t="s">
        <v>42</v>
      </c>
      <c r="J98" s="3" t="s">
        <v>41</v>
      </c>
      <c r="K98" s="3" t="s">
        <v>42</v>
      </c>
      <c r="L98" s="3" t="s">
        <v>41</v>
      </c>
    </row>
    <row r="99" spans="1:12" ht="80.45">
      <c r="A99" s="3" t="s">
        <v>2332</v>
      </c>
      <c r="B99" s="3" t="s">
        <v>2333</v>
      </c>
      <c r="C99" s="3" t="s">
        <v>2334</v>
      </c>
      <c r="D99" s="3" t="s">
        <v>37</v>
      </c>
      <c r="E99" s="3" t="s">
        <v>2030</v>
      </c>
      <c r="F99" s="3" t="s">
        <v>2031</v>
      </c>
      <c r="G99" s="3" t="s">
        <v>2335</v>
      </c>
      <c r="H99" s="3" t="str">
        <f>HYPERLINK("http://www.jccm.es/sede/tramite/JYQ","APLICACION DEL INDICE CORRECTOR DEL MARGEN DE DISPENSACION DE LAS OFICINAS DE FARMACIA")</f>
        <v>APLICACION DEL INDICE CORRECTOR DEL MARGEN DE DISPENSACION DE LAS OFICINAS DE FARMACIA</v>
      </c>
      <c r="I99" s="3" t="s">
        <v>41</v>
      </c>
      <c r="J99" s="3" t="s">
        <v>41</v>
      </c>
      <c r="K99" s="3" t="s">
        <v>42</v>
      </c>
      <c r="L99" s="3" t="s">
        <v>41</v>
      </c>
    </row>
    <row r="100" spans="1:12" ht="45.95">
      <c r="A100" s="3" t="s">
        <v>2336</v>
      </c>
      <c r="B100" s="3" t="s">
        <v>2337</v>
      </c>
      <c r="C100" s="3" t="s">
        <v>45</v>
      </c>
      <c r="D100" s="3" t="s">
        <v>37</v>
      </c>
      <c r="E100" s="3" t="s">
        <v>2030</v>
      </c>
      <c r="F100" s="3" t="s">
        <v>2087</v>
      </c>
      <c r="G100" s="3" t="s">
        <v>2338</v>
      </c>
      <c r="H100" s="3" t="str">
        <f>HYPERLINK("http://www.jccm.es/sede/tramite/K0H","CERTIFICADO DE LIBRE VENTA PARA LA EXPORTACION")</f>
        <v>CERTIFICADO DE LIBRE VENTA PARA LA EXPORTACION</v>
      </c>
      <c r="I100" s="3" t="s">
        <v>42</v>
      </c>
      <c r="J100" s="3" t="s">
        <v>41</v>
      </c>
      <c r="K100" s="3" t="s">
        <v>42</v>
      </c>
      <c r="L100" s="3" t="s">
        <v>41</v>
      </c>
    </row>
    <row r="101" spans="1:12" ht="80.45">
      <c r="A101" s="3" t="s">
        <v>2339</v>
      </c>
      <c r="B101" s="3" t="s">
        <v>2340</v>
      </c>
      <c r="C101" s="3" t="s">
        <v>2341</v>
      </c>
      <c r="D101" s="3" t="s">
        <v>37</v>
      </c>
      <c r="E101" s="3" t="s">
        <v>2030</v>
      </c>
      <c r="F101" s="3" t="s">
        <v>2031</v>
      </c>
      <c r="G101" s="3" t="s">
        <v>2342</v>
      </c>
      <c r="H101" s="3" t="str">
        <f>HYPERLINK("http://www.jccm.es/sede/tramite/KQV","CERTIFICACION DE CUMPLIMIENTO DE BUENAS PRACTICAS DE DISTRIBUCION DE MEDICAMENTOS DE USO HUMANO")</f>
        <v>CERTIFICACION DE CUMPLIMIENTO DE BUENAS PRACTICAS DE DISTRIBUCION DE MEDICAMENTOS DE USO HUMANO</v>
      </c>
      <c r="I101" s="3" t="s">
        <v>42</v>
      </c>
      <c r="J101" s="3" t="s">
        <v>41</v>
      </c>
      <c r="K101" s="3" t="s">
        <v>42</v>
      </c>
      <c r="L101" s="3" t="s">
        <v>41</v>
      </c>
    </row>
    <row r="102" spans="1:12" ht="80.45">
      <c r="A102" s="3" t="s">
        <v>2343</v>
      </c>
      <c r="B102" s="3" t="s">
        <v>2344</v>
      </c>
      <c r="C102" s="3" t="s">
        <v>2341</v>
      </c>
      <c r="D102" s="3" t="s">
        <v>37</v>
      </c>
      <c r="E102" s="3" t="s">
        <v>2030</v>
      </c>
      <c r="F102" s="3" t="s">
        <v>2031</v>
      </c>
      <c r="G102" s="3" t="s">
        <v>2345</v>
      </c>
      <c r="H102" s="3" t="str">
        <f>HYPERLINK("http://www.jccm.es/sede/tramite/KQW","CERTIFICACION DE CUMPLIMIENTO DE BUENAS PRACTICAS DE DISTRIBUCION DE PRINCIPIOS ACTIVOS PARA MEDICAMENTOS DE USO HUMANO")</f>
        <v>CERTIFICACION DE CUMPLIMIENTO DE BUENAS PRACTICAS DE DISTRIBUCION DE PRINCIPIOS ACTIVOS PARA MEDICAMENTOS DE USO HUMANO</v>
      </c>
      <c r="I102" s="3" t="s">
        <v>42</v>
      </c>
      <c r="J102" s="3" t="s">
        <v>41</v>
      </c>
      <c r="K102" s="3" t="s">
        <v>42</v>
      </c>
      <c r="L102" s="3" t="s">
        <v>41</v>
      </c>
    </row>
    <row r="103" spans="1:12" ht="57.6">
      <c r="A103" s="3" t="s">
        <v>2346</v>
      </c>
      <c r="B103" s="3" t="s">
        <v>2347</v>
      </c>
      <c r="C103" s="3" t="s">
        <v>45</v>
      </c>
      <c r="D103" s="3" t="s">
        <v>37</v>
      </c>
      <c r="E103" s="3" t="s">
        <v>2030</v>
      </c>
      <c r="F103" s="3" t="s">
        <v>2087</v>
      </c>
      <c r="G103" s="3" t="s">
        <v>2348</v>
      </c>
      <c r="H103" s="3" t="str">
        <f>HYPERLINK("http://www.jccm.es/sede/tramite/KSK","ACREDITACION DE CENTROS Y SERVICIOS PARA REALIZAR TRATAMIENTOS DE DESHABITUACION CON OPIACEOS")</f>
        <v>ACREDITACION DE CENTROS Y SERVICIOS PARA REALIZAR TRATAMIENTOS DE DESHABITUACION CON OPIACEOS</v>
      </c>
      <c r="I103" s="3" t="s">
        <v>42</v>
      </c>
      <c r="J103" s="3" t="s">
        <v>41</v>
      </c>
      <c r="K103" s="3" t="s">
        <v>42</v>
      </c>
      <c r="L103" s="3" t="s">
        <v>41</v>
      </c>
    </row>
    <row r="104" spans="1:12" ht="69">
      <c r="A104" s="3" t="s">
        <v>2349</v>
      </c>
      <c r="B104" s="3" t="s">
        <v>2350</v>
      </c>
      <c r="C104" s="3" t="s">
        <v>51</v>
      </c>
      <c r="D104" s="3" t="s">
        <v>37</v>
      </c>
      <c r="E104" s="3" t="s">
        <v>2030</v>
      </c>
      <c r="F104" s="3" t="s">
        <v>2087</v>
      </c>
      <c r="G104" s="3" t="s">
        <v>2351</v>
      </c>
      <c r="H104" s="3" t="str">
        <f>HYPERLINK("http://www.jccm.es/sede/tramite/KSL","RENOVACION DE LA ACREDITACION DE CENTROS Y SERVICIOS PARA REALIZAR TRATAMIENTOS DE DESHABITUACION CON OPIACEOS")</f>
        <v>RENOVACION DE LA ACREDITACION DE CENTROS Y SERVICIOS PARA REALIZAR TRATAMIENTOS DE DESHABITUACION CON OPIACEOS</v>
      </c>
      <c r="I104" s="3" t="s">
        <v>42</v>
      </c>
      <c r="J104" s="3" t="s">
        <v>41</v>
      </c>
      <c r="K104" s="3" t="s">
        <v>42</v>
      </c>
      <c r="L104" s="3" t="s">
        <v>41</v>
      </c>
    </row>
    <row r="105" spans="1:12" ht="57.6">
      <c r="A105" s="3" t="s">
        <v>2352</v>
      </c>
      <c r="B105" s="3" t="s">
        <v>2353</v>
      </c>
      <c r="C105" s="3" t="s">
        <v>51</v>
      </c>
      <c r="D105" s="3" t="s">
        <v>37</v>
      </c>
      <c r="E105" s="3" t="s">
        <v>2030</v>
      </c>
      <c r="F105" s="3" t="s">
        <v>2087</v>
      </c>
      <c r="G105" s="3" t="s">
        <v>2354</v>
      </c>
      <c r="H105" s="3" t="str">
        <f>HYPERLINK("http://www.jccm.es/sede/tramite/KSN","RENOVACION DE LA ACREDITACION DE OFICINAS DE FARMACIA PARA ELABORAR, CONSERVAR Y DISPENSAR AGONISTAS OPIACEOS")</f>
        <v>RENOVACION DE LA ACREDITACION DE OFICINAS DE FARMACIA PARA ELABORAR, CONSERVAR Y DISPENSAR AGONISTAS OPIACEOS</v>
      </c>
      <c r="I105" s="3" t="s">
        <v>41</v>
      </c>
      <c r="J105" s="3" t="s">
        <v>41</v>
      </c>
      <c r="K105" s="3" t="s">
        <v>42</v>
      </c>
      <c r="L105" s="3" t="s">
        <v>41</v>
      </c>
    </row>
    <row r="106" spans="1:12" ht="57.6">
      <c r="A106" s="3" t="s">
        <v>2355</v>
      </c>
      <c r="B106" s="3" t="s">
        <v>2356</v>
      </c>
      <c r="C106" s="3" t="s">
        <v>95</v>
      </c>
      <c r="D106" s="3" t="s">
        <v>95</v>
      </c>
      <c r="E106" s="3" t="s">
        <v>2030</v>
      </c>
      <c r="F106" s="3" t="s">
        <v>2087</v>
      </c>
      <c r="G106" s="3" t="s">
        <v>2357</v>
      </c>
      <c r="H106" s="3" t="str">
        <f>HYPERLINK("http://www.jccm.es/sede/tramite/KSM","COMUNICACION DE RENUNCIA A LA ACREDITACION INICIAL DE OFICINAS DE FARMACIA PARA ELABORAR, CONSERVAR Y DISPENSAR AGONISTAS OPIACEOS")</f>
        <v>COMUNICACION DE RENUNCIA A LA ACREDITACION INICIAL DE OFICINAS DE FARMACIA PARA ELABORAR, CONSERVAR Y DISPENSAR AGONISTAS OPIACEOS</v>
      </c>
      <c r="I106" s="3" t="s">
        <v>42</v>
      </c>
      <c r="J106" s="3" t="s">
        <v>41</v>
      </c>
      <c r="K106" s="3" t="s">
        <v>42</v>
      </c>
      <c r="L106" s="3" t="s">
        <v>41</v>
      </c>
    </row>
    <row r="107" spans="1:12" ht="69">
      <c r="A107" s="3" t="s">
        <v>2358</v>
      </c>
      <c r="B107" s="3" t="s">
        <v>2359</v>
      </c>
      <c r="C107" s="3" t="s">
        <v>45</v>
      </c>
      <c r="D107" s="3" t="s">
        <v>37</v>
      </c>
      <c r="E107" s="3" t="s">
        <v>2030</v>
      </c>
      <c r="F107" s="3" t="s">
        <v>2087</v>
      </c>
      <c r="G107" s="3" t="s">
        <v>2360</v>
      </c>
      <c r="H107" s="3" t="str">
        <f>HYPERLINK("http://www.jccm.es/sede/tramite/L7M","COMUNICACION DE MEMORIA FINAL DE ACTIVIDAD FORMATIVA DE PRIMEROS INTERVINIENTES PARA EL USO DE DESFIBRILADORES AUTOMATIZADOS")</f>
        <v>COMUNICACION DE MEMORIA FINAL DE ACTIVIDAD FORMATIVA DE PRIMEROS INTERVINIENTES PARA EL USO DE DESFIBRILADORES AUTOMATIZADOS</v>
      </c>
      <c r="I107" s="3" t="s">
        <v>42</v>
      </c>
      <c r="J107" s="3" t="s">
        <v>41</v>
      </c>
      <c r="K107" s="3" t="s">
        <v>42</v>
      </c>
      <c r="L107" s="3" t="s">
        <v>41</v>
      </c>
    </row>
    <row r="108" spans="1:12" ht="69">
      <c r="A108" s="3" t="s">
        <v>2361</v>
      </c>
      <c r="B108" s="3" t="s">
        <v>2362</v>
      </c>
      <c r="C108" s="3" t="s">
        <v>45</v>
      </c>
      <c r="D108" s="3" t="s">
        <v>37</v>
      </c>
      <c r="E108" s="3" t="s">
        <v>2030</v>
      </c>
      <c r="F108" s="3" t="s">
        <v>2286</v>
      </c>
      <c r="G108" s="3" t="s">
        <v>2363</v>
      </c>
      <c r="H108" s="3" t="str">
        <f>HYPERLINK("http://www.jccm.es/sede/tramite/L7N","SOLICITUD DE INSCRIPCION EN EL REGISTRO DE PERSONA AUTORIZADA PARA EL USO DE DESFIBRILADORES EXTERNOS AUTOMATIZADOS (DEA) FUERA DEL AMBITO SANITARIO")</f>
        <v>SOLICITUD DE INSCRIPCION EN EL REGISTRO DE PERSONA AUTORIZADA PARA EL USO DE DESFIBRILADORES EXTERNOS AUTOMATIZADOS (DEA) FUERA DEL AMBITO SANITARIO</v>
      </c>
      <c r="I108" s="3" t="s">
        <v>42</v>
      </c>
      <c r="J108" s="3" t="s">
        <v>41</v>
      </c>
      <c r="K108" s="3" t="s">
        <v>42</v>
      </c>
      <c r="L108" s="3" t="s">
        <v>41</v>
      </c>
    </row>
    <row r="109" spans="1:12" ht="80.45">
      <c r="A109" s="3" t="s">
        <v>2364</v>
      </c>
      <c r="B109" s="3" t="s">
        <v>2365</v>
      </c>
      <c r="C109" s="3" t="s">
        <v>232</v>
      </c>
      <c r="D109" s="3" t="s">
        <v>37</v>
      </c>
      <c r="E109" s="3" t="s">
        <v>2030</v>
      </c>
      <c r="F109" s="3" t="s">
        <v>2031</v>
      </c>
      <c r="G109" s="3" t="s">
        <v>2366</v>
      </c>
      <c r="H109" s="3" t="str">
        <f>HYPERLINK("http://www.jccm.es/sede/tramite/LHD","ACREDITACION DE ENFERMERAS Y ENFERMEROS PARA LA INDICACION, USO Y AUTORIZACION DE LA DISPENSACION DE MEDICAMENTOS Y PRODUCTOS SANITARIOS DE USO HUMANO.")</f>
        <v>ACREDITACION DE ENFERMERAS Y ENFERMEROS PARA LA INDICACION, USO Y AUTORIZACION DE LA DISPENSACION DE MEDICAMENTOS Y PRODUCTOS SANITARIOS DE USO HUMANO.</v>
      </c>
      <c r="I109" s="3" t="s">
        <v>41</v>
      </c>
      <c r="J109" s="3" t="s">
        <v>41</v>
      </c>
      <c r="K109" s="3" t="s">
        <v>42</v>
      </c>
      <c r="L109" s="3" t="s">
        <v>41</v>
      </c>
    </row>
    <row r="110" spans="1:12" ht="23.1">
      <c r="A110" s="3" t="s">
        <v>2367</v>
      </c>
      <c r="B110" s="3" t="s">
        <v>2368</v>
      </c>
      <c r="C110" s="3" t="s">
        <v>45</v>
      </c>
      <c r="D110" s="3" t="s">
        <v>46</v>
      </c>
      <c r="E110" s="3" t="s">
        <v>2030</v>
      </c>
      <c r="F110" s="3" t="s">
        <v>2030</v>
      </c>
      <c r="G110" s="3" t="s">
        <v>2369</v>
      </c>
      <c r="H110" s="3" t="str">
        <f>HYPERLINK("http://www.jccm.es/sede/tramite/LM7","CERTIFICADO COVID DIGITAL UE")</f>
        <v>CERTIFICADO COVID DIGITAL UE</v>
      </c>
      <c r="I110" s="3" t="s">
        <v>42</v>
      </c>
      <c r="J110" s="3" t="s">
        <v>41</v>
      </c>
      <c r="K110" s="3" t="s">
        <v>42</v>
      </c>
      <c r="L110" s="3" t="s">
        <v>41</v>
      </c>
    </row>
    <row r="111" spans="1:12" ht="57.6">
      <c r="A111" s="3" t="s">
        <v>2370</v>
      </c>
      <c r="B111" s="3" t="s">
        <v>2371</v>
      </c>
      <c r="C111" s="3" t="s">
        <v>45</v>
      </c>
      <c r="D111" s="3" t="s">
        <v>37</v>
      </c>
      <c r="E111" s="3" t="s">
        <v>2030</v>
      </c>
      <c r="F111" s="3" t="s">
        <v>2087</v>
      </c>
      <c r="G111" s="3" t="s">
        <v>2372</v>
      </c>
      <c r="H111" s="3" t="str">
        <f>HYPERLINK("http://www.jccm.es/sede/tramite/JCA","SOLICITUD DE ACREDITACION DE ENTIDADES PARA IMPARTIR  FORMACION PARA EL USO DE DESFIBRILADORES EXTERNOS AUTOMATIZADOS (DEA).")</f>
        <v>SOLICITUD DE ACREDITACION DE ENTIDADES PARA IMPARTIR  FORMACION PARA EL USO DE DESFIBRILADORES EXTERNOS AUTOMATIZADOS (DEA).</v>
      </c>
      <c r="I111" s="3" t="s">
        <v>42</v>
      </c>
      <c r="J111" s="3" t="s">
        <v>41</v>
      </c>
      <c r="K111" s="3" t="s">
        <v>42</v>
      </c>
      <c r="L111" s="3" t="s">
        <v>41</v>
      </c>
    </row>
    <row r="112" spans="1:12" ht="80.45">
      <c r="A112" s="3" t="s">
        <v>2373</v>
      </c>
      <c r="B112" s="3" t="s">
        <v>2374</v>
      </c>
      <c r="C112" s="3" t="s">
        <v>45</v>
      </c>
      <c r="D112" s="3" t="s">
        <v>37</v>
      </c>
      <c r="E112" s="3" t="s">
        <v>2030</v>
      </c>
      <c r="F112" s="3" t="s">
        <v>2087</v>
      </c>
      <c r="G112" s="3" t="s">
        <v>2375</v>
      </c>
      <c r="H112" s="3" t="str">
        <f>HYPERLINK("http://www.jccm.es/sede/tramite/KU6","COMUNICACION DE ACREDITACION DE ENTIDADES SIN SEDE EN CASTILLA-LA MANCHA PARA IMPARTIR  FORMACION PARA EL USO DE DESFIBRILADORES EXTERNOS AUTOMATIZADOS (DEA).")</f>
        <v>COMUNICACION DE ACREDITACION DE ENTIDADES SIN SEDE EN CASTILLA-LA MANCHA PARA IMPARTIR  FORMACION PARA EL USO DE DESFIBRILADORES EXTERNOS AUTOMATIZADOS (DEA).</v>
      </c>
      <c r="I112" s="3" t="s">
        <v>42</v>
      </c>
      <c r="J112" s="3" t="s">
        <v>41</v>
      </c>
      <c r="K112" s="3" t="s">
        <v>42</v>
      </c>
      <c r="L112" s="3" t="s">
        <v>41</v>
      </c>
    </row>
    <row r="113" spans="1:12" ht="92.1">
      <c r="A113" s="3" t="s">
        <v>2376</v>
      </c>
      <c r="B113" s="3" t="s">
        <v>2377</v>
      </c>
      <c r="C113" s="3" t="s">
        <v>45</v>
      </c>
      <c r="D113" s="3" t="s">
        <v>37</v>
      </c>
      <c r="E113" s="3" t="s">
        <v>2030</v>
      </c>
      <c r="F113" s="3" t="s">
        <v>2031</v>
      </c>
      <c r="G113" s="3" t="s">
        <v>2378</v>
      </c>
      <c r="H113" s="3" t="str">
        <f>HYPERLINK("http://www.jccm.es/sede/tramite/JRJ","CERTIFICACION DE CUMPLIMIENTO DE NORMAS DE CORRECTA ELABORACION Y CONTROL DE CALIDAD DE FORMULAS MAGISTRALES Y PREPARADOS OFICINALES EN OFICINAS DE FARMACIA Y SERVICIOS FARMACEUTICOS")</f>
        <v>CERTIFICACION DE CUMPLIMIENTO DE NORMAS DE CORRECTA ELABORACION Y CONTROL DE CALIDAD DE FORMULAS MAGISTRALES Y PREPARADOS OFICINALES EN OFICINAS DE FARMACIA Y SERVICIOS FARMACEUTICOS</v>
      </c>
      <c r="I113" s="3" t="s">
        <v>41</v>
      </c>
      <c r="J113" s="3" t="s">
        <v>41</v>
      </c>
      <c r="K113" s="3" t="s">
        <v>42</v>
      </c>
      <c r="L113" s="3" t="s">
        <v>41</v>
      </c>
    </row>
    <row r="114" spans="1:12" ht="80.45">
      <c r="A114" s="3" t="s">
        <v>2379</v>
      </c>
      <c r="B114" s="3" t="s">
        <v>2380</v>
      </c>
      <c r="C114" s="3" t="s">
        <v>45</v>
      </c>
      <c r="D114" s="3" t="s">
        <v>37</v>
      </c>
      <c r="E114" s="3" t="s">
        <v>2030</v>
      </c>
      <c r="F114" s="3" t="s">
        <v>2031</v>
      </c>
      <c r="G114" s="3" t="s">
        <v>2381</v>
      </c>
      <c r="H114" s="3" t="str">
        <f>HYPERLINK("http://www.jccm.es/sede/tramite/JRH","AUTORIZACION PARA ELABORACION DE FORMULAS MAGISTRALES Y PREPARADOS OFICINALES A TERCEROS EN OFICINAS DE FARMACIA Y SERVICIOS FARMACEUTICOS")</f>
        <v>AUTORIZACION PARA ELABORACION DE FORMULAS MAGISTRALES Y PREPARADOS OFICINALES A TERCEROS EN OFICINAS DE FARMACIA Y SERVICIOS FARMACEUTICOS</v>
      </c>
      <c r="I114" s="3" t="s">
        <v>41</v>
      </c>
      <c r="J114" s="3" t="s">
        <v>41</v>
      </c>
      <c r="K114" s="3" t="s">
        <v>42</v>
      </c>
      <c r="L114" s="3" t="s">
        <v>41</v>
      </c>
    </row>
    <row r="115" spans="1:12" ht="45.95">
      <c r="A115" s="3" t="s">
        <v>2382</v>
      </c>
      <c r="B115" s="3" t="s">
        <v>2383</v>
      </c>
      <c r="C115" s="3" t="s">
        <v>95</v>
      </c>
      <c r="D115" s="3" t="s">
        <v>95</v>
      </c>
      <c r="E115" s="3" t="s">
        <v>2030</v>
      </c>
      <c r="F115" s="3" t="s">
        <v>2087</v>
      </c>
      <c r="G115" s="3" t="s">
        <v>2384</v>
      </c>
      <c r="H115" s="3" t="str">
        <f>HYPERLINK("http://www.jccm.es/sede/tramite/KOH","DECLARACION RESPONSABLE PARA LA EXENCION DE SOCORRISTA EN PISCINAS DE USO PUBLICO")</f>
        <v>DECLARACION RESPONSABLE PARA LA EXENCION DE SOCORRISTA EN PISCINAS DE USO PUBLICO</v>
      </c>
      <c r="I115" s="3" t="s">
        <v>42</v>
      </c>
      <c r="J115" s="3" t="s">
        <v>41</v>
      </c>
      <c r="K115" s="3" t="s">
        <v>42</v>
      </c>
      <c r="L115" s="3" t="s">
        <v>41</v>
      </c>
    </row>
    <row r="116" spans="1:12" ht="45.95">
      <c r="A116" s="3" t="s">
        <v>2385</v>
      </c>
      <c r="B116" s="3" t="s">
        <v>2386</v>
      </c>
      <c r="C116" s="3" t="s">
        <v>95</v>
      </c>
      <c r="D116" s="3" t="s">
        <v>95</v>
      </c>
      <c r="E116" s="3" t="s">
        <v>2030</v>
      </c>
      <c r="F116" s="3" t="s">
        <v>2087</v>
      </c>
      <c r="G116" s="3" t="s">
        <v>2387</v>
      </c>
      <c r="H116" s="3" t="str">
        <f>HYPERLINK("http://www.jccm.es/sede/tramite/KOG","COMUNICACION PREVIA DE REAPERTURA DE PISCINAS DE USO PUBLICO")</f>
        <v>COMUNICACION PREVIA DE REAPERTURA DE PISCINAS DE USO PUBLICO</v>
      </c>
      <c r="I116" s="3" t="s">
        <v>42</v>
      </c>
      <c r="J116" s="3" t="s">
        <v>41</v>
      </c>
      <c r="K116" s="3" t="s">
        <v>42</v>
      </c>
      <c r="L116" s="3" t="s">
        <v>41</v>
      </c>
    </row>
    <row r="117" spans="1:12" ht="45.95">
      <c r="A117" s="3" t="s">
        <v>2388</v>
      </c>
      <c r="B117" s="3" t="s">
        <v>2389</v>
      </c>
      <c r="C117" s="3" t="s">
        <v>95</v>
      </c>
      <c r="D117" s="3" t="s">
        <v>95</v>
      </c>
      <c r="E117" s="3" t="s">
        <v>2030</v>
      </c>
      <c r="F117" s="3" t="s">
        <v>2087</v>
      </c>
      <c r="G117" s="3" t="s">
        <v>2390</v>
      </c>
      <c r="H117" s="3" t="str">
        <f>HYPERLINK("http://www.jccm.es/sede/tramite/JZW","SOLICITUD DE ANALISIS SANITARIO EN LOS LABORATORIOS DE SALUD PUBLICA DE LA CONSEJERIA DE SANIDAD Y ASUNTOS SOCIALES.")</f>
        <v>SOLICITUD DE ANALISIS SANITARIO EN LOS LABORATORIOS DE SALUD PUBLICA DE LA CONSEJERIA DE SANIDAD Y ASUNTOS SOCIALES.</v>
      </c>
      <c r="I117" s="3" t="s">
        <v>42</v>
      </c>
      <c r="J117" s="3" t="s">
        <v>41</v>
      </c>
      <c r="K117" s="3" t="s">
        <v>42</v>
      </c>
      <c r="L117" s="3" t="s">
        <v>41</v>
      </c>
    </row>
    <row r="118" spans="1:12" ht="69">
      <c r="A118" s="3" t="s">
        <v>2391</v>
      </c>
      <c r="B118" s="3" t="s">
        <v>2392</v>
      </c>
      <c r="C118" s="3" t="s">
        <v>45</v>
      </c>
      <c r="D118" s="3" t="s">
        <v>37</v>
      </c>
      <c r="E118" s="3" t="s">
        <v>2030</v>
      </c>
      <c r="F118" s="3" t="s">
        <v>2286</v>
      </c>
      <c r="G118" s="3" t="s">
        <v>2393</v>
      </c>
      <c r="H118" s="3" t="str">
        <f>HYPERLINK("http://www.jccm.es/sede/tramite/L5X","INFORMACION Y ACOMPAÑAMIENTO A PERSONAS AFECTADAS POR UNA ENFERMEDAD RARA")</f>
        <v>INFORMACION Y ACOMPAÑAMIENTO A PERSONAS AFECTADAS POR UNA ENFERMEDAD RARA</v>
      </c>
      <c r="I118" s="3" t="s">
        <v>42</v>
      </c>
      <c r="J118" s="3" t="s">
        <v>41</v>
      </c>
      <c r="K118" s="3" t="s">
        <v>42</v>
      </c>
      <c r="L118" s="3" t="s">
        <v>41</v>
      </c>
    </row>
    <row r="119" spans="1:12" ht="80.45">
      <c r="A119" s="3" t="s">
        <v>2394</v>
      </c>
      <c r="B119" s="3" t="s">
        <v>2395</v>
      </c>
      <c r="C119" s="3" t="s">
        <v>70</v>
      </c>
      <c r="D119" s="3" t="s">
        <v>37</v>
      </c>
      <c r="E119" s="3" t="s">
        <v>2030</v>
      </c>
      <c r="F119" s="3" t="s">
        <v>2087</v>
      </c>
      <c r="G119" s="3" t="s">
        <v>2396</v>
      </c>
      <c r="H119" s="3" t="str">
        <f>HYPERLINK("http://www.jccm.es/sede/tramite/L8X","JUSTIFICACION DEL GASTO EN EL CONVENIO DE COLABORACION EN MATERIA DE DROGODEPENDENCIA CON EL CONSEJO DE COLEGIOS OFICIALES DE FARMACEUTICOS DE CASTILLA-LA MANCHA")</f>
        <v>JUSTIFICACION DEL GASTO EN EL CONVENIO DE COLABORACION EN MATERIA DE DROGODEPENDENCIA CON EL CONSEJO DE COLEGIOS OFICIALES DE FARMACEUTICOS DE CASTILLA-LA MANCHA</v>
      </c>
      <c r="I119" s="3" t="s">
        <v>41</v>
      </c>
      <c r="J119" s="3" t="s">
        <v>41</v>
      </c>
      <c r="K119" s="3" t="s">
        <v>42</v>
      </c>
      <c r="L119" s="3" t="s">
        <v>41</v>
      </c>
    </row>
    <row r="120" spans="1:12" ht="57.6">
      <c r="A120" s="3" t="s">
        <v>2397</v>
      </c>
      <c r="B120" s="3" t="s">
        <v>2398</v>
      </c>
      <c r="C120" s="3" t="s">
        <v>45</v>
      </c>
      <c r="D120" s="3" t="s">
        <v>37</v>
      </c>
      <c r="E120" s="3" t="s">
        <v>2030</v>
      </c>
      <c r="F120" s="3" t="s">
        <v>2087</v>
      </c>
      <c r="G120" s="3" t="s">
        <v>2399</v>
      </c>
      <c r="H120" s="3" t="str">
        <f>HYPERLINK("http://www.jccm.es/sede/tramite/K0B","RECONOCIMIENTO DE APLICACION DE DEDUCCIONES EN LAS TASAS POR INSPECCION Y CONTROL SANITARIO DE CARNES FRESCAS")</f>
        <v>RECONOCIMIENTO DE APLICACION DE DEDUCCIONES EN LAS TASAS POR INSPECCION Y CONTROL SANITARIO DE CARNES FRESCAS</v>
      </c>
      <c r="I120" s="3" t="s">
        <v>42</v>
      </c>
      <c r="J120" s="3" t="s">
        <v>41</v>
      </c>
      <c r="K120" s="3" t="s">
        <v>42</v>
      </c>
      <c r="L120" s="3" t="s">
        <v>41</v>
      </c>
    </row>
    <row r="121" spans="1:12" ht="92.1">
      <c r="A121" s="3" t="s">
        <v>2400</v>
      </c>
      <c r="B121" s="3" t="s">
        <v>2401</v>
      </c>
      <c r="C121" s="3" t="s">
        <v>51</v>
      </c>
      <c r="D121" s="3" t="s">
        <v>46</v>
      </c>
      <c r="E121" s="3" t="s">
        <v>2030</v>
      </c>
      <c r="F121" s="3" t="s">
        <v>2402</v>
      </c>
      <c r="G121" s="3" t="s">
        <v>2403</v>
      </c>
      <c r="H121" s="3" t="str">
        <f>HYPERLINK("http://www.jccm.es/sede/tramite/KFC","PARTICIPACION EN PROCEDIMIENTO PARA PROVISION DE PUESTOS DE TRABAJO EN LA ADMINISTRACION DE LA JUNTA DE COMUNIDADES DE CASTILLA-LA MANCHA POR EL SISTEMA DE LIBRE DESIGNACION (LD SANIDAD F1/2022)")</f>
        <v>PARTICIPACION EN PROCEDIMIENTO PARA PROVISION DE PUESTOS DE TRABAJO EN LA ADMINISTRACION DE LA JUNTA DE COMUNIDADES DE CASTILLA-LA MANCHA POR EL SISTEMA DE LIBRE DESIGNACION (LD SANIDAD F1/2022)</v>
      </c>
      <c r="I121" s="3" t="s">
        <v>41</v>
      </c>
      <c r="J121" s="3" t="s">
        <v>41</v>
      </c>
      <c r="K121" s="3" t="s">
        <v>42</v>
      </c>
      <c r="L121" s="3" t="s">
        <v>41</v>
      </c>
    </row>
    <row r="122" spans="1:12" ht="69">
      <c r="A122" s="3" t="s">
        <v>2404</v>
      </c>
      <c r="B122" s="3" t="s">
        <v>2405</v>
      </c>
      <c r="C122" s="3" t="s">
        <v>2406</v>
      </c>
      <c r="D122" s="3" t="s">
        <v>46</v>
      </c>
      <c r="E122" s="3" t="s">
        <v>2030</v>
      </c>
      <c r="F122" s="3" t="s">
        <v>2402</v>
      </c>
      <c r="G122" s="3" t="s">
        <v>2407</v>
      </c>
      <c r="H122" s="3" t="str">
        <f>HYPERLINK("http://www.jccm.es/sede/tramite/LF2","INSCRIPCION EN BOLSA DE PERSONAL FUNCIONARIO DE LA ESCALA SUPERIOR DE SANITARIOS LOCALES (ESPECIALIDADES DE VETERINARIA Y FARMACIA)")</f>
        <v>INSCRIPCION EN BOLSA DE PERSONAL FUNCIONARIO DE LA ESCALA SUPERIOR DE SANITARIOS LOCALES (ESPECIALIDADES DE VETERINARIA Y FARMACIA)</v>
      </c>
      <c r="I122" s="3" t="s">
        <v>42</v>
      </c>
      <c r="J122" s="3" t="s">
        <v>41</v>
      </c>
      <c r="K122" s="3" t="s">
        <v>42</v>
      </c>
      <c r="L122" s="3" t="s">
        <v>41</v>
      </c>
    </row>
    <row r="123" spans="1:12" ht="92.1">
      <c r="A123" s="3" t="s">
        <v>2408</v>
      </c>
      <c r="B123" s="3" t="s">
        <v>2409</v>
      </c>
      <c r="C123" s="3" t="s">
        <v>51</v>
      </c>
      <c r="D123" s="3" t="s">
        <v>46</v>
      </c>
      <c r="E123" s="3" t="s">
        <v>2030</v>
      </c>
      <c r="F123" s="3" t="s">
        <v>2402</v>
      </c>
      <c r="G123" s="3" t="s">
        <v>2410</v>
      </c>
      <c r="H123" s="3" t="str">
        <f>HYPERLINK("http://www.jccm.es/sede/tramite/LTQ","PROVISION DE PUESTOS POR EL PROCEDIMIENTO DE LIBRE DESIGNACION (CONSEJERIA DE SANIDAD) RESERVADOS A LA ESCALA SUPERIOR DE SANITARIOS LOCALES, ESPECIALIDAD VETERINARIA (LD SANIDAD F2/2022)")</f>
        <v>PROVISION DE PUESTOS POR EL PROCEDIMIENTO DE LIBRE DESIGNACION (CONSEJERIA DE SANIDAD) RESERVADOS A LA ESCALA SUPERIOR DE SANITARIOS LOCALES, ESPECIALIDAD VETERINARIA (LD SANIDAD F2/2022)</v>
      </c>
      <c r="I123" s="3" t="s">
        <v>41</v>
      </c>
      <c r="J123" s="3" t="s">
        <v>41</v>
      </c>
      <c r="K123" s="3" t="s">
        <v>42</v>
      </c>
      <c r="L123" s="3" t="s">
        <v>41</v>
      </c>
    </row>
    <row r="124" spans="1:12" ht="69">
      <c r="A124" s="3" t="s">
        <v>2411</v>
      </c>
      <c r="B124" s="3" t="s">
        <v>2412</v>
      </c>
      <c r="C124" s="3" t="s">
        <v>36</v>
      </c>
      <c r="D124" s="3" t="s">
        <v>46</v>
      </c>
      <c r="E124" s="3" t="s">
        <v>2030</v>
      </c>
      <c r="F124" s="3" t="s">
        <v>2402</v>
      </c>
      <c r="G124" s="3" t="s">
        <v>2413</v>
      </c>
      <c r="H124" s="3" t="str">
        <f>HYPERLINK("http://www.jccm.es/sede/tramite/LZ1","PROVISION DE PUESTOS DE TRABAJO EN LA ADMINISTRACION DE LA JCCM POR EL SISTEMA DE CONCURSO SINGULARIZADO DE MERITOS (CMS SANIDAD 1/2022).")</f>
        <v>PROVISION DE PUESTOS DE TRABAJO EN LA ADMINISTRACION DE LA JCCM POR EL SISTEMA DE CONCURSO SINGULARIZADO DE MERITOS (CMS SANIDAD 1/2022).</v>
      </c>
      <c r="I124" s="3" t="s">
        <v>41</v>
      </c>
      <c r="J124" s="3" t="s">
        <v>41</v>
      </c>
      <c r="K124" s="3" t="s">
        <v>42</v>
      </c>
      <c r="L124" s="3" t="s">
        <v>41</v>
      </c>
    </row>
  </sheetData>
  <printOptions horizontalCentered="1"/>
  <pageMargins left="0.39370078740157483" right="0.27559055118110237" top="0.6692913385826772" bottom="0.39370078740157483" header="0.31496062992125984" footer="0.19685039370078741"/>
  <pageSetup paperSize="9" scale="75" orientation="landscape" r:id="rId1"/>
  <headerFooter alignWithMargins="0">
    <oddHeader>&amp;C&amp;9Consejería de Sanidad</oddHeader>
    <oddFooter>&amp;CPágina &amp;P</oddFooter>
  </headerFooter>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366"/>
  <sheetViews>
    <sheetView topLeftCell="C363" workbookViewId="0">
      <selection activeCell="A2" sqref="A2:L365"/>
    </sheetView>
  </sheetViews>
  <sheetFormatPr defaultColWidth="11.42578125" defaultRowHeight="11.45"/>
  <cols>
    <col min="1" max="1" width="16.28515625" style="1" customWidth="1"/>
    <col min="2" max="2" width="26.42578125" style="1" customWidth="1"/>
    <col min="3" max="3" width="18.5703125" style="1" customWidth="1"/>
    <col min="4" max="4" width="14.85546875" style="1" customWidth="1"/>
    <col min="5" max="5" width="20.85546875" style="1" customWidth="1"/>
    <col min="6" max="6" width="23.85546875" style="1" customWidth="1"/>
    <col min="7" max="7" width="11.140625" style="1" bestFit="1" customWidth="1"/>
    <col min="8" max="8" width="29" style="1" customWidth="1"/>
    <col min="9" max="9" width="11.28515625" style="1" bestFit="1" customWidth="1"/>
    <col min="10" max="10" width="4" style="1" bestFit="1" customWidth="1"/>
    <col min="11" max="11" width="7" style="1" bestFit="1" customWidth="1"/>
    <col min="12" max="12" width="5.5703125" style="1" bestFit="1" customWidth="1"/>
    <col min="13" max="16384" width="11.42578125" style="1"/>
  </cols>
  <sheetData>
    <row r="1" spans="1:12" ht="23.1">
      <c r="A1" s="2" t="s">
        <v>25</v>
      </c>
      <c r="B1" s="2" t="s">
        <v>26</v>
      </c>
      <c r="C1" s="2" t="s">
        <v>27</v>
      </c>
      <c r="D1" s="2" t="s">
        <v>2</v>
      </c>
      <c r="E1" s="2" t="s">
        <v>0</v>
      </c>
      <c r="F1" s="2" t="s">
        <v>3</v>
      </c>
      <c r="G1" s="2" t="s">
        <v>28</v>
      </c>
      <c r="H1" s="2" t="s">
        <v>29</v>
      </c>
      <c r="I1" s="2" t="s">
        <v>30</v>
      </c>
      <c r="J1" s="4" t="s">
        <v>31</v>
      </c>
      <c r="K1" s="2" t="s">
        <v>32</v>
      </c>
      <c r="L1" s="2" t="s">
        <v>33</v>
      </c>
    </row>
    <row r="2" spans="1:12" ht="69">
      <c r="A2" s="3" t="s">
        <v>2414</v>
      </c>
      <c r="B2" s="3" t="s">
        <v>2415</v>
      </c>
      <c r="C2" s="3" t="s">
        <v>2416</v>
      </c>
      <c r="D2" s="3" t="s">
        <v>37</v>
      </c>
      <c r="E2" s="3" t="s">
        <v>2417</v>
      </c>
      <c r="F2" s="3" t="s">
        <v>2418</v>
      </c>
      <c r="G2" s="3" t="s">
        <v>2419</v>
      </c>
      <c r="H2" s="3" t="str">
        <f>HYPERLINK("http://www.jccm.es/sede/tramite/IO4","AUTORIZACION DE ESTACIONES DE INSPECCION TECNICA DE VEHICULOS (ITV) FIJAS")</f>
        <v>AUTORIZACION DE ESTACIONES DE INSPECCION TECNICA DE VEHICULOS (ITV) FIJAS</v>
      </c>
      <c r="I2" s="3" t="s">
        <v>42</v>
      </c>
      <c r="J2" s="3" t="s">
        <v>41</v>
      </c>
      <c r="K2" s="3" t="s">
        <v>42</v>
      </c>
      <c r="L2" s="3" t="s">
        <v>41</v>
      </c>
    </row>
    <row r="3" spans="1:12" ht="45.95">
      <c r="A3" s="3" t="s">
        <v>2420</v>
      </c>
      <c r="B3" s="3" t="s">
        <v>2421</v>
      </c>
      <c r="C3" s="3" t="s">
        <v>1129</v>
      </c>
      <c r="D3" s="3" t="s">
        <v>95</v>
      </c>
      <c r="E3" s="3" t="s">
        <v>2417</v>
      </c>
      <c r="F3" s="3" t="s">
        <v>2418</v>
      </c>
      <c r="G3" s="3" t="s">
        <v>2422</v>
      </c>
      <c r="H3" s="3" t="str">
        <f>HYPERLINK("http://www.jccm.es/sede/tramite/JF1","COMUNICACION DE AUSENCIA DEL/LA JEFE/A DE EQUIPO DE LA UNIDAD MOVIL DE LA ESTACION DE ITV")</f>
        <v>COMUNICACION DE AUSENCIA DEL/LA JEFE/A DE EQUIPO DE LA UNIDAD MOVIL DE LA ESTACION DE ITV</v>
      </c>
      <c r="I3" s="3" t="s">
        <v>42</v>
      </c>
      <c r="J3" s="3" t="s">
        <v>41</v>
      </c>
      <c r="K3" s="3" t="s">
        <v>42</v>
      </c>
      <c r="L3" s="3" t="s">
        <v>41</v>
      </c>
    </row>
    <row r="4" spans="1:12" ht="69">
      <c r="A4" s="3" t="s">
        <v>2423</v>
      </c>
      <c r="B4" s="3" t="s">
        <v>2424</v>
      </c>
      <c r="C4" s="3" t="s">
        <v>1129</v>
      </c>
      <c r="D4" s="3" t="s">
        <v>37</v>
      </c>
      <c r="E4" s="3" t="s">
        <v>2417</v>
      </c>
      <c r="F4" s="3" t="s">
        <v>2418</v>
      </c>
      <c r="G4" s="3" t="s">
        <v>2425</v>
      </c>
      <c r="H4" s="3" t="str">
        <f>HYPERLINK("http://www.jccm.es/sede/tramite/JF2","SOLICITUD DE AUTORIZACION DE LA DELEGACION DE FIRMA DE LA DIRECCION TECNICA DE ESTACION DE ITV O DEL/LA JEFE/A DE EQUIPO DE LA UNIDAD MOVIL")</f>
        <v>SOLICITUD DE AUTORIZACION DE LA DELEGACION DE FIRMA DE LA DIRECCION TECNICA DE ESTACION DE ITV O DEL/LA JEFE/A DE EQUIPO DE LA UNIDAD MOVIL</v>
      </c>
      <c r="I4" s="3" t="s">
        <v>42</v>
      </c>
      <c r="J4" s="3" t="s">
        <v>41</v>
      </c>
      <c r="K4" s="3" t="s">
        <v>42</v>
      </c>
      <c r="L4" s="3" t="s">
        <v>41</v>
      </c>
    </row>
    <row r="5" spans="1:12" ht="45.95">
      <c r="A5" s="3" t="s">
        <v>2426</v>
      </c>
      <c r="B5" s="3" t="s">
        <v>2427</v>
      </c>
      <c r="C5" s="3" t="s">
        <v>45</v>
      </c>
      <c r="D5" s="3" t="s">
        <v>37</v>
      </c>
      <c r="E5" s="3" t="s">
        <v>2417</v>
      </c>
      <c r="F5" s="3" t="s">
        <v>2418</v>
      </c>
      <c r="G5" s="3" t="s">
        <v>2428</v>
      </c>
      <c r="H5" s="3" t="str">
        <f>HYPERLINK("http://www.jccm.es/sede/tramite/JEM","AUTORIZACION DE CENTRO TECNICO DE TACOGRAFOS")</f>
        <v>AUTORIZACION DE CENTRO TECNICO DE TACOGRAFOS</v>
      </c>
      <c r="I5" s="3" t="s">
        <v>42</v>
      </c>
      <c r="J5" s="3" t="s">
        <v>41</v>
      </c>
      <c r="K5" s="3" t="s">
        <v>42</v>
      </c>
      <c r="L5" s="3" t="s">
        <v>42</v>
      </c>
    </row>
    <row r="6" spans="1:12" ht="45.95">
      <c r="A6" s="3" t="s">
        <v>2429</v>
      </c>
      <c r="B6" s="3" t="s">
        <v>2430</v>
      </c>
      <c r="C6" s="3" t="s">
        <v>45</v>
      </c>
      <c r="D6" s="3" t="s">
        <v>37</v>
      </c>
      <c r="E6" s="3" t="s">
        <v>2417</v>
      </c>
      <c r="F6" s="3" t="s">
        <v>2418</v>
      </c>
      <c r="G6" s="3" t="s">
        <v>2431</v>
      </c>
      <c r="H6" s="3" t="str">
        <f>HYPERLINK("http://www.jccm.es/sede/tramite/JEQ","AUTORIZACION DE TALLER DE DISPOSITIVOS DE LIMITACION DE VELOCIDAD")</f>
        <v>AUTORIZACION DE TALLER DE DISPOSITIVOS DE LIMITACION DE VELOCIDAD</v>
      </c>
      <c r="I6" s="3" t="s">
        <v>42</v>
      </c>
      <c r="J6" s="3" t="s">
        <v>41</v>
      </c>
      <c r="K6" s="3" t="s">
        <v>42</v>
      </c>
      <c r="L6" s="3" t="s">
        <v>42</v>
      </c>
    </row>
    <row r="7" spans="1:12" ht="45.95">
      <c r="A7" s="3" t="s">
        <v>2432</v>
      </c>
      <c r="B7" s="3" t="s">
        <v>2433</v>
      </c>
      <c r="C7" s="3" t="s">
        <v>51</v>
      </c>
      <c r="D7" s="3" t="s">
        <v>37</v>
      </c>
      <c r="E7" s="3" t="s">
        <v>2417</v>
      </c>
      <c r="F7" s="3" t="s">
        <v>2418</v>
      </c>
      <c r="G7" s="3" t="s">
        <v>2434</v>
      </c>
      <c r="H7" s="3" t="str">
        <f>HYPERLINK("http://www.jccm.es/sede/tramite/JD3","BAJA DE UN ORGANISMO AUTORIZADO DE VERIFICACION METROLOGICA")</f>
        <v>BAJA DE UN ORGANISMO AUTORIZADO DE VERIFICACION METROLOGICA</v>
      </c>
      <c r="I7" s="3" t="s">
        <v>42</v>
      </c>
      <c r="J7" s="3" t="s">
        <v>41</v>
      </c>
      <c r="K7" s="3" t="s">
        <v>42</v>
      </c>
      <c r="L7" s="3" t="s">
        <v>41</v>
      </c>
    </row>
    <row r="8" spans="1:12" ht="69">
      <c r="A8" s="3" t="s">
        <v>2435</v>
      </c>
      <c r="B8" s="3" t="s">
        <v>2436</v>
      </c>
      <c r="C8" s="3" t="s">
        <v>51</v>
      </c>
      <c r="D8" s="3" t="s">
        <v>37</v>
      </c>
      <c r="E8" s="3" t="s">
        <v>2417</v>
      </c>
      <c r="F8" s="3" t="s">
        <v>2418</v>
      </c>
      <c r="G8" s="3" t="s">
        <v>2437</v>
      </c>
      <c r="H8" s="3" t="str">
        <f>HYPERLINK("http://www.jccm.es/sede/tramite/JD6","BAJA DE ENTIDAD FABRICANTE / COMERCIALIZADORA / IMPORTADORA / ARRENDADORA DE INSTRUMENTOS DE MEDIDA SOMETIDOS A CONTROL METROLOGICO DEL ESTADO.")</f>
        <v>BAJA DE ENTIDAD FABRICANTE / COMERCIALIZADORA / IMPORTADORA / ARRENDADORA DE INSTRUMENTOS DE MEDIDA SOMETIDOS A CONTROL METROLOGICO DEL ESTADO.</v>
      </c>
      <c r="I8" s="3" t="s">
        <v>42</v>
      </c>
      <c r="J8" s="3" t="s">
        <v>41</v>
      </c>
      <c r="K8" s="3" t="s">
        <v>42</v>
      </c>
      <c r="L8" s="3" t="s">
        <v>41</v>
      </c>
    </row>
    <row r="9" spans="1:12" ht="45.95">
      <c r="A9" s="3" t="s">
        <v>2438</v>
      </c>
      <c r="B9" s="3" t="s">
        <v>2439</v>
      </c>
      <c r="C9" s="3" t="s">
        <v>51</v>
      </c>
      <c r="D9" s="3" t="s">
        <v>37</v>
      </c>
      <c r="E9" s="3" t="s">
        <v>2417</v>
      </c>
      <c r="F9" s="3" t="s">
        <v>2418</v>
      </c>
      <c r="G9" s="3" t="s">
        <v>2440</v>
      </c>
      <c r="H9" s="3" t="str">
        <f>HYPERLINK("http://www.jccm.es/sede/tramite/JEJ","BAJA DE ORGANISMO NOTIFICADO U ORGANISMO DE CONTROL METROLOGICO")</f>
        <v>BAJA DE ORGANISMO NOTIFICADO U ORGANISMO DE CONTROL METROLOGICO</v>
      </c>
      <c r="I9" s="3" t="s">
        <v>42</v>
      </c>
      <c r="J9" s="3" t="s">
        <v>41</v>
      </c>
      <c r="K9" s="3" t="s">
        <v>42</v>
      </c>
      <c r="L9" s="3" t="s">
        <v>41</v>
      </c>
    </row>
    <row r="10" spans="1:12" ht="69">
      <c r="A10" s="3" t="s">
        <v>2441</v>
      </c>
      <c r="B10" s="3" t="s">
        <v>2442</v>
      </c>
      <c r="C10" s="3" t="s">
        <v>327</v>
      </c>
      <c r="D10" s="3" t="s">
        <v>46</v>
      </c>
      <c r="E10" s="3" t="s">
        <v>2417</v>
      </c>
      <c r="F10" s="3" t="s">
        <v>2418</v>
      </c>
      <c r="G10" s="3" t="s">
        <v>2443</v>
      </c>
      <c r="H10" s="3" t="str">
        <f>HYPERLINK("http://www.jccm.es/sede/tramite/J9E","AUTORIZACION ADMINISTRATIVA PREVIA  DE NUEVA INSTALACION  O MODIFICACION SUSTANCIAL DE INSTALACION  ELECTRICA DEL GRUPO PRIMERO.")</f>
        <v>AUTORIZACION ADMINISTRATIVA PREVIA  DE NUEVA INSTALACION  O MODIFICACION SUSTANCIAL DE INSTALACION  ELECTRICA DEL GRUPO PRIMERO.</v>
      </c>
      <c r="I10" s="3" t="s">
        <v>42</v>
      </c>
      <c r="J10" s="3" t="s">
        <v>41</v>
      </c>
      <c r="K10" s="3" t="s">
        <v>42</v>
      </c>
      <c r="L10" s="3" t="s">
        <v>42</v>
      </c>
    </row>
    <row r="11" spans="1:12" ht="80.45">
      <c r="A11" s="3" t="s">
        <v>2444</v>
      </c>
      <c r="B11" s="3" t="s">
        <v>2445</v>
      </c>
      <c r="C11" s="3" t="s">
        <v>45</v>
      </c>
      <c r="D11" s="3" t="s">
        <v>46</v>
      </c>
      <c r="E11" s="3" t="s">
        <v>2417</v>
      </c>
      <c r="F11" s="3" t="s">
        <v>2418</v>
      </c>
      <c r="G11" s="3" t="s">
        <v>2446</v>
      </c>
      <c r="H11" s="3" t="str">
        <f>HYPERLINK("http://www.jccm.es/sede/tramite/J9H","AUTORIZACION ADMINISTRATIVA DE CONSTRUCCION DE NUEVA INSTALACION  O MODIFICACION SUSTANCIAL DE INSTALACION  ELECTRICA DEL GRUPO PRIMERO.")</f>
        <v>AUTORIZACION ADMINISTRATIVA DE CONSTRUCCION DE NUEVA INSTALACION  O MODIFICACION SUSTANCIAL DE INSTALACION  ELECTRICA DEL GRUPO PRIMERO.</v>
      </c>
      <c r="I11" s="3" t="s">
        <v>42</v>
      </c>
      <c r="J11" s="3" t="s">
        <v>41</v>
      </c>
      <c r="K11" s="3" t="s">
        <v>42</v>
      </c>
      <c r="L11" s="3" t="s">
        <v>42</v>
      </c>
    </row>
    <row r="12" spans="1:12" ht="80.45">
      <c r="A12" s="3" t="s">
        <v>2447</v>
      </c>
      <c r="B12" s="3" t="s">
        <v>2448</v>
      </c>
      <c r="C12" s="3" t="s">
        <v>45</v>
      </c>
      <c r="D12" s="3" t="s">
        <v>46</v>
      </c>
      <c r="E12" s="3" t="s">
        <v>2417</v>
      </c>
      <c r="F12" s="3" t="s">
        <v>2418</v>
      </c>
      <c r="G12" s="3" t="s">
        <v>2449</v>
      </c>
      <c r="H12" s="3" t="str">
        <f>HYPERLINK("http://www.jccm.es/sede/tramite/J9M","AUTORIZACION ADMINISTRATIVA PREVIA  Y DE CONSTRUCCION DE NUEVA INSTALACION  O MODIFICACION SUSTANCIAL DE INSTALACION  ELECTRICA DEL GRUPO SEGUNDO.")</f>
        <v>AUTORIZACION ADMINISTRATIVA PREVIA  Y DE CONSTRUCCION DE NUEVA INSTALACION  O MODIFICACION SUSTANCIAL DE INSTALACION  ELECTRICA DEL GRUPO SEGUNDO.</v>
      </c>
      <c r="I12" s="3" t="s">
        <v>42</v>
      </c>
      <c r="J12" s="3" t="s">
        <v>41</v>
      </c>
      <c r="K12" s="3" t="s">
        <v>42</v>
      </c>
      <c r="L12" s="3" t="s">
        <v>42</v>
      </c>
    </row>
    <row r="13" spans="1:12" ht="45.95">
      <c r="A13" s="3" t="s">
        <v>2450</v>
      </c>
      <c r="B13" s="3" t="s">
        <v>2451</v>
      </c>
      <c r="C13" s="3" t="s">
        <v>2452</v>
      </c>
      <c r="D13" s="3" t="s">
        <v>95</v>
      </c>
      <c r="E13" s="3" t="s">
        <v>2417</v>
      </c>
      <c r="F13" s="3" t="s">
        <v>2418</v>
      </c>
      <c r="G13" s="3" t="s">
        <v>2453</v>
      </c>
      <c r="H13" s="3" t="str">
        <f>HYPERLINK("http://www.jccm.es/sede/tramite/IZ5","COMUNICACION DE INSTALACIONES ELECTRICAS DEL GRUPO TERCERO")</f>
        <v>COMUNICACION DE INSTALACIONES ELECTRICAS DEL GRUPO TERCERO</v>
      </c>
      <c r="I13" s="3" t="s">
        <v>42</v>
      </c>
      <c r="J13" s="3" t="s">
        <v>41</v>
      </c>
      <c r="K13" s="3" t="s">
        <v>42</v>
      </c>
      <c r="L13" s="3" t="s">
        <v>41</v>
      </c>
    </row>
    <row r="14" spans="1:12" ht="45.95">
      <c r="A14" s="3" t="s">
        <v>2454</v>
      </c>
      <c r="B14" s="3" t="s">
        <v>2455</v>
      </c>
      <c r="C14" s="3" t="s">
        <v>62</v>
      </c>
      <c r="D14" s="3" t="s">
        <v>46</v>
      </c>
      <c r="E14" s="3" t="s">
        <v>2417</v>
      </c>
      <c r="F14" s="3" t="s">
        <v>2418</v>
      </c>
      <c r="G14" s="3" t="s">
        <v>2456</v>
      </c>
      <c r="H14" s="3" t="str">
        <f>HYPERLINK("http://www.jccm.es/sede/tramite/IZ4","AUTORIZACION DE TRANSMISION DE INSTALACIONES ELECTRICAS AUTORIZADAS .")</f>
        <v>AUTORIZACION DE TRANSMISION DE INSTALACIONES ELECTRICAS AUTORIZADAS .</v>
      </c>
      <c r="I14" s="3" t="s">
        <v>42</v>
      </c>
      <c r="J14" s="3" t="s">
        <v>41</v>
      </c>
      <c r="K14" s="3" t="s">
        <v>42</v>
      </c>
      <c r="L14" s="3" t="s">
        <v>41</v>
      </c>
    </row>
    <row r="15" spans="1:12" ht="45.95">
      <c r="A15" s="3" t="s">
        <v>2457</v>
      </c>
      <c r="B15" s="3" t="s">
        <v>2458</v>
      </c>
      <c r="C15" s="3" t="s">
        <v>62</v>
      </c>
      <c r="D15" s="3" t="s">
        <v>46</v>
      </c>
      <c r="E15" s="3" t="s">
        <v>2417</v>
      </c>
      <c r="F15" s="3" t="s">
        <v>2418</v>
      </c>
      <c r="G15" s="3" t="s">
        <v>2459</v>
      </c>
      <c r="H15" s="3" t="str">
        <f>HYPERLINK("http://www.jccm.es/sede/tramite/IZ3","AUTORIZACION DE CIERRE DE INSTALACIONES ELECTRICAS AUTORIZADAS.")</f>
        <v>AUTORIZACION DE CIERRE DE INSTALACIONES ELECTRICAS AUTORIZADAS.</v>
      </c>
      <c r="I15" s="3" t="s">
        <v>42</v>
      </c>
      <c r="J15" s="3" t="s">
        <v>41</v>
      </c>
      <c r="K15" s="3" t="s">
        <v>42</v>
      </c>
      <c r="L15" s="3" t="s">
        <v>41</v>
      </c>
    </row>
    <row r="16" spans="1:12" ht="92.1">
      <c r="A16" s="3" t="s">
        <v>2460</v>
      </c>
      <c r="B16" s="3" t="s">
        <v>2461</v>
      </c>
      <c r="C16" s="3" t="s">
        <v>327</v>
      </c>
      <c r="D16" s="3" t="s">
        <v>46</v>
      </c>
      <c r="E16" s="3" t="s">
        <v>2417</v>
      </c>
      <c r="F16" s="3" t="s">
        <v>2418</v>
      </c>
      <c r="G16" s="3" t="s">
        <v>2462</v>
      </c>
      <c r="H16" s="3" t="str">
        <f>HYPERLINK("http://www.jccm.es/sede/tramite/J9S","AUTORIZACION ADMINISTRATIVA PARA LA CONSTRUCCION, AMPLIACION O MODIFICACION SUSTANCIAL DE INSTALACION DE TRASPORTE SECUNDARIO DE GAS DE COMPETENCIA AUTONOMICA")</f>
        <v>AUTORIZACION ADMINISTRATIVA PARA LA CONSTRUCCION, AMPLIACION O MODIFICACION SUSTANCIAL DE INSTALACION DE TRASPORTE SECUNDARIO DE GAS DE COMPETENCIA AUTONOMICA</v>
      </c>
      <c r="I16" s="3" t="s">
        <v>42</v>
      </c>
      <c r="J16" s="3" t="s">
        <v>41</v>
      </c>
      <c r="K16" s="3" t="s">
        <v>42</v>
      </c>
      <c r="L16" s="3" t="s">
        <v>42</v>
      </c>
    </row>
    <row r="17" spans="1:12" ht="80.45">
      <c r="A17" s="3" t="s">
        <v>2463</v>
      </c>
      <c r="B17" s="3" t="s">
        <v>2464</v>
      </c>
      <c r="C17" s="3" t="s">
        <v>327</v>
      </c>
      <c r="D17" s="3" t="s">
        <v>46</v>
      </c>
      <c r="E17" s="3" t="s">
        <v>2417</v>
      </c>
      <c r="F17" s="3" t="s">
        <v>2418</v>
      </c>
      <c r="G17" s="3" t="s">
        <v>2465</v>
      </c>
      <c r="H17" s="3" t="str">
        <f>HYPERLINK("http://www.jccm.es/sede/tramite/J9R","AUTORIZACION ADMINISTRATIVA PARA LA CONSTRUCCION, AMPLIACION O MODIFICACION SUSTANCIAL DE INSTALACIONES DE DISTRIBUCION DE GAS DE COMPETENCIA AUTONOMICA")</f>
        <v>AUTORIZACION ADMINISTRATIVA PARA LA CONSTRUCCION, AMPLIACION O MODIFICACION SUSTANCIAL DE INSTALACIONES DE DISTRIBUCION DE GAS DE COMPETENCIA AUTONOMICA</v>
      </c>
      <c r="I17" s="3" t="s">
        <v>42</v>
      </c>
      <c r="J17" s="3" t="s">
        <v>41</v>
      </c>
      <c r="K17" s="3" t="s">
        <v>42</v>
      </c>
      <c r="L17" s="3" t="s">
        <v>41</v>
      </c>
    </row>
    <row r="18" spans="1:12" ht="57.6">
      <c r="A18" s="3" t="s">
        <v>2466</v>
      </c>
      <c r="B18" s="3" t="s">
        <v>2467</v>
      </c>
      <c r="C18" s="3" t="s">
        <v>45</v>
      </c>
      <c r="D18" s="3" t="s">
        <v>46</v>
      </c>
      <c r="E18" s="3" t="s">
        <v>2417</v>
      </c>
      <c r="F18" s="3" t="s">
        <v>2418</v>
      </c>
      <c r="G18" s="3" t="s">
        <v>2468</v>
      </c>
      <c r="H18" s="3" t="str">
        <f>HYPERLINK("http://www.jccm.es/sede/tramite/J9P","AUTORIZACION ADMINISTRATIVA PARA LA TRANSMISION DE INSTALACIONES GASISTAS DE COMPETENCIA AUTONOMICA")</f>
        <v>AUTORIZACION ADMINISTRATIVA PARA LA TRANSMISION DE INSTALACIONES GASISTAS DE COMPETENCIA AUTONOMICA</v>
      </c>
      <c r="I18" s="3" t="s">
        <v>42</v>
      </c>
      <c r="J18" s="3" t="s">
        <v>41</v>
      </c>
      <c r="K18" s="3" t="s">
        <v>42</v>
      </c>
      <c r="L18" s="3" t="s">
        <v>41</v>
      </c>
    </row>
    <row r="19" spans="1:12" ht="57.6">
      <c r="A19" s="3" t="s">
        <v>2469</v>
      </c>
      <c r="B19" s="3" t="s">
        <v>2470</v>
      </c>
      <c r="C19" s="3" t="s">
        <v>45</v>
      </c>
      <c r="D19" s="3" t="s">
        <v>46</v>
      </c>
      <c r="E19" s="3" t="s">
        <v>2417</v>
      </c>
      <c r="F19" s="3" t="s">
        <v>2418</v>
      </c>
      <c r="G19" s="3" t="s">
        <v>2471</v>
      </c>
      <c r="H19" s="3" t="str">
        <f>HYPERLINK("http://www.jccm.es/sede/tramite/J9L","AUTORIZACION ADMINISTRATIVA PARA EL CIERRE DE INSTALACIONES GASISTAS DE COMPETENCIA AUTONOMICA")</f>
        <v>AUTORIZACION ADMINISTRATIVA PARA EL CIERRE DE INSTALACIONES GASISTAS DE COMPETENCIA AUTONOMICA</v>
      </c>
      <c r="I19" s="3" t="s">
        <v>42</v>
      </c>
      <c r="J19" s="3" t="s">
        <v>41</v>
      </c>
      <c r="K19" s="3" t="s">
        <v>42</v>
      </c>
      <c r="L19" s="3" t="s">
        <v>41</v>
      </c>
    </row>
    <row r="20" spans="1:12" ht="45.95">
      <c r="A20" s="3" t="s">
        <v>2472</v>
      </c>
      <c r="B20" s="3" t="s">
        <v>2473</v>
      </c>
      <c r="C20" s="3" t="s">
        <v>327</v>
      </c>
      <c r="D20" s="3" t="s">
        <v>46</v>
      </c>
      <c r="E20" s="3" t="s">
        <v>2417</v>
      </c>
      <c r="F20" s="3" t="s">
        <v>2418</v>
      </c>
      <c r="G20" s="3" t="s">
        <v>2474</v>
      </c>
      <c r="H20" s="3" t="str">
        <f>HYPERLINK("http://www.jccm.es/sede/tramite/J93","AUTORIZACION SECCIONES A)")</f>
        <v>AUTORIZACION SECCIONES A)</v>
      </c>
      <c r="I20" s="3" t="s">
        <v>42</v>
      </c>
      <c r="J20" s="3" t="s">
        <v>41</v>
      </c>
      <c r="K20" s="3" t="s">
        <v>42</v>
      </c>
      <c r="L20" s="3" t="s">
        <v>41</v>
      </c>
    </row>
    <row r="21" spans="1:12" ht="45.95">
      <c r="A21" s="3" t="s">
        <v>2475</v>
      </c>
      <c r="B21" s="3" t="s">
        <v>2476</v>
      </c>
      <c r="C21" s="3" t="s">
        <v>327</v>
      </c>
      <c r="D21" s="3" t="s">
        <v>46</v>
      </c>
      <c r="E21" s="3" t="s">
        <v>2417</v>
      </c>
      <c r="F21" s="3" t="s">
        <v>2418</v>
      </c>
      <c r="G21" s="3" t="s">
        <v>2477</v>
      </c>
      <c r="H21" s="3" t="str">
        <f>HYPERLINK("http://www.jccm.es/sede/tramite/J94","AUTORIZACION SECCIONES B) (EXCEPTO AGUAS)")</f>
        <v>AUTORIZACION SECCIONES B) (EXCEPTO AGUAS)</v>
      </c>
      <c r="I21" s="3" t="s">
        <v>42</v>
      </c>
      <c r="J21" s="3" t="s">
        <v>41</v>
      </c>
      <c r="K21" s="3" t="s">
        <v>42</v>
      </c>
      <c r="L21" s="3" t="s">
        <v>41</v>
      </c>
    </row>
    <row r="22" spans="1:12" ht="45.95">
      <c r="A22" s="3" t="s">
        <v>2478</v>
      </c>
      <c r="B22" s="3" t="s">
        <v>2479</v>
      </c>
      <c r="C22" s="3" t="s">
        <v>327</v>
      </c>
      <c r="D22" s="3" t="s">
        <v>46</v>
      </c>
      <c r="E22" s="3" t="s">
        <v>2417</v>
      </c>
      <c r="F22" s="3" t="s">
        <v>2418</v>
      </c>
      <c r="G22" s="3" t="s">
        <v>2480</v>
      </c>
      <c r="H22" s="3" t="str">
        <f>HYPERLINK("http://www.jccm.es/sede/tramite/I5O","OTORGAMIENTO CONCESION DIRECTA DE SECCION C) Y D)")</f>
        <v>OTORGAMIENTO CONCESION DIRECTA DE SECCION C) Y D)</v>
      </c>
      <c r="I22" s="3" t="s">
        <v>42</v>
      </c>
      <c r="J22" s="3" t="s">
        <v>41</v>
      </c>
      <c r="K22" s="3" t="s">
        <v>42</v>
      </c>
      <c r="L22" s="3" t="s">
        <v>41</v>
      </c>
    </row>
    <row r="23" spans="1:12" ht="45.95">
      <c r="A23" s="3" t="s">
        <v>2481</v>
      </c>
      <c r="B23" s="3" t="s">
        <v>2482</v>
      </c>
      <c r="C23" s="3" t="s">
        <v>327</v>
      </c>
      <c r="D23" s="3" t="s">
        <v>46</v>
      </c>
      <c r="E23" s="3" t="s">
        <v>2417</v>
      </c>
      <c r="F23" s="3" t="s">
        <v>2418</v>
      </c>
      <c r="G23" s="3" t="s">
        <v>2483</v>
      </c>
      <c r="H23" s="3" t="str">
        <f>HYPERLINK("http://www.jccm.es/sede/tramite/J8S","OTORGAMIENTO CONCESION DERIVADA DE SECCION C) Y D)")</f>
        <v>OTORGAMIENTO CONCESION DERIVADA DE SECCION C) Y D)</v>
      </c>
      <c r="I23" s="3" t="s">
        <v>42</v>
      </c>
      <c r="J23" s="3" t="s">
        <v>41</v>
      </c>
      <c r="K23" s="3" t="s">
        <v>42</v>
      </c>
      <c r="L23" s="3" t="s">
        <v>41</v>
      </c>
    </row>
    <row r="24" spans="1:12" ht="45.95">
      <c r="A24" s="3" t="s">
        <v>2484</v>
      </c>
      <c r="B24" s="3" t="s">
        <v>2485</v>
      </c>
      <c r="C24" s="3" t="s">
        <v>45</v>
      </c>
      <c r="D24" s="3" t="s">
        <v>46</v>
      </c>
      <c r="E24" s="3" t="s">
        <v>2417</v>
      </c>
      <c r="F24" s="3" t="s">
        <v>2418</v>
      </c>
      <c r="G24" s="3" t="s">
        <v>2486</v>
      </c>
      <c r="H24" s="3" t="str">
        <f>HYPERLINK("http://www.jccm.es/sede/tramite/J8Y","OTORGAMIENTO DE DEMASIAS")</f>
        <v>OTORGAMIENTO DE DEMASIAS</v>
      </c>
      <c r="I24" s="3" t="s">
        <v>42</v>
      </c>
      <c r="J24" s="3" t="s">
        <v>41</v>
      </c>
      <c r="K24" s="3" t="s">
        <v>42</v>
      </c>
      <c r="L24" s="3" t="s">
        <v>41</v>
      </c>
    </row>
    <row r="25" spans="1:12" ht="45.95">
      <c r="A25" s="3" t="s">
        <v>2487</v>
      </c>
      <c r="B25" s="3" t="s">
        <v>2488</v>
      </c>
      <c r="C25" s="3" t="s">
        <v>327</v>
      </c>
      <c r="D25" s="3" t="s">
        <v>46</v>
      </c>
      <c r="E25" s="3" t="s">
        <v>2417</v>
      </c>
      <c r="F25" s="3" t="s">
        <v>2418</v>
      </c>
      <c r="G25" s="3" t="s">
        <v>2489</v>
      </c>
      <c r="H25" s="3" t="str">
        <f>HYPERLINK("http://www.jccm.es/sede/tramite/I5N","OTORGAMIENTO PERMISO DE INVESTIGACION SECCION C) Y D)")</f>
        <v>OTORGAMIENTO PERMISO DE INVESTIGACION SECCION C) Y D)</v>
      </c>
      <c r="I25" s="3" t="s">
        <v>42</v>
      </c>
      <c r="J25" s="3" t="s">
        <v>41</v>
      </c>
      <c r="K25" s="3" t="s">
        <v>42</v>
      </c>
      <c r="L25" s="3" t="s">
        <v>42</v>
      </c>
    </row>
    <row r="26" spans="1:12" ht="45.95">
      <c r="A26" s="3" t="s">
        <v>2490</v>
      </c>
      <c r="B26" s="3" t="s">
        <v>2491</v>
      </c>
      <c r="C26" s="3" t="s">
        <v>327</v>
      </c>
      <c r="D26" s="3" t="s">
        <v>46</v>
      </c>
      <c r="E26" s="3" t="s">
        <v>2417</v>
      </c>
      <c r="F26" s="3" t="s">
        <v>2418</v>
      </c>
      <c r="G26" s="3" t="s">
        <v>2492</v>
      </c>
      <c r="H26" s="3" t="str">
        <f>HYPERLINK("http://www.jccm.es/sede/tramite/I5M","OTORGAMIENTO PERMISO DE EXPLORACION DE RECURSOS DE LA SECCION C) O D)")</f>
        <v>OTORGAMIENTO PERMISO DE EXPLORACION DE RECURSOS DE LA SECCION C) O D)</v>
      </c>
      <c r="I26" s="3" t="s">
        <v>42</v>
      </c>
      <c r="J26" s="3" t="s">
        <v>41</v>
      </c>
      <c r="K26" s="3" t="s">
        <v>42</v>
      </c>
      <c r="L26" s="3" t="s">
        <v>42</v>
      </c>
    </row>
    <row r="27" spans="1:12" ht="45.95">
      <c r="A27" s="3" t="s">
        <v>2493</v>
      </c>
      <c r="B27" s="3" t="s">
        <v>2494</v>
      </c>
      <c r="C27" s="3" t="s">
        <v>45</v>
      </c>
      <c r="D27" s="3" t="s">
        <v>46</v>
      </c>
      <c r="E27" s="3" t="s">
        <v>2417</v>
      </c>
      <c r="F27" s="3" t="s">
        <v>2418</v>
      </c>
      <c r="G27" s="3" t="s">
        <v>2495</v>
      </c>
      <c r="H27" s="3" t="str">
        <f>HYPERLINK("http://www.jccm.es/sede/tramite/J91","AUTORIZACION DE PRORROGAS DE DERECHOS MINEROS")</f>
        <v>AUTORIZACION DE PRORROGAS DE DERECHOS MINEROS</v>
      </c>
      <c r="I27" s="3" t="s">
        <v>42</v>
      </c>
      <c r="J27" s="3" t="s">
        <v>41</v>
      </c>
      <c r="K27" s="3" t="s">
        <v>42</v>
      </c>
      <c r="L27" s="3" t="s">
        <v>41</v>
      </c>
    </row>
    <row r="28" spans="1:12" ht="45.95">
      <c r="A28" s="3" t="s">
        <v>2496</v>
      </c>
      <c r="B28" s="3" t="s">
        <v>2497</v>
      </c>
      <c r="C28" s="3" t="s">
        <v>45</v>
      </c>
      <c r="D28" s="3" t="s">
        <v>46</v>
      </c>
      <c r="E28" s="3" t="s">
        <v>2417</v>
      </c>
      <c r="F28" s="3" t="s">
        <v>2418</v>
      </c>
      <c r="G28" s="3" t="s">
        <v>2498</v>
      </c>
      <c r="H28" s="3" t="str">
        <f>HYPERLINK("http://www.jccm.es/sede/tramite/J8Z","AUTORIZACION DE ESTABLECIMIENTOS DE BENEFICIO")</f>
        <v>AUTORIZACION DE ESTABLECIMIENTOS DE BENEFICIO</v>
      </c>
      <c r="I28" s="3" t="s">
        <v>42</v>
      </c>
      <c r="J28" s="3" t="s">
        <v>41</v>
      </c>
      <c r="K28" s="3" t="s">
        <v>42</v>
      </c>
      <c r="L28" s="3" t="s">
        <v>41</v>
      </c>
    </row>
    <row r="29" spans="1:12" ht="45.95">
      <c r="A29" s="3" t="s">
        <v>2499</v>
      </c>
      <c r="B29" s="3" t="s">
        <v>2500</v>
      </c>
      <c r="C29" s="3" t="s">
        <v>45</v>
      </c>
      <c r="D29" s="3" t="s">
        <v>46</v>
      </c>
      <c r="E29" s="3" t="s">
        <v>2417</v>
      </c>
      <c r="F29" s="3" t="s">
        <v>2418</v>
      </c>
      <c r="G29" s="3" t="s">
        <v>2501</v>
      </c>
      <c r="H29" s="3" t="str">
        <f>HYPERLINK("http://www.jccm.es/sede/tramite/J8Q","APROBACION PROYECTOS ALUMBRAMIENTO DE AGUAS SUBTERRANEAS")</f>
        <v>APROBACION PROYECTOS ALUMBRAMIENTO DE AGUAS SUBTERRANEAS</v>
      </c>
      <c r="I29" s="3" t="s">
        <v>42</v>
      </c>
      <c r="J29" s="3" t="s">
        <v>41</v>
      </c>
      <c r="K29" s="3" t="s">
        <v>42</v>
      </c>
      <c r="L29" s="3" t="s">
        <v>41</v>
      </c>
    </row>
    <row r="30" spans="1:12" ht="45.95">
      <c r="A30" s="3" t="s">
        <v>2502</v>
      </c>
      <c r="B30" s="3" t="s">
        <v>2503</v>
      </c>
      <c r="C30" s="3" t="s">
        <v>45</v>
      </c>
      <c r="D30" s="3" t="s">
        <v>46</v>
      </c>
      <c r="E30" s="3" t="s">
        <v>2417</v>
      </c>
      <c r="F30" s="3" t="s">
        <v>2418</v>
      </c>
      <c r="G30" s="3" t="s">
        <v>2504</v>
      </c>
      <c r="H30" s="3" t="str">
        <f>HYPERLINK("http://www.jccm.es/sede/tramite/J95","AUTORIZACION DE SUSPENSION TEMPORAL, ABANDONO DEFINITIVO Y REAPERTURA DE LABORES")</f>
        <v>AUTORIZACION DE SUSPENSION TEMPORAL, ABANDONO DEFINITIVO Y REAPERTURA DE LABORES</v>
      </c>
      <c r="I30" s="3" t="s">
        <v>42</v>
      </c>
      <c r="J30" s="3" t="s">
        <v>41</v>
      </c>
      <c r="K30" s="3" t="s">
        <v>42</v>
      </c>
      <c r="L30" s="3" t="s">
        <v>41</v>
      </c>
    </row>
    <row r="31" spans="1:12" ht="45.95">
      <c r="A31" s="3" t="s">
        <v>2505</v>
      </c>
      <c r="B31" s="3" t="s">
        <v>2506</v>
      </c>
      <c r="C31" s="3" t="s">
        <v>45</v>
      </c>
      <c r="D31" s="3" t="s">
        <v>46</v>
      </c>
      <c r="E31" s="3" t="s">
        <v>2417</v>
      </c>
      <c r="F31" s="3" t="s">
        <v>2418</v>
      </c>
      <c r="G31" s="3" t="s">
        <v>2507</v>
      </c>
      <c r="H31" s="3" t="str">
        <f>HYPERLINK("http://www.jccm.es/sede/tramite/J96","AUTORIZACION TRANSMISION DE DERECHOS MINEROS")</f>
        <v>AUTORIZACION TRANSMISION DE DERECHOS MINEROS</v>
      </c>
      <c r="I31" s="3" t="s">
        <v>42</v>
      </c>
      <c r="J31" s="3" t="s">
        <v>41</v>
      </c>
      <c r="K31" s="3" t="s">
        <v>42</v>
      </c>
      <c r="L31" s="3" t="s">
        <v>41</v>
      </c>
    </row>
    <row r="32" spans="1:12" ht="57.6">
      <c r="A32" s="3" t="s">
        <v>2508</v>
      </c>
      <c r="B32" s="3" t="s">
        <v>2509</v>
      </c>
      <c r="C32" s="3" t="s">
        <v>45</v>
      </c>
      <c r="D32" s="3" t="s">
        <v>46</v>
      </c>
      <c r="E32" s="3" t="s">
        <v>2417</v>
      </c>
      <c r="F32" s="3" t="s">
        <v>2510</v>
      </c>
      <c r="G32" s="3" t="s">
        <v>2511</v>
      </c>
      <c r="H32" s="3" t="str">
        <f>HYPERLINK("http://www.jccm.es/sede/tramite/261","SOLICITUD AUTORIZACION DE SUELTA DE PIEZAS DE CAZA VIVA")</f>
        <v>SOLICITUD AUTORIZACION DE SUELTA DE PIEZAS DE CAZA VIVA</v>
      </c>
      <c r="I32" s="3" t="s">
        <v>41</v>
      </c>
      <c r="J32" s="3" t="s">
        <v>41</v>
      </c>
      <c r="K32" s="3" t="s">
        <v>42</v>
      </c>
      <c r="L32" s="3" t="s">
        <v>41</v>
      </c>
    </row>
    <row r="33" spans="1:12" ht="57.6">
      <c r="A33" s="3" t="s">
        <v>2512</v>
      </c>
      <c r="B33" s="3" t="s">
        <v>2513</v>
      </c>
      <c r="C33" s="3" t="s">
        <v>45</v>
      </c>
      <c r="D33" s="3" t="s">
        <v>46</v>
      </c>
      <c r="E33" s="3" t="s">
        <v>2417</v>
      </c>
      <c r="F33" s="3" t="s">
        <v>2510</v>
      </c>
      <c r="G33" s="3" t="s">
        <v>2514</v>
      </c>
      <c r="H33" s="3" t="str">
        <f>HYPERLINK("http://www.jccm.es/sede/tramite/IJV","AUTORIZACION / MODIFICACION DE CERRAMIENTO CINEGETICO")</f>
        <v>AUTORIZACION / MODIFICACION DE CERRAMIENTO CINEGETICO</v>
      </c>
      <c r="I33" s="3" t="s">
        <v>41</v>
      </c>
      <c r="J33" s="3" t="s">
        <v>41</v>
      </c>
      <c r="K33" s="3" t="s">
        <v>42</v>
      </c>
      <c r="L33" s="3" t="s">
        <v>41</v>
      </c>
    </row>
    <row r="34" spans="1:12" ht="57.6">
      <c r="A34" s="3" t="s">
        <v>2515</v>
      </c>
      <c r="B34" s="3" t="s">
        <v>2516</v>
      </c>
      <c r="C34" s="3" t="s">
        <v>45</v>
      </c>
      <c r="D34" s="3" t="s">
        <v>46</v>
      </c>
      <c r="E34" s="3" t="s">
        <v>2417</v>
      </c>
      <c r="F34" s="3" t="s">
        <v>2510</v>
      </c>
      <c r="G34" s="3" t="s">
        <v>2517</v>
      </c>
      <c r="H34" s="3" t="str">
        <f>HYPERLINK("http://www.jccm.es/sede/tramite/K0V","AUTORIZACION EXCEPCIONAL DE CAPTURA DE ESPECIES CINEGETICAS")</f>
        <v>AUTORIZACION EXCEPCIONAL DE CAPTURA DE ESPECIES CINEGETICAS</v>
      </c>
      <c r="I34" s="3" t="s">
        <v>42</v>
      </c>
      <c r="J34" s="3" t="s">
        <v>41</v>
      </c>
      <c r="K34" s="3" t="s">
        <v>42</v>
      </c>
      <c r="L34" s="3" t="s">
        <v>41</v>
      </c>
    </row>
    <row r="35" spans="1:12" ht="80.45">
      <c r="A35" s="3" t="s">
        <v>2518</v>
      </c>
      <c r="B35" s="3" t="s">
        <v>2519</v>
      </c>
      <c r="C35" s="3" t="s">
        <v>2520</v>
      </c>
      <c r="D35" s="3" t="s">
        <v>37</v>
      </c>
      <c r="E35" s="3" t="s">
        <v>2417</v>
      </c>
      <c r="F35" s="3" t="s">
        <v>2510</v>
      </c>
      <c r="G35" s="3" t="s">
        <v>2521</v>
      </c>
      <c r="H35" s="3" t="str">
        <f>HYPERLINK("http://www.jccm.es/sede/tramite/JF4","COMUNICACION DE LA CELEBRACION DE MONTERIAS, GANCHOS, BATIDAS, JABALI EN MANO, OJEOS DE PERDIZ Y TIRADAS CONTEMPLADAS EN EL PLAN DE ORDENACION CINEGETICA")</f>
        <v>COMUNICACION DE LA CELEBRACION DE MONTERIAS, GANCHOS, BATIDAS, JABALI EN MANO, OJEOS DE PERDIZ Y TIRADAS CONTEMPLADAS EN EL PLAN DE ORDENACION CINEGETICA</v>
      </c>
      <c r="I35" s="3" t="s">
        <v>41</v>
      </c>
      <c r="J35" s="3" t="s">
        <v>41</v>
      </c>
      <c r="K35" s="3" t="s">
        <v>42</v>
      </c>
      <c r="L35" s="3" t="s">
        <v>41</v>
      </c>
    </row>
    <row r="36" spans="1:12" ht="57.6">
      <c r="A36" s="3" t="s">
        <v>2522</v>
      </c>
      <c r="B36" s="3" t="s">
        <v>2523</v>
      </c>
      <c r="C36" s="3" t="s">
        <v>62</v>
      </c>
      <c r="D36" s="3" t="s">
        <v>46</v>
      </c>
      <c r="E36" s="3" t="s">
        <v>2417</v>
      </c>
      <c r="F36" s="3" t="s">
        <v>2510</v>
      </c>
      <c r="G36" s="3" t="s">
        <v>2524</v>
      </c>
      <c r="H36" s="3" t="str">
        <f>HYPERLINK("http://www.jccm.es/sede/tramite/584","AUTORIZACION PARA LA CAPTURA DE ESPECIES CINEGETICAS CON FINES CIENTIFICOS")</f>
        <v>AUTORIZACION PARA LA CAPTURA DE ESPECIES CINEGETICAS CON FINES CIENTIFICOS</v>
      </c>
      <c r="I36" s="3" t="s">
        <v>42</v>
      </c>
      <c r="J36" s="3" t="s">
        <v>41</v>
      </c>
      <c r="K36" s="3" t="s">
        <v>42</v>
      </c>
      <c r="L36" s="3" t="s">
        <v>41</v>
      </c>
    </row>
    <row r="37" spans="1:12" ht="114.95">
      <c r="A37" s="3" t="s">
        <v>2525</v>
      </c>
      <c r="B37" s="3" t="s">
        <v>2526</v>
      </c>
      <c r="C37" s="3" t="s">
        <v>2527</v>
      </c>
      <c r="D37" s="3" t="s">
        <v>46</v>
      </c>
      <c r="E37" s="3" t="s">
        <v>2417</v>
      </c>
      <c r="F37" s="3" t="s">
        <v>2510</v>
      </c>
      <c r="G37" s="3" t="s">
        <v>2528</v>
      </c>
      <c r="H37" s="3" t="str">
        <f>HYPERLINK("http://www.jccm.es/sede/tramite/IJS","AUTORIZACION DE INSTALACIONES DE ACUICULTURA")</f>
        <v>AUTORIZACION DE INSTALACIONES DE ACUICULTURA</v>
      </c>
      <c r="I37" s="3" t="s">
        <v>42</v>
      </c>
      <c r="J37" s="3" t="s">
        <v>41</v>
      </c>
      <c r="K37" s="3" t="s">
        <v>42</v>
      </c>
      <c r="L37" s="3" t="s">
        <v>41</v>
      </c>
    </row>
    <row r="38" spans="1:12" ht="57.6">
      <c r="A38" s="3" t="s">
        <v>2529</v>
      </c>
      <c r="B38" s="3" t="s">
        <v>2530</v>
      </c>
      <c r="C38" s="3" t="s">
        <v>45</v>
      </c>
      <c r="D38" s="3" t="s">
        <v>46</v>
      </c>
      <c r="E38" s="3" t="s">
        <v>2417</v>
      </c>
      <c r="F38" s="3" t="s">
        <v>2510</v>
      </c>
      <c r="G38" s="3" t="s">
        <v>2531</v>
      </c>
      <c r="H38" s="3" t="str">
        <f>HYPERLINK("http://www.jccm.es/sede/tramite/JFC","AUTORIZACION DE PESCA CIENTIFICA")</f>
        <v>AUTORIZACION DE PESCA CIENTIFICA</v>
      </c>
      <c r="I38" s="3" t="s">
        <v>42</v>
      </c>
      <c r="J38" s="3" t="s">
        <v>41</v>
      </c>
      <c r="K38" s="3" t="s">
        <v>42</v>
      </c>
      <c r="L38" s="3" t="s">
        <v>41</v>
      </c>
    </row>
    <row r="39" spans="1:12" ht="57.6">
      <c r="A39" s="3" t="s">
        <v>2532</v>
      </c>
      <c r="B39" s="3" t="s">
        <v>2533</v>
      </c>
      <c r="C39" s="3" t="s">
        <v>62</v>
      </c>
      <c r="D39" s="3" t="s">
        <v>46</v>
      </c>
      <c r="E39" s="3" t="s">
        <v>2417</v>
      </c>
      <c r="F39" s="3" t="s">
        <v>2510</v>
      </c>
      <c r="G39" s="3" t="s">
        <v>2534</v>
      </c>
      <c r="H39" s="3" t="str">
        <f>HYPERLINK("http://www.jccm.es/sede/tramite/JKV","PARTICIPACION EN EL CONCURSO PARA LA CONCESION DE COTOS DE PESCA A SOCIEDADES COLABORADORAS")</f>
        <v>PARTICIPACION EN EL CONCURSO PARA LA CONCESION DE COTOS DE PESCA A SOCIEDADES COLABORADORAS</v>
      </c>
      <c r="I39" s="3" t="s">
        <v>41</v>
      </c>
      <c r="J39" s="3" t="s">
        <v>41</v>
      </c>
      <c r="K39" s="3" t="s">
        <v>42</v>
      </c>
      <c r="L39" s="3" t="s">
        <v>41</v>
      </c>
    </row>
    <row r="40" spans="1:12" ht="57.6">
      <c r="A40" s="3" t="s">
        <v>2535</v>
      </c>
      <c r="B40" s="3" t="s">
        <v>2536</v>
      </c>
      <c r="C40" s="3" t="s">
        <v>45</v>
      </c>
      <c r="D40" s="3" t="s">
        <v>46</v>
      </c>
      <c r="E40" s="3" t="s">
        <v>2417</v>
      </c>
      <c r="F40" s="3" t="s">
        <v>2510</v>
      </c>
      <c r="G40" s="3" t="s">
        <v>2537</v>
      </c>
      <c r="H40" s="3" t="str">
        <f>HYPERLINK("http://www.jccm.es/sede/tramite/JFD","AUTORIZACION PARA EL APROVECHAMIENTO DE LA PESCA EN AGUAS DE REGIMEN PRIVADO")</f>
        <v>AUTORIZACION PARA EL APROVECHAMIENTO DE LA PESCA EN AGUAS DE REGIMEN PRIVADO</v>
      </c>
      <c r="I40" s="3" t="s">
        <v>42</v>
      </c>
      <c r="J40" s="3" t="s">
        <v>41</v>
      </c>
      <c r="K40" s="3" t="s">
        <v>42</v>
      </c>
      <c r="L40" s="3" t="s">
        <v>41</v>
      </c>
    </row>
    <row r="41" spans="1:12" ht="126.6">
      <c r="A41" s="3" t="s">
        <v>2538</v>
      </c>
      <c r="B41" s="3" t="s">
        <v>2539</v>
      </c>
      <c r="C41" s="3" t="s">
        <v>45</v>
      </c>
      <c r="D41" s="3" t="s">
        <v>46</v>
      </c>
      <c r="E41" s="3" t="s">
        <v>2417</v>
      </c>
      <c r="F41" s="3" t="s">
        <v>2510</v>
      </c>
      <c r="G41" s="3" t="s">
        <v>2540</v>
      </c>
      <c r="H41" s="3" t="str">
        <f>HYPERLINK("http://www.jccm.es/sede/tramite/JGB","AUTORIZACION DE ACTUACIONES QUE MODIFIQUEN LA COMPOSICION O ESTRUCTURA DE LA VEGETACION DE ORILLAS Y MARGENES EN ZONAS DE SERVIDUMBRE DE AGUAS PUBLICAS, ASI COMO EXTRACCION DE PLANTAS ACUATICAS.")</f>
        <v>AUTORIZACION DE ACTUACIONES QUE MODIFIQUEN LA COMPOSICION O ESTRUCTURA DE LA VEGETACION DE ORILLAS Y MARGENES EN ZONAS DE SERVIDUMBRE DE AGUAS PUBLICAS, ASI COMO EXTRACCION DE PLANTAS ACUATICAS.</v>
      </c>
      <c r="I41" s="3" t="s">
        <v>42</v>
      </c>
      <c r="J41" s="3" t="s">
        <v>41</v>
      </c>
      <c r="K41" s="3" t="s">
        <v>42</v>
      </c>
      <c r="L41" s="3" t="s">
        <v>41</v>
      </c>
    </row>
    <row r="42" spans="1:12" ht="57.6">
      <c r="A42" s="3" t="s">
        <v>2541</v>
      </c>
      <c r="B42" s="3" t="s">
        <v>2542</v>
      </c>
      <c r="C42" s="3" t="s">
        <v>45</v>
      </c>
      <c r="D42" s="3" t="s">
        <v>46</v>
      </c>
      <c r="E42" s="3" t="s">
        <v>2417</v>
      </c>
      <c r="F42" s="3" t="s">
        <v>2510</v>
      </c>
      <c r="G42" s="3" t="s">
        <v>2543</v>
      </c>
      <c r="H42" s="3" t="str">
        <f>HYPERLINK("http://www.jccm.es/sede/tramite/JFE","AUTORIZACION PARA REPOBLACIONES POR PARTICULARES O PERSONAS CONCESIONARIAS EN SUS COTOS DE PESCA")</f>
        <v>AUTORIZACION PARA REPOBLACIONES POR PARTICULARES O PERSONAS CONCESIONARIAS EN SUS COTOS DE PESCA</v>
      </c>
      <c r="I42" s="3" t="s">
        <v>42</v>
      </c>
      <c r="J42" s="3" t="s">
        <v>41</v>
      </c>
      <c r="K42" s="3" t="s">
        <v>42</v>
      </c>
      <c r="L42" s="3" t="s">
        <v>41</v>
      </c>
    </row>
    <row r="43" spans="1:12" ht="57.6">
      <c r="A43" s="3" t="s">
        <v>2544</v>
      </c>
      <c r="B43" s="3" t="s">
        <v>2545</v>
      </c>
      <c r="C43" s="3" t="s">
        <v>45</v>
      </c>
      <c r="D43" s="3" t="s">
        <v>46</v>
      </c>
      <c r="E43" s="3" t="s">
        <v>2417</v>
      </c>
      <c r="F43" s="3" t="s">
        <v>2510</v>
      </c>
      <c r="G43" s="3" t="s">
        <v>2546</v>
      </c>
      <c r="H43" s="3" t="str">
        <f>HYPERLINK("http://www.jccm.es/sede/tramite/270","AUTORIZACION DE TRANSPORTE DE PECES Y CANGREJOS EN VIVO")</f>
        <v>AUTORIZACION DE TRANSPORTE DE PECES Y CANGREJOS EN VIVO</v>
      </c>
      <c r="I43" s="3" t="s">
        <v>42</v>
      </c>
      <c r="J43" s="3" t="s">
        <v>41</v>
      </c>
      <c r="K43" s="3" t="s">
        <v>42</v>
      </c>
      <c r="L43" s="3" t="s">
        <v>41</v>
      </c>
    </row>
    <row r="44" spans="1:12" ht="57.6">
      <c r="A44" s="3" t="s">
        <v>2547</v>
      </c>
      <c r="B44" s="3" t="s">
        <v>2548</v>
      </c>
      <c r="C44" s="3" t="s">
        <v>62</v>
      </c>
      <c r="D44" s="3" t="s">
        <v>46</v>
      </c>
      <c r="E44" s="3" t="s">
        <v>2417</v>
      </c>
      <c r="F44" s="3" t="s">
        <v>2510</v>
      </c>
      <c r="G44" s="3" t="s">
        <v>2549</v>
      </c>
      <c r="H44" s="3" t="str">
        <f>HYPERLINK("http://www.jccm.es/sede/tramite/J7L","AUTORIZACION EXCEPCIONAL DE CAPTURA  CIENTIFICA")</f>
        <v>AUTORIZACION EXCEPCIONAL DE CAPTURA  CIENTIFICA</v>
      </c>
      <c r="I44" s="3" t="s">
        <v>42</v>
      </c>
      <c r="J44" s="3" t="s">
        <v>41</v>
      </c>
      <c r="K44" s="3" t="s">
        <v>42</v>
      </c>
      <c r="L44" s="3" t="s">
        <v>41</v>
      </c>
    </row>
    <row r="45" spans="1:12" ht="57.6">
      <c r="A45" s="3" t="s">
        <v>2550</v>
      </c>
      <c r="B45" s="3" t="s">
        <v>2551</v>
      </c>
      <c r="C45" s="3" t="s">
        <v>45</v>
      </c>
      <c r="D45" s="3" t="s">
        <v>46</v>
      </c>
      <c r="E45" s="3" t="s">
        <v>2417</v>
      </c>
      <c r="F45" s="3" t="s">
        <v>2510</v>
      </c>
      <c r="G45" s="3" t="s">
        <v>2552</v>
      </c>
      <c r="H45" s="3" t="str">
        <f>HYPERLINK("http://www.jccm.es/sede/tramite/JFQ","AUTORIZACION DE OCUPACIONES TEMPORALES EN MONTES DEMANIALES")</f>
        <v>AUTORIZACION DE OCUPACIONES TEMPORALES EN MONTES DEMANIALES</v>
      </c>
      <c r="I45" s="3" t="s">
        <v>42</v>
      </c>
      <c r="J45" s="3" t="s">
        <v>41</v>
      </c>
      <c r="K45" s="3" t="s">
        <v>42</v>
      </c>
      <c r="L45" s="3" t="s">
        <v>41</v>
      </c>
    </row>
    <row r="46" spans="1:12" ht="57.6">
      <c r="A46" s="3" t="s">
        <v>2553</v>
      </c>
      <c r="B46" s="3" t="s">
        <v>2554</v>
      </c>
      <c r="C46" s="3" t="s">
        <v>45</v>
      </c>
      <c r="D46" s="3" t="s">
        <v>46</v>
      </c>
      <c r="E46" s="3" t="s">
        <v>2417</v>
      </c>
      <c r="F46" s="3" t="s">
        <v>2510</v>
      </c>
      <c r="G46" s="3" t="s">
        <v>2555</v>
      </c>
      <c r="H46" s="3" t="str">
        <f>HYPERLINK("http://www.jccm.es/sede/tramite/I7P","AUTORIZACION DE APROVECHAMIENTO FORESTAL")</f>
        <v>AUTORIZACION DE APROVECHAMIENTO FORESTAL</v>
      </c>
      <c r="I46" s="3" t="s">
        <v>42</v>
      </c>
      <c r="J46" s="3" t="s">
        <v>41</v>
      </c>
      <c r="K46" s="3" t="s">
        <v>42</v>
      </c>
      <c r="L46" s="3" t="s">
        <v>41</v>
      </c>
    </row>
    <row r="47" spans="1:12" ht="57.6">
      <c r="A47" s="3" t="s">
        <v>2556</v>
      </c>
      <c r="B47" s="3" t="s">
        <v>2557</v>
      </c>
      <c r="C47" s="3" t="s">
        <v>45</v>
      </c>
      <c r="D47" s="3" t="s">
        <v>46</v>
      </c>
      <c r="E47" s="3" t="s">
        <v>2417</v>
      </c>
      <c r="F47" s="3" t="s">
        <v>2510</v>
      </c>
      <c r="G47" s="3" t="s">
        <v>2558</v>
      </c>
      <c r="H47" s="3" t="str">
        <f>HYPERLINK("http://www.jccm.es/sede/tramite/JFR","MODIFICACION DE LA CUBIERTA VEGETAL")</f>
        <v>MODIFICACION DE LA CUBIERTA VEGETAL</v>
      </c>
      <c r="I47" s="3" t="s">
        <v>42</v>
      </c>
      <c r="J47" s="3" t="s">
        <v>41</v>
      </c>
      <c r="K47" s="3" t="s">
        <v>42</v>
      </c>
      <c r="L47" s="3" t="s">
        <v>41</v>
      </c>
    </row>
    <row r="48" spans="1:12" ht="57.6">
      <c r="A48" s="3" t="s">
        <v>2559</v>
      </c>
      <c r="B48" s="3" t="s">
        <v>2560</v>
      </c>
      <c r="C48" s="3" t="s">
        <v>45</v>
      </c>
      <c r="D48" s="3" t="s">
        <v>46</v>
      </c>
      <c r="E48" s="3" t="s">
        <v>2417</v>
      </c>
      <c r="F48" s="3" t="s">
        <v>2510</v>
      </c>
      <c r="G48" s="3" t="s">
        <v>2561</v>
      </c>
      <c r="H48" s="3" t="str">
        <f>HYPERLINK("http://www.jccm.es/sede/tramite/G88","TRANSFORMACION EN AGRICOLA DE UN TERRENO FORESTAL EN REGIMEN GENERAL ADMINISTRATIVO")</f>
        <v>TRANSFORMACION EN AGRICOLA DE UN TERRENO FORESTAL EN REGIMEN GENERAL ADMINISTRATIVO</v>
      </c>
      <c r="I48" s="3" t="s">
        <v>42</v>
      </c>
      <c r="J48" s="3" t="s">
        <v>41</v>
      </c>
      <c r="K48" s="3" t="s">
        <v>42</v>
      </c>
      <c r="L48" s="3" t="s">
        <v>41</v>
      </c>
    </row>
    <row r="49" spans="1:12" ht="57.6">
      <c r="A49" s="3" t="s">
        <v>2562</v>
      </c>
      <c r="B49" s="3" t="s">
        <v>2563</v>
      </c>
      <c r="C49" s="3" t="s">
        <v>45</v>
      </c>
      <c r="D49" s="3" t="s">
        <v>46</v>
      </c>
      <c r="E49" s="3" t="s">
        <v>2417</v>
      </c>
      <c r="F49" s="3" t="s">
        <v>2510</v>
      </c>
      <c r="G49" s="3" t="s">
        <v>2564</v>
      </c>
      <c r="H49" s="3" t="str">
        <f>HYPERLINK("http://www.jccm.es/sede/tramite/244","AUTORIZACION DE OCUPACIONES DE CARACTER TEMPORAL EN VIAS PECUARIAS")</f>
        <v>AUTORIZACION DE OCUPACIONES DE CARACTER TEMPORAL EN VIAS PECUARIAS</v>
      </c>
      <c r="I49" s="3" t="s">
        <v>42</v>
      </c>
      <c r="J49" s="3" t="s">
        <v>41</v>
      </c>
      <c r="K49" s="3" t="s">
        <v>42</v>
      </c>
      <c r="L49" s="3" t="s">
        <v>41</v>
      </c>
    </row>
    <row r="50" spans="1:12" ht="57.6">
      <c r="A50" s="3" t="s">
        <v>2565</v>
      </c>
      <c r="B50" s="3" t="s">
        <v>2566</v>
      </c>
      <c r="C50" s="3" t="s">
        <v>1727</v>
      </c>
      <c r="D50" s="3" t="s">
        <v>46</v>
      </c>
      <c r="E50" s="3" t="s">
        <v>2417</v>
      </c>
      <c r="F50" s="3" t="s">
        <v>2510</v>
      </c>
      <c r="G50" s="3" t="s">
        <v>2567</v>
      </c>
      <c r="H50" s="3" t="str">
        <f>HYPERLINK("http://www.jccm.es/sede/tramite/248","MODIFICACION DE TRAZADO DE VIAS PECUARIAS")</f>
        <v>MODIFICACION DE TRAZADO DE VIAS PECUARIAS</v>
      </c>
      <c r="I50" s="3" t="s">
        <v>42</v>
      </c>
      <c r="J50" s="3" t="s">
        <v>41</v>
      </c>
      <c r="K50" s="3" t="s">
        <v>42</v>
      </c>
      <c r="L50" s="3" t="s">
        <v>41</v>
      </c>
    </row>
    <row r="51" spans="1:12" ht="45.95">
      <c r="A51" s="3" t="s">
        <v>2568</v>
      </c>
      <c r="B51" s="3" t="s">
        <v>2569</v>
      </c>
      <c r="C51" s="3" t="s">
        <v>95</v>
      </c>
      <c r="D51" s="3" t="s">
        <v>95</v>
      </c>
      <c r="E51" s="3" t="s">
        <v>2417</v>
      </c>
      <c r="F51" s="3" t="s">
        <v>2570</v>
      </c>
      <c r="G51" s="3" t="s">
        <v>2571</v>
      </c>
      <c r="H51" s="3" t="str">
        <f>HYPERLINK("http://www.jccm.es/sede/tramite/JMU","NOTIFICACION PREVIA DE TRASLADO DE RESIDUOS")</f>
        <v>NOTIFICACION PREVIA DE TRASLADO DE RESIDUOS</v>
      </c>
      <c r="I51" s="3" t="s">
        <v>41</v>
      </c>
      <c r="J51" s="3" t="s">
        <v>41</v>
      </c>
      <c r="K51" s="3" t="s">
        <v>42</v>
      </c>
      <c r="L51" s="3" t="s">
        <v>41</v>
      </c>
    </row>
    <row r="52" spans="1:12" ht="45.95">
      <c r="A52" s="3" t="s">
        <v>2572</v>
      </c>
      <c r="B52" s="3" t="s">
        <v>2573</v>
      </c>
      <c r="C52" s="3" t="s">
        <v>70</v>
      </c>
      <c r="D52" s="3" t="s">
        <v>46</v>
      </c>
      <c r="E52" s="3" t="s">
        <v>2417</v>
      </c>
      <c r="F52" s="3" t="s">
        <v>2570</v>
      </c>
      <c r="G52" s="3" t="s">
        <v>2574</v>
      </c>
      <c r="H52" s="3" t="str">
        <f>HYPERLINK("http://www.jccm.es/sede/tramite/IM6","CONCESION DE LA ETIQUETA ECOLOGICA DE LA UNION EUROPEA")</f>
        <v>CONCESION DE LA ETIQUETA ECOLOGICA DE LA UNION EUROPEA</v>
      </c>
      <c r="I52" s="3" t="s">
        <v>42</v>
      </c>
      <c r="J52" s="3" t="s">
        <v>41</v>
      </c>
      <c r="K52" s="3" t="s">
        <v>42</v>
      </c>
      <c r="L52" s="3" t="s">
        <v>41</v>
      </c>
    </row>
    <row r="53" spans="1:12" ht="69">
      <c r="A53" s="3" t="s">
        <v>2575</v>
      </c>
      <c r="B53" s="3" t="s">
        <v>2576</v>
      </c>
      <c r="C53" s="3" t="s">
        <v>95</v>
      </c>
      <c r="D53" s="3" t="s">
        <v>95</v>
      </c>
      <c r="E53" s="3" t="s">
        <v>2417</v>
      </c>
      <c r="F53" s="3" t="s">
        <v>2570</v>
      </c>
      <c r="G53" s="3" t="s">
        <v>2577</v>
      </c>
      <c r="H53" s="3" t="str">
        <f>HYPERLINK("http://www.jccm.es/sede/tramite/JAS","NOTIFICACION  DE ACTIVIDADES DE VALORIZACION DE RESIDUOS DE CONSTRUCCION Y DEMOLICION EN EL LUGAR DE PRODUCCION MEDIANTE PLANTAS MOVILES")</f>
        <v>NOTIFICACION  DE ACTIVIDADES DE VALORIZACION DE RESIDUOS DE CONSTRUCCION Y DEMOLICION EN EL LUGAR DE PRODUCCION MEDIANTE PLANTAS MOVILES</v>
      </c>
      <c r="I53" s="3" t="s">
        <v>42</v>
      </c>
      <c r="J53" s="3" t="s">
        <v>41</v>
      </c>
      <c r="K53" s="3" t="s">
        <v>42</v>
      </c>
      <c r="L53" s="3" t="s">
        <v>42</v>
      </c>
    </row>
    <row r="54" spans="1:12" ht="34.5">
      <c r="A54" s="3" t="s">
        <v>2578</v>
      </c>
      <c r="B54" s="3" t="s">
        <v>2579</v>
      </c>
      <c r="C54" s="3" t="s">
        <v>2580</v>
      </c>
      <c r="D54" s="3" t="s">
        <v>37</v>
      </c>
      <c r="E54" s="3" t="s">
        <v>2417</v>
      </c>
      <c r="F54" s="3" t="s">
        <v>2581</v>
      </c>
      <c r="G54" s="3" t="s">
        <v>2582</v>
      </c>
      <c r="H54" s="3" t="str">
        <f>HYPERLINK("http://www.jccm.es/sede/tramite/JAU","APROBACION DEL PLAN EMPRESARIAL DE PREVENCION DE RESIDUOS DE ENVASES.")</f>
        <v>APROBACION DEL PLAN EMPRESARIAL DE PREVENCION DE RESIDUOS DE ENVASES.</v>
      </c>
      <c r="I54" s="3" t="s">
        <v>42</v>
      </c>
      <c r="J54" s="3" t="s">
        <v>41</v>
      </c>
      <c r="K54" s="3" t="s">
        <v>42</v>
      </c>
      <c r="L54" s="3" t="s">
        <v>41</v>
      </c>
    </row>
    <row r="55" spans="1:12" ht="57.6">
      <c r="A55" s="3" t="s">
        <v>2583</v>
      </c>
      <c r="B55" s="3" t="s">
        <v>2584</v>
      </c>
      <c r="C55" s="3" t="s">
        <v>95</v>
      </c>
      <c r="D55" s="3" t="s">
        <v>95</v>
      </c>
      <c r="E55" s="3" t="s">
        <v>2417</v>
      </c>
      <c r="F55" s="3" t="s">
        <v>2581</v>
      </c>
      <c r="G55" s="3" t="s">
        <v>2585</v>
      </c>
      <c r="H55" s="3" t="str">
        <f>HYPERLINK("http://www.jccm.es/sede/tramite/JAT","INFORME DE SEGUIMIENTO DEL PLAN EMPRESARIAL DE PREVENCION DE RESIDUOS DE ENVASES.")</f>
        <v>INFORME DE SEGUIMIENTO DEL PLAN EMPRESARIAL DE PREVENCION DE RESIDUOS DE ENVASES.</v>
      </c>
      <c r="I55" s="3" t="s">
        <v>42</v>
      </c>
      <c r="J55" s="3" t="s">
        <v>41</v>
      </c>
      <c r="K55" s="3" t="s">
        <v>42</v>
      </c>
      <c r="L55" s="3" t="s">
        <v>41</v>
      </c>
    </row>
    <row r="56" spans="1:12" ht="57.6">
      <c r="A56" s="3" t="s">
        <v>2586</v>
      </c>
      <c r="B56" s="3" t="s">
        <v>2587</v>
      </c>
      <c r="C56" s="3" t="s">
        <v>95</v>
      </c>
      <c r="D56" s="3" t="s">
        <v>95</v>
      </c>
      <c r="E56" s="3" t="s">
        <v>2417</v>
      </c>
      <c r="F56" s="3" t="s">
        <v>2581</v>
      </c>
      <c r="G56" s="3" t="s">
        <v>2588</v>
      </c>
      <c r="H56" s="3" t="str">
        <f>HYPERLINK("http://www.jccm.es/sede/tramite/JAR","NOTIFICACION ADHESION DISPOSICION ADICIONAL PRIMERA DE LA LEY 11/1997, DE ENVASES Y RESIDUOS DE ENVASES")</f>
        <v>NOTIFICACION ADHESION DISPOSICION ADICIONAL PRIMERA DE LA LEY 11/1997, DE ENVASES Y RESIDUOS DE ENVASES</v>
      </c>
      <c r="I56" s="3" t="s">
        <v>42</v>
      </c>
      <c r="J56" s="3" t="s">
        <v>41</v>
      </c>
      <c r="K56" s="3" t="s">
        <v>42</v>
      </c>
      <c r="L56" s="3" t="s">
        <v>41</v>
      </c>
    </row>
    <row r="57" spans="1:12" ht="34.5">
      <c r="A57" s="3" t="s">
        <v>2589</v>
      </c>
      <c r="B57" s="3" t="s">
        <v>2590</v>
      </c>
      <c r="C57" s="3" t="s">
        <v>95</v>
      </c>
      <c r="D57" s="3" t="s">
        <v>95</v>
      </c>
      <c r="E57" s="3" t="s">
        <v>2417</v>
      </c>
      <c r="F57" s="3" t="s">
        <v>2581</v>
      </c>
      <c r="G57" s="3" t="s">
        <v>2591</v>
      </c>
      <c r="H57" s="3" t="str">
        <f>HYPERLINK("http://www.jccm.es/sede/tramite/JAQ","DECLARACION ANUAL DE ENVASES Y RESIDUOS DE ENVASES")</f>
        <v>DECLARACION ANUAL DE ENVASES Y RESIDUOS DE ENVASES</v>
      </c>
      <c r="I57" s="3" t="s">
        <v>42</v>
      </c>
      <c r="J57" s="3" t="s">
        <v>41</v>
      </c>
      <c r="K57" s="3" t="s">
        <v>42</v>
      </c>
      <c r="L57" s="3" t="s">
        <v>41</v>
      </c>
    </row>
    <row r="58" spans="1:12" ht="45.95">
      <c r="A58" s="3" t="s">
        <v>2592</v>
      </c>
      <c r="B58" s="3" t="s">
        <v>2593</v>
      </c>
      <c r="C58" s="3" t="s">
        <v>2594</v>
      </c>
      <c r="D58" s="3" t="s">
        <v>46</v>
      </c>
      <c r="E58" s="3" t="s">
        <v>2417</v>
      </c>
      <c r="F58" s="3" t="s">
        <v>2570</v>
      </c>
      <c r="G58" s="3" t="s">
        <v>2595</v>
      </c>
      <c r="H58" s="3" t="str">
        <f>HYPERLINK("http://www.jccm.es/sede/tramite/JB6","AUTORIZACION AMBIENTAL INTEGRADA Y MODIFICACIONES SUSTANCIALES")</f>
        <v>AUTORIZACION AMBIENTAL INTEGRADA Y MODIFICACIONES SUSTANCIALES</v>
      </c>
      <c r="I58" s="3" t="s">
        <v>41</v>
      </c>
      <c r="J58" s="3" t="s">
        <v>41</v>
      </c>
      <c r="K58" s="3" t="s">
        <v>42</v>
      </c>
      <c r="L58" s="3" t="s">
        <v>42</v>
      </c>
    </row>
    <row r="59" spans="1:12" ht="45.95">
      <c r="A59" s="3" t="s">
        <v>2596</v>
      </c>
      <c r="B59" s="3" t="s">
        <v>2597</v>
      </c>
      <c r="C59" s="3" t="s">
        <v>62</v>
      </c>
      <c r="D59" s="3" t="s">
        <v>37</v>
      </c>
      <c r="E59" s="3" t="s">
        <v>2417</v>
      </c>
      <c r="F59" s="3" t="s">
        <v>2570</v>
      </c>
      <c r="G59" s="3" t="s">
        <v>2598</v>
      </c>
      <c r="H59" s="3" t="str">
        <f>HYPERLINK("http://www.jccm.es/sede/tramite/JB8","COMUNICACION DE MODIFICACION NO SUSTANCIAL DE AUTORIZACION AMBIENTAL INTEGRADA")</f>
        <v>COMUNICACION DE MODIFICACION NO SUSTANCIAL DE AUTORIZACION AMBIENTAL INTEGRADA</v>
      </c>
      <c r="I59" s="3" t="s">
        <v>42</v>
      </c>
      <c r="J59" s="3" t="s">
        <v>41</v>
      </c>
      <c r="K59" s="3" t="s">
        <v>42</v>
      </c>
      <c r="L59" s="3" t="s">
        <v>41</v>
      </c>
    </row>
    <row r="60" spans="1:12" ht="45.95">
      <c r="A60" s="3" t="s">
        <v>2599</v>
      </c>
      <c r="B60" s="3" t="s">
        <v>2600</v>
      </c>
      <c r="C60" s="3" t="s">
        <v>45</v>
      </c>
      <c r="D60" s="3" t="s">
        <v>46</v>
      </c>
      <c r="E60" s="3" t="s">
        <v>2417</v>
      </c>
      <c r="F60" s="3" t="s">
        <v>2570</v>
      </c>
      <c r="G60" s="3" t="s">
        <v>2601</v>
      </c>
      <c r="H60" s="3" t="str">
        <f>HYPERLINK("http://www.jccm.es/sede/tramite/I83","MODIFICACION DE LA DURACION DEL ALMACENAMIENTO DE RESIDUOS PELIGROSOS")</f>
        <v>MODIFICACION DE LA DURACION DEL ALMACENAMIENTO DE RESIDUOS PELIGROSOS</v>
      </c>
      <c r="I60" s="3" t="s">
        <v>42</v>
      </c>
      <c r="J60" s="3" t="s">
        <v>41</v>
      </c>
      <c r="K60" s="3" t="s">
        <v>42</v>
      </c>
      <c r="L60" s="3" t="s">
        <v>41</v>
      </c>
    </row>
    <row r="61" spans="1:12" ht="69">
      <c r="A61" s="3" t="s">
        <v>2602</v>
      </c>
      <c r="B61" s="3" t="s">
        <v>2603</v>
      </c>
      <c r="C61" s="3" t="s">
        <v>327</v>
      </c>
      <c r="D61" s="3" t="s">
        <v>46</v>
      </c>
      <c r="E61" s="3" t="s">
        <v>2417</v>
      </c>
      <c r="F61" s="3" t="s">
        <v>2604</v>
      </c>
      <c r="G61" s="3" t="s">
        <v>2605</v>
      </c>
      <c r="H61" s="3" t="str">
        <f>HYPERLINK("http://www.jccm.es/sede/tramite/IH6","CONCESION DE LICENCIA PARA LA PRESTACION DEL SERVICIO PUBLICO DE COMUNICACION AUDIOVISUAL RADIOFONICA DE EXPLOTACION MUNICIPAL. (EMISORA MUNICIPAL DE FM)")</f>
        <v>CONCESION DE LICENCIA PARA LA PRESTACION DEL SERVICIO PUBLICO DE COMUNICACION AUDIOVISUAL RADIOFONICA DE EXPLOTACION MUNICIPAL. (EMISORA MUNICIPAL DE FM)</v>
      </c>
      <c r="I61" s="3" t="s">
        <v>41</v>
      </c>
      <c r="J61" s="3" t="s">
        <v>41</v>
      </c>
      <c r="K61" s="3" t="s">
        <v>42</v>
      </c>
      <c r="L61" s="3" t="s">
        <v>41</v>
      </c>
    </row>
    <row r="62" spans="1:12" ht="45.95">
      <c r="A62" s="3" t="s">
        <v>2606</v>
      </c>
      <c r="B62" s="3" t="s">
        <v>2607</v>
      </c>
      <c r="C62" s="3" t="s">
        <v>45</v>
      </c>
      <c r="D62" s="3" t="s">
        <v>37</v>
      </c>
      <c r="E62" s="3" t="s">
        <v>2417</v>
      </c>
      <c r="F62" s="3" t="s">
        <v>2418</v>
      </c>
      <c r="G62" s="3" t="s">
        <v>2608</v>
      </c>
      <c r="H62" s="3" t="str">
        <f>HYPERLINK("http://www.jccm.es/sede/tramite/IO5","AUTORIZACION DE UNIDADES MOVILES DE INSPECCION TECNICA DE VEHICULOS (ITV)")</f>
        <v>AUTORIZACION DE UNIDADES MOVILES DE INSPECCION TECNICA DE VEHICULOS (ITV)</v>
      </c>
      <c r="I62" s="3" t="s">
        <v>42</v>
      </c>
      <c r="J62" s="3" t="s">
        <v>41</v>
      </c>
      <c r="K62" s="3" t="s">
        <v>42</v>
      </c>
      <c r="L62" s="3" t="s">
        <v>41</v>
      </c>
    </row>
    <row r="63" spans="1:12" ht="69">
      <c r="A63" s="3" t="s">
        <v>2609</v>
      </c>
      <c r="B63" s="3" t="s">
        <v>2610</v>
      </c>
      <c r="C63" s="3" t="s">
        <v>70</v>
      </c>
      <c r="D63" s="3" t="s">
        <v>37</v>
      </c>
      <c r="E63" s="3" t="s">
        <v>2417</v>
      </c>
      <c r="F63" s="3" t="s">
        <v>2418</v>
      </c>
      <c r="G63" s="3" t="s">
        <v>2611</v>
      </c>
      <c r="H63" s="3" t="str">
        <f>HYPERLINK("http://www.jccm.es/sede/tramite/IRN","AUTORIZACION DE ORGANISMOS PARA LA REALIZACION DE REVISIONES DE APARATOS DE BRONCEADO MEDIANTE RADIACIONES ULTRAVIOLETA")</f>
        <v>AUTORIZACION DE ORGANISMOS PARA LA REALIZACION DE REVISIONES DE APARATOS DE BRONCEADO MEDIANTE RADIACIONES ULTRAVIOLETA</v>
      </c>
      <c r="I63" s="3" t="s">
        <v>42</v>
      </c>
      <c r="J63" s="3" t="s">
        <v>41</v>
      </c>
      <c r="K63" s="3" t="s">
        <v>42</v>
      </c>
      <c r="L63" s="3" t="s">
        <v>41</v>
      </c>
    </row>
    <row r="64" spans="1:12" ht="45.95">
      <c r="A64" s="3" t="s">
        <v>2612</v>
      </c>
      <c r="B64" s="3" t="s">
        <v>2613</v>
      </c>
      <c r="C64" s="3" t="s">
        <v>327</v>
      </c>
      <c r="D64" s="3" t="s">
        <v>37</v>
      </c>
      <c r="E64" s="3" t="s">
        <v>2417</v>
      </c>
      <c r="F64" s="3" t="s">
        <v>2418</v>
      </c>
      <c r="G64" s="3" t="s">
        <v>2614</v>
      </c>
      <c r="H64" s="3" t="str">
        <f>HYPERLINK("http://www.jccm.es/sede/tramite/J6E","CAMBIO DE TITULARIDAD DE LAS ESTACIONES DE INSPECCION TECNICA DE VEHICULOS (ITV)")</f>
        <v>CAMBIO DE TITULARIDAD DE LAS ESTACIONES DE INSPECCION TECNICA DE VEHICULOS (ITV)</v>
      </c>
      <c r="I64" s="3" t="s">
        <v>42</v>
      </c>
      <c r="J64" s="3" t="s">
        <v>41</v>
      </c>
      <c r="K64" s="3" t="s">
        <v>42</v>
      </c>
      <c r="L64" s="3" t="s">
        <v>41</v>
      </c>
    </row>
    <row r="65" spans="1:12" ht="45.95">
      <c r="A65" s="3" t="s">
        <v>2615</v>
      </c>
      <c r="B65" s="3" t="s">
        <v>2616</v>
      </c>
      <c r="C65" s="3" t="s">
        <v>45</v>
      </c>
      <c r="D65" s="3" t="s">
        <v>46</v>
      </c>
      <c r="E65" s="3" t="s">
        <v>2417</v>
      </c>
      <c r="F65" s="3" t="s">
        <v>2418</v>
      </c>
      <c r="G65" s="3" t="s">
        <v>2617</v>
      </c>
      <c r="H65" s="3" t="str">
        <f>HYPERLINK("http://www.jccm.es/sede/tramite/J8W","AUTORIZACION DE CONCENTRACION DE TRABAJOS")</f>
        <v>AUTORIZACION DE CONCENTRACION DE TRABAJOS</v>
      </c>
      <c r="I65" s="3" t="s">
        <v>42</v>
      </c>
      <c r="J65" s="3" t="s">
        <v>41</v>
      </c>
      <c r="K65" s="3" t="s">
        <v>42</v>
      </c>
      <c r="L65" s="3" t="s">
        <v>41</v>
      </c>
    </row>
    <row r="66" spans="1:12" ht="45.95">
      <c r="A66" s="3" t="s">
        <v>2618</v>
      </c>
      <c r="B66" s="3" t="s">
        <v>2619</v>
      </c>
      <c r="C66" s="3" t="s">
        <v>95</v>
      </c>
      <c r="D66" s="3" t="s">
        <v>95</v>
      </c>
      <c r="E66" s="3" t="s">
        <v>2417</v>
      </c>
      <c r="F66" s="3" t="s">
        <v>2418</v>
      </c>
      <c r="G66" s="3" t="s">
        <v>2620</v>
      </c>
      <c r="H66" s="3" t="str">
        <f>HYPERLINK("http://www.jccm.es/sede/tramite/JEK","DECLARACION RESPONSABLE DE ORGANISMOS DE CONTROL EN MATERIA DE SEGURIDAD INDUSTRIAL")</f>
        <v>DECLARACION RESPONSABLE DE ORGANISMOS DE CONTROL EN MATERIA DE SEGURIDAD INDUSTRIAL</v>
      </c>
      <c r="I66" s="3" t="s">
        <v>42</v>
      </c>
      <c r="J66" s="3" t="s">
        <v>41</v>
      </c>
      <c r="K66" s="3" t="s">
        <v>42</v>
      </c>
      <c r="L66" s="3" t="s">
        <v>41</v>
      </c>
    </row>
    <row r="67" spans="1:12" ht="57.6">
      <c r="A67" s="3" t="s">
        <v>2621</v>
      </c>
      <c r="B67" s="3" t="s">
        <v>2622</v>
      </c>
      <c r="C67" s="3" t="s">
        <v>95</v>
      </c>
      <c r="D67" s="3" t="s">
        <v>95</v>
      </c>
      <c r="E67" s="3" t="s">
        <v>2417</v>
      </c>
      <c r="F67" s="3" t="s">
        <v>2510</v>
      </c>
      <c r="G67" s="3" t="s">
        <v>2623</v>
      </c>
      <c r="H67" s="3" t="str">
        <f>HYPERLINK("http://www.jccm.es/sede/tramite/JNW","COMUNICACION DE CORTA")</f>
        <v>COMUNICACION DE CORTA</v>
      </c>
      <c r="I67" s="3" t="s">
        <v>42</v>
      </c>
      <c r="J67" s="3" t="s">
        <v>41</v>
      </c>
      <c r="K67" s="3" t="s">
        <v>42</v>
      </c>
      <c r="L67" s="3" t="s">
        <v>41</v>
      </c>
    </row>
    <row r="68" spans="1:12" ht="45.95">
      <c r="A68" s="3" t="s">
        <v>2624</v>
      </c>
      <c r="B68" s="3" t="s">
        <v>2625</v>
      </c>
      <c r="C68" s="3" t="s">
        <v>2626</v>
      </c>
      <c r="D68" s="3" t="s">
        <v>46</v>
      </c>
      <c r="E68" s="3" t="s">
        <v>2417</v>
      </c>
      <c r="F68" s="3" t="s">
        <v>2570</v>
      </c>
      <c r="G68" s="3" t="s">
        <v>2627</v>
      </c>
      <c r="H68" s="3" t="str">
        <f>HYPERLINK("http://www.jccm.es/sede/tramite/JL5","REGIMEN DE PUNTOS LIMPIOS FIJOS EN CASTILLA-LA MANCHA")</f>
        <v>REGIMEN DE PUNTOS LIMPIOS FIJOS EN CASTILLA-LA MANCHA</v>
      </c>
      <c r="I68" s="3" t="s">
        <v>41</v>
      </c>
      <c r="J68" s="3" t="s">
        <v>41</v>
      </c>
      <c r="K68" s="3" t="s">
        <v>42</v>
      </c>
      <c r="L68" s="3" t="s">
        <v>41</v>
      </c>
    </row>
    <row r="69" spans="1:12" ht="45.95">
      <c r="A69" s="3" t="s">
        <v>2628</v>
      </c>
      <c r="B69" s="3" t="s">
        <v>2629</v>
      </c>
      <c r="C69" s="3" t="s">
        <v>95</v>
      </c>
      <c r="D69" s="3" t="s">
        <v>95</v>
      </c>
      <c r="E69" s="3" t="s">
        <v>2417</v>
      </c>
      <c r="F69" s="3" t="s">
        <v>2570</v>
      </c>
      <c r="G69" s="3" t="s">
        <v>2630</v>
      </c>
      <c r="H69" s="3" t="str">
        <f>HYPERLINK("http://www.jccm.es/sede/tramite/JL6","COMUNICACION DE INICIO DE ACTIVIDAD DE PUNTO LIMPIO MOVIL EN CASTILLA-LA MANCHA")</f>
        <v>COMUNICACION DE INICIO DE ACTIVIDAD DE PUNTO LIMPIO MOVIL EN CASTILLA-LA MANCHA</v>
      </c>
      <c r="I69" s="3" t="s">
        <v>41</v>
      </c>
      <c r="J69" s="3" t="s">
        <v>41</v>
      </c>
      <c r="K69" s="3" t="s">
        <v>42</v>
      </c>
      <c r="L69" s="3" t="s">
        <v>41</v>
      </c>
    </row>
    <row r="70" spans="1:12" ht="57.6">
      <c r="A70" s="3" t="s">
        <v>2631</v>
      </c>
      <c r="B70" s="3" t="s">
        <v>2632</v>
      </c>
      <c r="C70" s="3" t="s">
        <v>45</v>
      </c>
      <c r="D70" s="3" t="s">
        <v>46</v>
      </c>
      <c r="E70" s="3" t="s">
        <v>2417</v>
      </c>
      <c r="F70" s="3" t="s">
        <v>2510</v>
      </c>
      <c r="G70" s="3" t="s">
        <v>2633</v>
      </c>
      <c r="H70" s="3" t="str">
        <f>HYPERLINK("http://www.jccm.es/sede/tramite/JSG","AUTORIZACION PARA LA CESION DE ESPECIES SILVESTRES PROVENIENTES DE CENTROS DE FAUNA")</f>
        <v>AUTORIZACION PARA LA CESION DE ESPECIES SILVESTRES PROVENIENTES DE CENTROS DE FAUNA</v>
      </c>
      <c r="I70" s="3" t="s">
        <v>42</v>
      </c>
      <c r="J70" s="3" t="s">
        <v>41</v>
      </c>
      <c r="K70" s="3" t="s">
        <v>42</v>
      </c>
      <c r="L70" s="3" t="s">
        <v>41</v>
      </c>
    </row>
    <row r="71" spans="1:12" ht="57.6">
      <c r="A71" s="3" t="s">
        <v>2634</v>
      </c>
      <c r="B71" s="3" t="s">
        <v>2635</v>
      </c>
      <c r="C71" s="3" t="s">
        <v>45</v>
      </c>
      <c r="D71" s="3" t="s">
        <v>46</v>
      </c>
      <c r="E71" s="3" t="s">
        <v>2417</v>
      </c>
      <c r="F71" s="3" t="s">
        <v>2510</v>
      </c>
      <c r="G71" s="3" t="s">
        <v>2636</v>
      </c>
      <c r="H71" s="3" t="str">
        <f>HYPERLINK("http://www.jccm.es/sede/tramite/JSD","AUTORIZACION PARA LA TOMA DE IMAGENES EN EL MEDIO NATURAL")</f>
        <v>AUTORIZACION PARA LA TOMA DE IMAGENES EN EL MEDIO NATURAL</v>
      </c>
      <c r="I71" s="3" t="s">
        <v>42</v>
      </c>
      <c r="J71" s="3" t="s">
        <v>41</v>
      </c>
      <c r="K71" s="3" t="s">
        <v>42</v>
      </c>
      <c r="L71" s="3" t="s">
        <v>41</v>
      </c>
    </row>
    <row r="72" spans="1:12" ht="45.95">
      <c r="A72" s="3" t="s">
        <v>2637</v>
      </c>
      <c r="B72" s="3" t="s">
        <v>2638</v>
      </c>
      <c r="C72" s="3" t="s">
        <v>95</v>
      </c>
      <c r="D72" s="3" t="s">
        <v>2112</v>
      </c>
      <c r="E72" s="3" t="s">
        <v>2417</v>
      </c>
      <c r="F72" s="3" t="s">
        <v>2570</v>
      </c>
      <c r="G72" s="3" t="s">
        <v>2639</v>
      </c>
      <c r="H72" s="3" t="str">
        <f>HYPERLINK("http://www.jccm.es/sede/tramite/JVL","REMISION DEL INFORME PRELIMINAR DE SITUACION DEL SUELO E INFORME PERIODICO DE SEGUIMIENTO.")</f>
        <v>REMISION DEL INFORME PRELIMINAR DE SITUACION DEL SUELO E INFORME PERIODICO DE SEGUIMIENTO.</v>
      </c>
      <c r="I72" s="3" t="s">
        <v>41</v>
      </c>
      <c r="J72" s="3" t="s">
        <v>41</v>
      </c>
      <c r="K72" s="3" t="s">
        <v>42</v>
      </c>
      <c r="L72" s="3" t="s">
        <v>41</v>
      </c>
    </row>
    <row r="73" spans="1:12" ht="45.95">
      <c r="A73" s="3" t="s">
        <v>2640</v>
      </c>
      <c r="B73" s="3" t="s">
        <v>2641</v>
      </c>
      <c r="C73" s="3" t="s">
        <v>459</v>
      </c>
      <c r="D73" s="3" t="s">
        <v>46</v>
      </c>
      <c r="E73" s="3" t="s">
        <v>2417</v>
      </c>
      <c r="F73" s="3" t="s">
        <v>2418</v>
      </c>
      <c r="G73" s="3" t="s">
        <v>2642</v>
      </c>
      <c r="H73" s="3" t="str">
        <f>HYPERLINK("http://www.jccm.es/sede/tramite/JWE","AUTORIZACION COTOS MINEROS")</f>
        <v>AUTORIZACION COTOS MINEROS</v>
      </c>
      <c r="I73" s="3" t="s">
        <v>42</v>
      </c>
      <c r="J73" s="3" t="s">
        <v>41</v>
      </c>
      <c r="K73" s="3" t="s">
        <v>42</v>
      </c>
      <c r="L73" s="3" t="s">
        <v>41</v>
      </c>
    </row>
    <row r="74" spans="1:12" ht="45.95">
      <c r="A74" s="3" t="s">
        <v>2643</v>
      </c>
      <c r="B74" s="3" t="s">
        <v>2644</v>
      </c>
      <c r="C74" s="3" t="s">
        <v>459</v>
      </c>
      <c r="D74" s="3" t="s">
        <v>46</v>
      </c>
      <c r="E74" s="3" t="s">
        <v>2417</v>
      </c>
      <c r="F74" s="3" t="s">
        <v>2418</v>
      </c>
      <c r="G74" s="3" t="s">
        <v>2645</v>
      </c>
      <c r="H74" s="3" t="str">
        <f>HYPERLINK("http://www.jccm.es/sede/tramite/JWF","CADUCIDAD DE DERECHOS MINEROS")</f>
        <v>CADUCIDAD DE DERECHOS MINEROS</v>
      </c>
      <c r="I74" s="3" t="s">
        <v>42</v>
      </c>
      <c r="J74" s="3" t="s">
        <v>41</v>
      </c>
      <c r="K74" s="3" t="s">
        <v>42</v>
      </c>
      <c r="L74" s="3" t="s">
        <v>41</v>
      </c>
    </row>
    <row r="75" spans="1:12" ht="57.6">
      <c r="A75" s="3" t="s">
        <v>2646</v>
      </c>
      <c r="B75" s="3" t="s">
        <v>2647</v>
      </c>
      <c r="C75" s="3" t="s">
        <v>45</v>
      </c>
      <c r="D75" s="3" t="s">
        <v>46</v>
      </c>
      <c r="E75" s="3" t="s">
        <v>2417</v>
      </c>
      <c r="F75" s="3" t="s">
        <v>2418</v>
      </c>
      <c r="G75" s="3" t="s">
        <v>2648</v>
      </c>
      <c r="H75" s="3" t="str">
        <f>HYPERLINK("http://www.jccm.es/sede/tramite/JYA","AMPLIACION DEL PLAZO ESTABLECIDO POR RESOLUCION PARA INSTALACIONES ELECTRICAS O GASISTICAS AUTORIZADAS")</f>
        <v>AMPLIACION DEL PLAZO ESTABLECIDO POR RESOLUCION PARA INSTALACIONES ELECTRICAS O GASISTICAS AUTORIZADAS</v>
      </c>
      <c r="I75" s="3" t="s">
        <v>42</v>
      </c>
      <c r="J75" s="3" t="s">
        <v>41</v>
      </c>
      <c r="K75" s="3" t="s">
        <v>42</v>
      </c>
      <c r="L75" s="3" t="s">
        <v>41</v>
      </c>
    </row>
    <row r="76" spans="1:12" ht="69">
      <c r="A76" s="3" t="s">
        <v>2649</v>
      </c>
      <c r="B76" s="3" t="s">
        <v>2650</v>
      </c>
      <c r="C76" s="3" t="s">
        <v>95</v>
      </c>
      <c r="D76" s="3" t="s">
        <v>95</v>
      </c>
      <c r="E76" s="3" t="s">
        <v>2417</v>
      </c>
      <c r="F76" s="3" t="s">
        <v>2570</v>
      </c>
      <c r="G76" s="3" t="s">
        <v>2651</v>
      </c>
      <c r="H76" s="3" t="str">
        <f>HYPERLINK("http://www.jccm.es/sede/tramite/JNX","COMUNICACION DE INICIO DE ACTIVIDAD EN EL REGISTRO DE PRODUCCION Y GESTION DE RESIDUOS DE CASTILLA-LA MANCHA. AGENTES Y NEGOCIANTES")</f>
        <v>COMUNICACION DE INICIO DE ACTIVIDAD EN EL REGISTRO DE PRODUCCION Y GESTION DE RESIDUOS DE CASTILLA-LA MANCHA. AGENTES Y NEGOCIANTES</v>
      </c>
      <c r="I76" s="3" t="s">
        <v>42</v>
      </c>
      <c r="J76" s="3" t="s">
        <v>41</v>
      </c>
      <c r="K76" s="3" t="s">
        <v>42</v>
      </c>
      <c r="L76" s="3" t="s">
        <v>42</v>
      </c>
    </row>
    <row r="77" spans="1:12" ht="57.6">
      <c r="A77" s="3" t="s">
        <v>2652</v>
      </c>
      <c r="B77" s="3" t="s">
        <v>2653</v>
      </c>
      <c r="C77" s="3" t="s">
        <v>95</v>
      </c>
      <c r="D77" s="3" t="s">
        <v>95</v>
      </c>
      <c r="E77" s="3" t="s">
        <v>2417</v>
      </c>
      <c r="F77" s="3" t="s">
        <v>2570</v>
      </c>
      <c r="G77" s="3" t="s">
        <v>2654</v>
      </c>
      <c r="H77" s="3" t="str">
        <f>HYPERLINK("http://www.jccm.es/sede/tramite/JYS","NOTIFICACION DE ACTIVIDADES POTENCIALMENTE CONTAMINADORAS DE LA ATMOSFERA DEL GRUPO C.")</f>
        <v>NOTIFICACION DE ACTIVIDADES POTENCIALMENTE CONTAMINADORAS DE LA ATMOSFERA DEL GRUPO C.</v>
      </c>
      <c r="I77" s="3" t="s">
        <v>42</v>
      </c>
      <c r="J77" s="3" t="s">
        <v>41</v>
      </c>
      <c r="K77" s="3" t="s">
        <v>42</v>
      </c>
      <c r="L77" s="3" t="s">
        <v>41</v>
      </c>
    </row>
    <row r="78" spans="1:12" ht="45.95">
      <c r="A78" s="3" t="s">
        <v>2655</v>
      </c>
      <c r="B78" s="3" t="s">
        <v>2656</v>
      </c>
      <c r="C78" s="3" t="s">
        <v>95</v>
      </c>
      <c r="D78" s="3" t="s">
        <v>37</v>
      </c>
      <c r="E78" s="3" t="s">
        <v>2417</v>
      </c>
      <c r="F78" s="3" t="s">
        <v>2418</v>
      </c>
      <c r="G78" s="3" t="s">
        <v>2657</v>
      </c>
      <c r="H78" s="3" t="str">
        <f>HYPERLINK("http://www.jccm.es/sede/tramite/JYT","COMUNICACION DE APORTACION DE MEMORIA ANUAL DE ACTIVIDADES DE ESTACIONES DE ITV")</f>
        <v>COMUNICACION DE APORTACION DE MEMORIA ANUAL DE ACTIVIDADES DE ESTACIONES DE ITV</v>
      </c>
      <c r="I78" s="3" t="s">
        <v>42</v>
      </c>
      <c r="J78" s="3" t="s">
        <v>41</v>
      </c>
      <c r="K78" s="3" t="s">
        <v>42</v>
      </c>
      <c r="L78" s="3" t="s">
        <v>41</v>
      </c>
    </row>
    <row r="79" spans="1:12" ht="69">
      <c r="A79" s="3" t="s">
        <v>2658</v>
      </c>
      <c r="B79" s="3" t="s">
        <v>2659</v>
      </c>
      <c r="C79" s="3" t="s">
        <v>95</v>
      </c>
      <c r="D79" s="3" t="s">
        <v>37</v>
      </c>
      <c r="E79" s="3" t="s">
        <v>2417</v>
      </c>
      <c r="F79" s="3" t="s">
        <v>2418</v>
      </c>
      <c r="G79" s="3" t="s">
        <v>2660</v>
      </c>
      <c r="H79" s="3" t="str">
        <f>HYPERLINK("http://www.jccm.es/sede/tramite/JYU","COMUNICACION DE APORTACION DE MEMORIA ANUAL DE ACTIVIDADES DE ORGANISMOS AUTORIZADOS DE VERIFICACION METROLOGICA")</f>
        <v>COMUNICACION DE APORTACION DE MEMORIA ANUAL DE ACTIVIDADES DE ORGANISMOS AUTORIZADOS DE VERIFICACION METROLOGICA</v>
      </c>
      <c r="I79" s="3" t="s">
        <v>42</v>
      </c>
      <c r="J79" s="3" t="s">
        <v>41</v>
      </c>
      <c r="K79" s="3" t="s">
        <v>42</v>
      </c>
      <c r="L79" s="3" t="s">
        <v>41</v>
      </c>
    </row>
    <row r="80" spans="1:12" ht="57.6">
      <c r="A80" s="3" t="s">
        <v>2661</v>
      </c>
      <c r="B80" s="3" t="s">
        <v>2662</v>
      </c>
      <c r="C80" s="3" t="s">
        <v>95</v>
      </c>
      <c r="D80" s="3" t="s">
        <v>37</v>
      </c>
      <c r="E80" s="3" t="s">
        <v>2417</v>
      </c>
      <c r="F80" s="3" t="s">
        <v>2418</v>
      </c>
      <c r="G80" s="3" t="s">
        <v>2663</v>
      </c>
      <c r="H80" s="3" t="str">
        <f>HYPERLINK("http://www.jccm.es/sede/tramite/JZ1","COMUNICACION DE APORTACION DE MEMORIA ANUAL DE ACTIVIDADES DE ORGANISMOS DE CONTROL (OCAS)")</f>
        <v>COMUNICACION DE APORTACION DE MEMORIA ANUAL DE ACTIVIDADES DE ORGANISMOS DE CONTROL (OCAS)</v>
      </c>
      <c r="I80" s="3" t="s">
        <v>42</v>
      </c>
      <c r="J80" s="3" t="s">
        <v>41</v>
      </c>
      <c r="K80" s="3" t="s">
        <v>42</v>
      </c>
      <c r="L80" s="3" t="s">
        <v>41</v>
      </c>
    </row>
    <row r="81" spans="1:12" ht="80.45">
      <c r="A81" s="3" t="s">
        <v>2664</v>
      </c>
      <c r="B81" s="3" t="s">
        <v>2665</v>
      </c>
      <c r="C81" s="3" t="s">
        <v>70</v>
      </c>
      <c r="D81" s="3" t="s">
        <v>37</v>
      </c>
      <c r="E81" s="3" t="s">
        <v>2417</v>
      </c>
      <c r="F81" s="3" t="s">
        <v>2570</v>
      </c>
      <c r="G81" s="3" t="s">
        <v>2666</v>
      </c>
      <c r="H81" s="3" t="str">
        <f>HYPERLINK("http://www.jccm.es/sede/tramite/IRS","AUTORIZACION, RENOVACION Y/O MODIFICACION DE  ENTIDADES Y PROFESIONALES PARA EL SEGUIMIENTO Y CONTROL DE ACTIVIDADES SOMETIDAS A EVALUACION DE IMPACTO AMBIENTAL")</f>
        <v>AUTORIZACION, RENOVACION Y/O MODIFICACION DE  ENTIDADES Y PROFESIONALES PARA EL SEGUIMIENTO Y CONTROL DE ACTIVIDADES SOMETIDAS A EVALUACION DE IMPACTO AMBIENTAL</v>
      </c>
      <c r="I81" s="3" t="s">
        <v>42</v>
      </c>
      <c r="J81" s="3" t="s">
        <v>41</v>
      </c>
      <c r="K81" s="3" t="s">
        <v>42</v>
      </c>
      <c r="L81" s="3" t="s">
        <v>41</v>
      </c>
    </row>
    <row r="82" spans="1:12" ht="69">
      <c r="A82" s="3" t="s">
        <v>2667</v>
      </c>
      <c r="B82" s="3" t="s">
        <v>2668</v>
      </c>
      <c r="C82" s="3" t="s">
        <v>95</v>
      </c>
      <c r="D82" s="3" t="s">
        <v>2112</v>
      </c>
      <c r="E82" s="3" t="s">
        <v>2417</v>
      </c>
      <c r="F82" s="3" t="s">
        <v>2570</v>
      </c>
      <c r="G82" s="3" t="s">
        <v>2669</v>
      </c>
      <c r="H82" s="3" t="str">
        <f>HYPERLINK("http://www.jccm.es/sede/tramite/JZD","NOTIFICACION DE INICIO DE ACTUACION DE ORGANISMO DE CONTROL AUTORIZADOS EN EL AREA DE ATMOSFERA EN EL AMBITO TERRITORIAL DE CASTILLA-LA MANCHA")</f>
        <v>NOTIFICACION DE INICIO DE ACTUACION DE ORGANISMO DE CONTROL AUTORIZADOS EN EL AREA DE ATMOSFERA EN EL AMBITO TERRITORIAL DE CASTILLA-LA MANCHA</v>
      </c>
      <c r="I82" s="3" t="s">
        <v>42</v>
      </c>
      <c r="J82" s="3" t="s">
        <v>41</v>
      </c>
      <c r="K82" s="3" t="s">
        <v>42</v>
      </c>
      <c r="L82" s="3" t="s">
        <v>41</v>
      </c>
    </row>
    <row r="83" spans="1:12" ht="45.95">
      <c r="A83" s="3" t="s">
        <v>2670</v>
      </c>
      <c r="B83" s="3" t="s">
        <v>2671</v>
      </c>
      <c r="C83" s="3" t="s">
        <v>45</v>
      </c>
      <c r="D83" s="3" t="s">
        <v>46</v>
      </c>
      <c r="E83" s="3" t="s">
        <v>2417</v>
      </c>
      <c r="F83" s="3" t="s">
        <v>2418</v>
      </c>
      <c r="G83" s="3" t="s">
        <v>2672</v>
      </c>
      <c r="H83" s="3" t="str">
        <f>HYPERLINK("http://www.jccm.es/sede/tramite/JZT","CONCURSO PUBLICO DE DERECHOS MINEROS")</f>
        <v>CONCURSO PUBLICO DE DERECHOS MINEROS</v>
      </c>
      <c r="I83" s="3" t="s">
        <v>42</v>
      </c>
      <c r="J83" s="3" t="s">
        <v>41</v>
      </c>
      <c r="K83" s="3" t="s">
        <v>42</v>
      </c>
      <c r="L83" s="3" t="s">
        <v>41</v>
      </c>
    </row>
    <row r="84" spans="1:12" ht="103.5">
      <c r="A84" s="3" t="s">
        <v>2673</v>
      </c>
      <c r="B84" s="3" t="s">
        <v>2674</v>
      </c>
      <c r="C84" s="3" t="s">
        <v>95</v>
      </c>
      <c r="D84" s="3" t="s">
        <v>95</v>
      </c>
      <c r="E84" s="3" t="s">
        <v>2417</v>
      </c>
      <c r="F84" s="3" t="s">
        <v>2510</v>
      </c>
      <c r="G84" s="3" t="s">
        <v>2675</v>
      </c>
      <c r="H84" s="3" t="str">
        <f>HYPERLINK("http://www.jccm.es/sede/tramite/JF3","COMUNICACION DE REALIZACION DE ACCIONES EXCEPCIONALES PARA EL CONTROL DE DAÑOS PRODUCIDOS POR ESPECIES CINEGETICAS AUTORIZADAS EN LA RESOLUCION APROBATORIA DEL PLAN DE ORDENACION CINEGETICA")</f>
        <v>COMUNICACION DE REALIZACION DE ACCIONES EXCEPCIONALES PARA EL CONTROL DE DAÑOS PRODUCIDOS POR ESPECIES CINEGETICAS AUTORIZADAS EN LA RESOLUCION APROBATORIA DEL PLAN DE ORDENACION CINEGETICA</v>
      </c>
      <c r="I84" s="3" t="s">
        <v>41</v>
      </c>
      <c r="J84" s="3" t="s">
        <v>41</v>
      </c>
      <c r="K84" s="3" t="s">
        <v>42</v>
      </c>
      <c r="L84" s="3" t="s">
        <v>41</v>
      </c>
    </row>
    <row r="85" spans="1:12" ht="57.6">
      <c r="A85" s="3" t="s">
        <v>2676</v>
      </c>
      <c r="B85" s="3" t="s">
        <v>2677</v>
      </c>
      <c r="C85" s="3" t="s">
        <v>327</v>
      </c>
      <c r="D85" s="3" t="s">
        <v>46</v>
      </c>
      <c r="E85" s="3" t="s">
        <v>2417</v>
      </c>
      <c r="F85" s="3" t="s">
        <v>2510</v>
      </c>
      <c r="G85" s="3" t="s">
        <v>2678</v>
      </c>
      <c r="H85" s="3" t="str">
        <f>HYPERLINK("http://www.jccm.es/sede/tramite/K17","HOMOLOGACION DE METODOS DE CAPTURA DE ESPECIES CINEGETICAS DEPREDADORAS, PERROS Y GATOS DOMESTICOS ASILVESTRADOS.")</f>
        <v>HOMOLOGACION DE METODOS DE CAPTURA DE ESPECIES CINEGETICAS DEPREDADORAS, PERROS Y GATOS DOMESTICOS ASILVESTRADOS.</v>
      </c>
      <c r="I85" s="3" t="s">
        <v>42</v>
      </c>
      <c r="J85" s="3" t="s">
        <v>41</v>
      </c>
      <c r="K85" s="3" t="s">
        <v>42</v>
      </c>
      <c r="L85" s="3" t="s">
        <v>41</v>
      </c>
    </row>
    <row r="86" spans="1:12" ht="45.95">
      <c r="A86" s="3" t="s">
        <v>2679</v>
      </c>
      <c r="B86" s="3" t="s">
        <v>2680</v>
      </c>
      <c r="C86" s="3" t="s">
        <v>45</v>
      </c>
      <c r="D86" s="3" t="s">
        <v>46</v>
      </c>
      <c r="E86" s="3" t="s">
        <v>2417</v>
      </c>
      <c r="F86" s="3" t="s">
        <v>2570</v>
      </c>
      <c r="G86" s="3" t="s">
        <v>2681</v>
      </c>
      <c r="H86" s="3" t="str">
        <f>HYPERLINK("http://www.jccm.es/sede/tramite/JBE","AUTORIZACION DE EMISION DE GASES DE EFECTO INVERNADERO")</f>
        <v>AUTORIZACION DE EMISION DE GASES DE EFECTO INVERNADERO</v>
      </c>
      <c r="I86" s="3" t="s">
        <v>41</v>
      </c>
      <c r="J86" s="3" t="s">
        <v>41</v>
      </c>
      <c r="K86" s="3" t="s">
        <v>42</v>
      </c>
      <c r="L86" s="3" t="s">
        <v>41</v>
      </c>
    </row>
    <row r="87" spans="1:12" ht="57.6">
      <c r="A87" s="3" t="s">
        <v>2682</v>
      </c>
      <c r="B87" s="3" t="s">
        <v>2683</v>
      </c>
      <c r="C87" s="3" t="s">
        <v>45</v>
      </c>
      <c r="D87" s="3" t="s">
        <v>46</v>
      </c>
      <c r="E87" s="3" t="s">
        <v>2417</v>
      </c>
      <c r="F87" s="3" t="s">
        <v>2510</v>
      </c>
      <c r="G87" s="3" t="s">
        <v>2684</v>
      </c>
      <c r="H87" s="3" t="str">
        <f>HYPERLINK("http://www.jccm.es/sede/tramite/JH1","APROBACION O REVISION DEL PLAN TECNICO DE PESCA")</f>
        <v>APROBACION O REVISION DEL PLAN TECNICO DE PESCA</v>
      </c>
      <c r="I87" s="3" t="s">
        <v>42</v>
      </c>
      <c r="J87" s="3" t="s">
        <v>41</v>
      </c>
      <c r="K87" s="3" t="s">
        <v>42</v>
      </c>
      <c r="L87" s="3" t="s">
        <v>41</v>
      </c>
    </row>
    <row r="88" spans="1:12" ht="57.6">
      <c r="A88" s="3" t="s">
        <v>2685</v>
      </c>
      <c r="B88" s="3" t="s">
        <v>2686</v>
      </c>
      <c r="C88" s="3" t="s">
        <v>95</v>
      </c>
      <c r="D88" s="3" t="s">
        <v>95</v>
      </c>
      <c r="E88" s="3" t="s">
        <v>2417</v>
      </c>
      <c r="F88" s="3" t="s">
        <v>2510</v>
      </c>
      <c r="G88" s="3" t="s">
        <v>2687</v>
      </c>
      <c r="H88" s="3" t="str">
        <f>HYPERLINK("http://www.jccm.es/sede/tramite/KAU","COMUNICACION DE APROVECHAMIENTO FORESTAL (MONTES CON INSTRUMENTO DE GESTION FORESTAL SOSTENIBLE -IGFS-)")</f>
        <v>COMUNICACION DE APROVECHAMIENTO FORESTAL (MONTES CON INSTRUMENTO DE GESTION FORESTAL SOSTENIBLE -IGFS-)</v>
      </c>
      <c r="I88" s="3" t="s">
        <v>42</v>
      </c>
      <c r="J88" s="3" t="s">
        <v>41</v>
      </c>
      <c r="K88" s="3" t="s">
        <v>42</v>
      </c>
      <c r="L88" s="3" t="s">
        <v>41</v>
      </c>
    </row>
    <row r="89" spans="1:12" ht="45.95">
      <c r="A89" s="3" t="s">
        <v>2688</v>
      </c>
      <c r="B89" s="3" t="s">
        <v>2689</v>
      </c>
      <c r="C89" s="3" t="s">
        <v>95</v>
      </c>
      <c r="D89" s="3" t="s">
        <v>95</v>
      </c>
      <c r="E89" s="3" t="s">
        <v>2417</v>
      </c>
      <c r="F89" s="3" t="s">
        <v>2570</v>
      </c>
      <c r="G89" s="3" t="s">
        <v>2690</v>
      </c>
      <c r="H89" s="3" t="str">
        <f>HYPERLINK("http://www.jccm.es/sede/tramite/JAY","COMUNICACION DE PRODUCTORES DE LODO DE EDAR")</f>
        <v>COMUNICACION DE PRODUCTORES DE LODO DE EDAR</v>
      </c>
      <c r="I89" s="3" t="s">
        <v>41</v>
      </c>
      <c r="J89" s="3" t="s">
        <v>41</v>
      </c>
      <c r="K89" s="3" t="s">
        <v>42</v>
      </c>
      <c r="L89" s="3" t="s">
        <v>41</v>
      </c>
    </row>
    <row r="90" spans="1:12" ht="69">
      <c r="A90" s="3" t="s">
        <v>2691</v>
      </c>
      <c r="B90" s="3" t="s">
        <v>2692</v>
      </c>
      <c r="C90" s="3" t="s">
        <v>95</v>
      </c>
      <c r="D90" s="3" t="s">
        <v>95</v>
      </c>
      <c r="E90" s="3" t="s">
        <v>2417</v>
      </c>
      <c r="F90" s="3" t="s">
        <v>2570</v>
      </c>
      <c r="G90" s="3" t="s">
        <v>2693</v>
      </c>
      <c r="H90" s="3" t="str">
        <f>HYPERLINK("http://www.jccm.es/sede/tramite/K2B","ASIGNACION GRATUITA DE DERECHOS DE EMISION DE GASES DE EFECTO INVERNADERO PARA NUEVOS ENTRANTES PARA EL PERIDO 2021-2030.")</f>
        <v>ASIGNACION GRATUITA DE DERECHOS DE EMISION DE GASES DE EFECTO INVERNADERO PARA NUEVOS ENTRANTES PARA EL PERIDO 2021-2030.</v>
      </c>
      <c r="I90" s="3" t="s">
        <v>41</v>
      </c>
      <c r="J90" s="3" t="s">
        <v>41</v>
      </c>
      <c r="K90" s="3" t="s">
        <v>42</v>
      </c>
      <c r="L90" s="3" t="s">
        <v>41</v>
      </c>
    </row>
    <row r="91" spans="1:12" ht="45.95">
      <c r="A91" s="3" t="s">
        <v>2694</v>
      </c>
      <c r="B91" s="3" t="s">
        <v>2695</v>
      </c>
      <c r="C91" s="3" t="s">
        <v>70</v>
      </c>
      <c r="D91" s="3" t="s">
        <v>37</v>
      </c>
      <c r="E91" s="3" t="s">
        <v>2417</v>
      </c>
      <c r="F91" s="3" t="s">
        <v>2570</v>
      </c>
      <c r="G91" s="3" t="s">
        <v>2696</v>
      </c>
      <c r="H91" s="3" t="str">
        <f>HYPERLINK("http://www.jccm.es/sede/tramite/KDD","MODIFICACION DEL PLAN DE SEGUIMIENTO DE EMISIONES DE GASES DE EFECTO INVERNADERO.")</f>
        <v>MODIFICACION DEL PLAN DE SEGUIMIENTO DE EMISIONES DE GASES DE EFECTO INVERNADERO.</v>
      </c>
      <c r="I91" s="3" t="s">
        <v>41</v>
      </c>
      <c r="J91" s="3" t="s">
        <v>41</v>
      </c>
      <c r="K91" s="3" t="s">
        <v>42</v>
      </c>
      <c r="L91" s="3" t="s">
        <v>41</v>
      </c>
    </row>
    <row r="92" spans="1:12" ht="57.6">
      <c r="A92" s="3" t="s">
        <v>2697</v>
      </c>
      <c r="B92" s="3" t="s">
        <v>2698</v>
      </c>
      <c r="C92" s="3" t="s">
        <v>95</v>
      </c>
      <c r="D92" s="3" t="s">
        <v>95</v>
      </c>
      <c r="E92" s="3" t="s">
        <v>2417</v>
      </c>
      <c r="F92" s="3" t="s">
        <v>2510</v>
      </c>
      <c r="G92" s="3" t="s">
        <v>2699</v>
      </c>
      <c r="H92" s="3" t="str">
        <f>HYPERLINK("http://www.jccm.es/sede/tramite/KDH","COMUNICACION PARA LA REALIZACION DE REPOBLACIONES EN COTOS DE PESCA")</f>
        <v>COMUNICACION PARA LA REALIZACION DE REPOBLACIONES EN COTOS DE PESCA</v>
      </c>
      <c r="I92" s="3" t="s">
        <v>41</v>
      </c>
      <c r="J92" s="3" t="s">
        <v>41</v>
      </c>
      <c r="K92" s="3" t="s">
        <v>42</v>
      </c>
      <c r="L92" s="3" t="s">
        <v>41</v>
      </c>
    </row>
    <row r="93" spans="1:12" ht="57.6">
      <c r="A93" s="3" t="s">
        <v>2700</v>
      </c>
      <c r="B93" s="3" t="s">
        <v>2701</v>
      </c>
      <c r="C93" s="3" t="s">
        <v>45</v>
      </c>
      <c r="D93" s="3" t="s">
        <v>46</v>
      </c>
      <c r="E93" s="3" t="s">
        <v>2417</v>
      </c>
      <c r="F93" s="3" t="s">
        <v>2510</v>
      </c>
      <c r="G93" s="3" t="s">
        <v>2702</v>
      </c>
      <c r="H93" s="3" t="str">
        <f>HYPERLINK("http://www.jccm.es/sede/tramite/KEE","LICENCIA DE CAZA Y PESCA")</f>
        <v>LICENCIA DE CAZA Y PESCA</v>
      </c>
      <c r="I93" s="3" t="s">
        <v>42</v>
      </c>
      <c r="J93" s="3" t="s">
        <v>41</v>
      </c>
      <c r="K93" s="3" t="s">
        <v>42</v>
      </c>
      <c r="L93" s="3" t="s">
        <v>41</v>
      </c>
    </row>
    <row r="94" spans="1:12" ht="57.6">
      <c r="A94" s="3" t="s">
        <v>2703</v>
      </c>
      <c r="B94" s="3" t="s">
        <v>2704</v>
      </c>
      <c r="C94" s="3" t="s">
        <v>2705</v>
      </c>
      <c r="D94" s="3" t="s">
        <v>46</v>
      </c>
      <c r="E94" s="3" t="s">
        <v>2417</v>
      </c>
      <c r="F94" s="3" t="s">
        <v>2510</v>
      </c>
      <c r="G94" s="3" t="s">
        <v>2706</v>
      </c>
      <c r="H94" s="3" t="str">
        <f>HYPERLINK("http://www.jccm.es/sede/tramite/KGZ","ACTIVIDADES DEPORTIVAS DE AVENTURA EN EL PARQUE NATURAL DE LOS CALARES DEL MUNDO Y DE LA SIMA")</f>
        <v>ACTIVIDADES DEPORTIVAS DE AVENTURA EN EL PARQUE NATURAL DE LOS CALARES DEL MUNDO Y DE LA SIMA</v>
      </c>
      <c r="I94" s="3" t="s">
        <v>42</v>
      </c>
      <c r="J94" s="3" t="s">
        <v>41</v>
      </c>
      <c r="K94" s="3" t="s">
        <v>42</v>
      </c>
      <c r="L94" s="3" t="s">
        <v>41</v>
      </c>
    </row>
    <row r="95" spans="1:12" ht="57.6">
      <c r="A95" s="3" t="s">
        <v>2707</v>
      </c>
      <c r="B95" s="3" t="s">
        <v>2708</v>
      </c>
      <c r="C95" s="3" t="s">
        <v>62</v>
      </c>
      <c r="D95" s="3" t="s">
        <v>46</v>
      </c>
      <c r="E95" s="3" t="s">
        <v>2417</v>
      </c>
      <c r="F95" s="3" t="s">
        <v>2510</v>
      </c>
      <c r="G95" s="3" t="s">
        <v>2709</v>
      </c>
      <c r="H95" s="3" t="str">
        <f>HYPERLINK("http://www.jccm.es/sede/tramite/KOB","AUTORIZACION RECOLECCION SETAS CON CARACTER CIENTIFICO, DIVULGATIVO Y EDUCATIVO")</f>
        <v>AUTORIZACION RECOLECCION SETAS CON CARACTER CIENTIFICO, DIVULGATIVO Y EDUCATIVO</v>
      </c>
      <c r="I95" s="3" t="s">
        <v>42</v>
      </c>
      <c r="J95" s="3" t="s">
        <v>41</v>
      </c>
      <c r="K95" s="3" t="s">
        <v>42</v>
      </c>
      <c r="L95" s="3" t="s">
        <v>41</v>
      </c>
    </row>
    <row r="96" spans="1:12" ht="45.95">
      <c r="A96" s="3" t="s">
        <v>2710</v>
      </c>
      <c r="B96" s="3" t="s">
        <v>2711</v>
      </c>
      <c r="C96" s="3" t="s">
        <v>95</v>
      </c>
      <c r="D96" s="3" t="s">
        <v>95</v>
      </c>
      <c r="E96" s="3" t="s">
        <v>2417</v>
      </c>
      <c r="F96" s="3" t="s">
        <v>2418</v>
      </c>
      <c r="G96" s="3" t="s">
        <v>2712</v>
      </c>
      <c r="H96" s="3" t="str">
        <f>HYPERLINK("http://www.jccm.es/sede/tramite/KP8","COMUNICACION DE AUDITORIA ENERGETICA")</f>
        <v>COMUNICACION DE AUDITORIA ENERGETICA</v>
      </c>
      <c r="I96" s="3" t="s">
        <v>41</v>
      </c>
      <c r="J96" s="3" t="s">
        <v>41</v>
      </c>
      <c r="K96" s="3" t="s">
        <v>42</v>
      </c>
      <c r="L96" s="3" t="s">
        <v>41</v>
      </c>
    </row>
    <row r="97" spans="1:12" ht="80.45">
      <c r="A97" s="3" t="s">
        <v>2713</v>
      </c>
      <c r="B97" s="3" t="s">
        <v>2714</v>
      </c>
      <c r="C97" s="3" t="s">
        <v>95</v>
      </c>
      <c r="D97" s="3" t="s">
        <v>95</v>
      </c>
      <c r="E97" s="3" t="s">
        <v>2417</v>
      </c>
      <c r="F97" s="3" t="s">
        <v>2510</v>
      </c>
      <c r="G97" s="3" t="s">
        <v>2715</v>
      </c>
      <c r="H97" s="3" t="str">
        <f>HYPERLINK("http://www.jccm.es/sede/tramite/KQD","COMUNICACION SOBRE EL CONTROL DE DAÑOS POR CONEJO DE MONTE EN COTOS DE CAZA INCLUIDOS EN LA DECLARACION DE COMARCA DE EMERGENCIA CINEGETICA TEMPORAL")</f>
        <v>COMUNICACION SOBRE EL CONTROL DE DAÑOS POR CONEJO DE MONTE EN COTOS DE CAZA INCLUIDOS EN LA DECLARACION DE COMARCA DE EMERGENCIA CINEGETICA TEMPORAL</v>
      </c>
      <c r="I97" s="3" t="s">
        <v>42</v>
      </c>
      <c r="J97" s="3" t="s">
        <v>41</v>
      </c>
      <c r="K97" s="3" t="s">
        <v>42</v>
      </c>
      <c r="L97" s="3" t="s">
        <v>41</v>
      </c>
    </row>
    <row r="98" spans="1:12" ht="57.6">
      <c r="A98" s="3" t="s">
        <v>2716</v>
      </c>
      <c r="B98" s="3" t="s">
        <v>2717</v>
      </c>
      <c r="C98" s="3" t="s">
        <v>45</v>
      </c>
      <c r="D98" s="3" t="s">
        <v>37</v>
      </c>
      <c r="E98" s="3" t="s">
        <v>2417</v>
      </c>
      <c r="F98" s="3" t="s">
        <v>2510</v>
      </c>
      <c r="G98" s="3" t="s">
        <v>2718</v>
      </c>
      <c r="H98" s="3" t="str">
        <f>HYPERLINK("http://www.jccm.es/sede/tramite/KRE","AUTORIZACION DE VUELO DE PROGENITORES INCLUIDOS EN PROYECTO DE CRIA AUTORIZADO")</f>
        <v>AUTORIZACION DE VUELO DE PROGENITORES INCLUIDOS EN PROYECTO DE CRIA AUTORIZADO</v>
      </c>
      <c r="I98" s="3" t="s">
        <v>42</v>
      </c>
      <c r="J98" s="3" t="s">
        <v>41</v>
      </c>
      <c r="K98" s="3" t="s">
        <v>42</v>
      </c>
      <c r="L98" s="3" t="s">
        <v>41</v>
      </c>
    </row>
    <row r="99" spans="1:12" ht="69">
      <c r="A99" s="3" t="s">
        <v>2719</v>
      </c>
      <c r="B99" s="3" t="s">
        <v>2720</v>
      </c>
      <c r="C99" s="3" t="s">
        <v>95</v>
      </c>
      <c r="D99" s="3" t="s">
        <v>95</v>
      </c>
      <c r="E99" s="3" t="s">
        <v>2417</v>
      </c>
      <c r="F99" s="3" t="s">
        <v>2570</v>
      </c>
      <c r="G99" s="3" t="s">
        <v>2721</v>
      </c>
      <c r="H99" s="3" t="str">
        <f>HYPERLINK("http://www.jccm.es/sede/tramite/KY7","COMUNICACION VALORIZACION DE MATERIALES NATURALES EXCAVADOS PARA SU UTILIZACION EN OPERACIONES DE RELLENO Y OBRAS DISTINTAS A AQUELLAS EN LAS QUE SE GENERARON")</f>
        <v>COMUNICACION VALORIZACION DE MATERIALES NATURALES EXCAVADOS PARA SU UTILIZACION EN OPERACIONES DE RELLENO Y OBRAS DISTINTAS A AQUELLAS EN LAS QUE SE GENERARON</v>
      </c>
      <c r="I99" s="3" t="s">
        <v>42</v>
      </c>
      <c r="J99" s="3" t="s">
        <v>41</v>
      </c>
      <c r="K99" s="3" t="s">
        <v>42</v>
      </c>
      <c r="L99" s="3" t="s">
        <v>41</v>
      </c>
    </row>
    <row r="100" spans="1:12" ht="80.45">
      <c r="A100" s="3" t="s">
        <v>2722</v>
      </c>
      <c r="B100" s="3" t="s">
        <v>2723</v>
      </c>
      <c r="C100" s="3" t="s">
        <v>2724</v>
      </c>
      <c r="D100" s="3" t="s">
        <v>46</v>
      </c>
      <c r="E100" s="3" t="s">
        <v>2417</v>
      </c>
      <c r="F100" s="3" t="s">
        <v>2581</v>
      </c>
      <c r="G100" s="3" t="s">
        <v>2725</v>
      </c>
      <c r="H100" s="3" t="str">
        <f>HYPERLINK("http://www.jccm.es/sede/tramite/L0B","AUTORIZACION Y SEGUIMIENTO DE SISTEMAS COLECTIVOS DE RESPONSABILIDAD AMPLIADA DEL PRODUCTOR")</f>
        <v>AUTORIZACION Y SEGUIMIENTO DE SISTEMAS COLECTIVOS DE RESPONSABILIDAD AMPLIADA DEL PRODUCTOR</v>
      </c>
      <c r="I100" s="3" t="s">
        <v>41</v>
      </c>
      <c r="J100" s="3" t="s">
        <v>41</v>
      </c>
      <c r="K100" s="3" t="s">
        <v>42</v>
      </c>
      <c r="L100" s="3" t="s">
        <v>41</v>
      </c>
    </row>
    <row r="101" spans="1:12" ht="57.6">
      <c r="A101" s="3" t="s">
        <v>2726</v>
      </c>
      <c r="B101" s="3" t="s">
        <v>2727</v>
      </c>
      <c r="C101" s="3" t="s">
        <v>95</v>
      </c>
      <c r="D101" s="3" t="s">
        <v>95</v>
      </c>
      <c r="E101" s="3" t="s">
        <v>2417</v>
      </c>
      <c r="F101" s="3" t="s">
        <v>2581</v>
      </c>
      <c r="G101" s="3" t="s">
        <v>2728</v>
      </c>
      <c r="H101" s="3" t="str">
        <f>HYPERLINK("http://www.jccm.es/sede/tramite/L0C","COMUNICACION PREVIA Y SEGUIMIENTO DE SISTEMAS INDIVIDUALES DE RESPONSABILIDAD AMPLIADA DEL PRODUCTOR")</f>
        <v>COMUNICACION PREVIA Y SEGUIMIENTO DE SISTEMAS INDIVIDUALES DE RESPONSABILIDAD AMPLIADA DEL PRODUCTOR</v>
      </c>
      <c r="I101" s="3" t="s">
        <v>41</v>
      </c>
      <c r="J101" s="3" t="s">
        <v>41</v>
      </c>
      <c r="K101" s="3" t="s">
        <v>42</v>
      </c>
      <c r="L101" s="3" t="s">
        <v>41</v>
      </c>
    </row>
    <row r="102" spans="1:12" ht="57.6">
      <c r="A102" s="3" t="s">
        <v>2729</v>
      </c>
      <c r="B102" s="3" t="s">
        <v>2730</v>
      </c>
      <c r="C102" s="3" t="s">
        <v>95</v>
      </c>
      <c r="D102" s="3" t="s">
        <v>95</v>
      </c>
      <c r="E102" s="3" t="s">
        <v>2417</v>
      </c>
      <c r="F102" s="3" t="s">
        <v>2510</v>
      </c>
      <c r="G102" s="3" t="s">
        <v>2731</v>
      </c>
      <c r="H102" s="3" t="str">
        <f>HYPERLINK("http://www.jccm.es/sede/tramite/L1E","SORTEO DE PERMISOS DE CAZA EN COTOS SOCIALES.")</f>
        <v>SORTEO DE PERMISOS DE CAZA EN COTOS SOCIALES.</v>
      </c>
      <c r="I102" s="3" t="s">
        <v>42</v>
      </c>
      <c r="J102" s="3" t="s">
        <v>41</v>
      </c>
      <c r="K102" s="3" t="s">
        <v>42</v>
      </c>
      <c r="L102" s="3" t="s">
        <v>41</v>
      </c>
    </row>
    <row r="103" spans="1:12" ht="45.95">
      <c r="A103" s="3" t="s">
        <v>2732</v>
      </c>
      <c r="B103" s="3" t="s">
        <v>2733</v>
      </c>
      <c r="C103" s="3" t="s">
        <v>95</v>
      </c>
      <c r="D103" s="3" t="s">
        <v>95</v>
      </c>
      <c r="E103" s="3" t="s">
        <v>2417</v>
      </c>
      <c r="F103" s="3" t="s">
        <v>2570</v>
      </c>
      <c r="G103" s="3" t="s">
        <v>2734</v>
      </c>
      <c r="H103" s="3" t="str">
        <f>HYPERLINK("http://www.jccm.es/sede/tramite/L1Z","COMUNICACION PREVIA PLATAFORMAS LOGISTICAS DE LA DISTRIBUCION RAEE")</f>
        <v>COMUNICACION PREVIA PLATAFORMAS LOGISTICAS DE LA DISTRIBUCION RAEE</v>
      </c>
      <c r="I103" s="3" t="s">
        <v>42</v>
      </c>
      <c r="J103" s="3" t="s">
        <v>41</v>
      </c>
      <c r="K103" s="3" t="s">
        <v>42</v>
      </c>
      <c r="L103" s="3" t="s">
        <v>41</v>
      </c>
    </row>
    <row r="104" spans="1:12" ht="161.1">
      <c r="A104" s="3" t="s">
        <v>2735</v>
      </c>
      <c r="B104" s="3" t="s">
        <v>2736</v>
      </c>
      <c r="C104" s="3" t="s">
        <v>2737</v>
      </c>
      <c r="D104" s="3" t="s">
        <v>37</v>
      </c>
      <c r="E104" s="3" t="s">
        <v>2417</v>
      </c>
      <c r="F104" s="3" t="s">
        <v>2570</v>
      </c>
      <c r="G104" s="3" t="s">
        <v>2738</v>
      </c>
      <c r="H104" s="3" t="str">
        <f>HYPERLINK("http://www.jccm.es/sede/tramite/L3Y","COMUNICACION DE AMENAZA INMINENTE DE DAÑOS Y/O DAÑOS, Y DE MEDIDAS DE PREVENCION Y EVITACION DE NUEVOS DAÑOS ADOPTADAS: INICIO DEL PROCEDIMIENTO DE EXIGENCIA DE RESPONSABILIDAD MEDIOAMBIENTAL")</f>
        <v>COMUNICACION DE AMENAZA INMINENTE DE DAÑOS Y/O DAÑOS, Y DE MEDIDAS DE PREVENCION Y EVITACION DE NUEVOS DAÑOS ADOPTADAS: INICIO DEL PROCEDIMIENTO DE EXIGENCIA DE RESPONSABILIDAD MEDIOAMBIENTAL</v>
      </c>
      <c r="I104" s="3" t="s">
        <v>42</v>
      </c>
      <c r="J104" s="3" t="s">
        <v>41</v>
      </c>
      <c r="K104" s="3" t="s">
        <v>42</v>
      </c>
      <c r="L104" s="3" t="s">
        <v>41</v>
      </c>
    </row>
    <row r="105" spans="1:12" ht="92.1">
      <c r="A105" s="3" t="s">
        <v>2739</v>
      </c>
      <c r="B105" s="3" t="s">
        <v>2740</v>
      </c>
      <c r="C105" s="3" t="s">
        <v>327</v>
      </c>
      <c r="D105" s="3" t="s">
        <v>46</v>
      </c>
      <c r="E105" s="3" t="s">
        <v>2417</v>
      </c>
      <c r="F105" s="3" t="s">
        <v>2510</v>
      </c>
      <c r="G105" s="3" t="s">
        <v>2741</v>
      </c>
      <c r="H105" s="3" t="str">
        <f>HYPERLINK("http://www.jccm.es/sede/tramite/L4Q","AUTORIZACION DE MATERIALES DE BASE PARA LA PRODUCCION DE MATERIALES FORESTALES DE REPRODUCCION DESTINADOS A LA COMERCIALIZACION EN LAS CATEGORIAS IDENTIFICADO Y CONTROLADO")</f>
        <v>AUTORIZACION DE MATERIALES DE BASE PARA LA PRODUCCION DE MATERIALES FORESTALES DE REPRODUCCION DESTINADOS A LA COMERCIALIZACION EN LAS CATEGORIAS IDENTIFICADO Y CONTROLADO</v>
      </c>
      <c r="I105" s="3" t="s">
        <v>42</v>
      </c>
      <c r="J105" s="3" t="s">
        <v>41</v>
      </c>
      <c r="K105" s="3" t="s">
        <v>42</v>
      </c>
      <c r="L105" s="3" t="s">
        <v>41</v>
      </c>
    </row>
    <row r="106" spans="1:12" ht="45.95">
      <c r="A106" s="3" t="s">
        <v>2742</v>
      </c>
      <c r="B106" s="3" t="s">
        <v>2743</v>
      </c>
      <c r="C106" s="3" t="s">
        <v>45</v>
      </c>
      <c r="D106" s="3" t="s">
        <v>46</v>
      </c>
      <c r="E106" s="3" t="s">
        <v>2417</v>
      </c>
      <c r="F106" s="3" t="s">
        <v>2570</v>
      </c>
      <c r="G106" s="3" t="s">
        <v>2744</v>
      </c>
      <c r="H106" s="3" t="str">
        <f>HYPERLINK("http://www.jccm.es/sede/tramite/L4X","APROBACION DEL PLAN DE PRODUCCION Y/O GESTION DE ESTIERCOLES GANADEROS")</f>
        <v>APROBACION DEL PLAN DE PRODUCCION Y/O GESTION DE ESTIERCOLES GANADEROS</v>
      </c>
      <c r="I106" s="3" t="s">
        <v>42</v>
      </c>
      <c r="J106" s="3" t="s">
        <v>41</v>
      </c>
      <c r="K106" s="3" t="s">
        <v>42</v>
      </c>
      <c r="L106" s="3" t="s">
        <v>41</v>
      </c>
    </row>
    <row r="107" spans="1:12" ht="69">
      <c r="A107" s="3" t="s">
        <v>2745</v>
      </c>
      <c r="B107" s="3" t="s">
        <v>2746</v>
      </c>
      <c r="C107" s="3" t="s">
        <v>45</v>
      </c>
      <c r="D107" s="3" t="s">
        <v>46</v>
      </c>
      <c r="E107" s="3" t="s">
        <v>2417</v>
      </c>
      <c r="F107" s="3" t="s">
        <v>2510</v>
      </c>
      <c r="G107" s="3" t="s">
        <v>2747</v>
      </c>
      <c r="H107" s="3" t="str">
        <f>HYPERLINK("http://www.jccm.es/sede/tramite/L8I","COMPRA DE PRODUCTOS CINEGETICOS DE GRANJAS CINEGETICAS GESTIONADAS POR LA JUNTA DE COMUNIDADES DE CASTILLA-LA MANCHA.")</f>
        <v>COMPRA DE PRODUCTOS CINEGETICOS DE GRANJAS CINEGETICAS GESTIONADAS POR LA JUNTA DE COMUNIDADES DE CASTILLA-LA MANCHA.</v>
      </c>
      <c r="I107" s="3" t="s">
        <v>41</v>
      </c>
      <c r="J107" s="3" t="s">
        <v>41</v>
      </c>
      <c r="K107" s="3" t="s">
        <v>42</v>
      </c>
      <c r="L107" s="3" t="s">
        <v>41</v>
      </c>
    </row>
    <row r="108" spans="1:12" ht="92.1">
      <c r="A108" s="3" t="s">
        <v>2748</v>
      </c>
      <c r="B108" s="3" t="s">
        <v>2749</v>
      </c>
      <c r="C108" s="3" t="s">
        <v>51</v>
      </c>
      <c r="D108" s="3" t="s">
        <v>46</v>
      </c>
      <c r="E108" s="3" t="s">
        <v>2417</v>
      </c>
      <c r="F108" s="3" t="s">
        <v>2510</v>
      </c>
      <c r="G108" s="3" t="s">
        <v>2750</v>
      </c>
      <c r="H108" s="3" t="str">
        <f>HYPERLINK("http://www.jccm.es/sede/tramite/LBA","RENOVACION DE CARNET DE ESPECIALISTA ACREDITADO/A PARA EL USO DE METODOS HOMOLOGADOS DE CAPTURA DE ESPECIES CINEGETICAS DEPREDADORAS, PERROS Y GATOS DOMESTICOS ASILVESTRADOS")</f>
        <v>RENOVACION DE CARNET DE ESPECIALISTA ACREDITADO/A PARA EL USO DE METODOS HOMOLOGADOS DE CAPTURA DE ESPECIES CINEGETICAS DEPREDADORAS, PERROS Y GATOS DOMESTICOS ASILVESTRADOS</v>
      </c>
      <c r="I108" s="3" t="s">
        <v>42</v>
      </c>
      <c r="J108" s="3" t="s">
        <v>41</v>
      </c>
      <c r="K108" s="3" t="s">
        <v>42</v>
      </c>
      <c r="L108" s="3" t="s">
        <v>41</v>
      </c>
    </row>
    <row r="109" spans="1:12" ht="45.95">
      <c r="A109" s="3" t="s">
        <v>2751</v>
      </c>
      <c r="B109" s="3" t="s">
        <v>2752</v>
      </c>
      <c r="C109" s="3" t="s">
        <v>95</v>
      </c>
      <c r="D109" s="3" t="s">
        <v>95</v>
      </c>
      <c r="E109" s="3" t="s">
        <v>2417</v>
      </c>
      <c r="F109" s="3" t="s">
        <v>2570</v>
      </c>
      <c r="G109" s="3" t="s">
        <v>2753</v>
      </c>
      <c r="H109" s="3" t="str">
        <f>HYPERLINK("http://www.jccm.es/sede/tramite/LCW","DOCUMENTO DE IDENTIFICACION DE RESIDUOS")</f>
        <v>DOCUMENTO DE IDENTIFICACION DE RESIDUOS</v>
      </c>
      <c r="I109" s="3" t="s">
        <v>41</v>
      </c>
      <c r="J109" s="3" t="s">
        <v>41</v>
      </c>
      <c r="K109" s="3" t="s">
        <v>42</v>
      </c>
      <c r="L109" s="3" t="s">
        <v>41</v>
      </c>
    </row>
    <row r="110" spans="1:12" ht="57.6">
      <c r="A110" s="3" t="s">
        <v>2754</v>
      </c>
      <c r="B110" s="3" t="s">
        <v>2755</v>
      </c>
      <c r="C110" s="3" t="s">
        <v>45</v>
      </c>
      <c r="D110" s="3" t="s">
        <v>46</v>
      </c>
      <c r="E110" s="3" t="s">
        <v>2417</v>
      </c>
      <c r="F110" s="3" t="s">
        <v>2510</v>
      </c>
      <c r="G110" s="3" t="s">
        <v>2756</v>
      </c>
      <c r="H110" s="3" t="str">
        <f>HYPERLINK("http://www.jccm.es/sede/tramite/LDJ","SOLICITUD DE ENVIO DE PRECINTOS PARA LA ACTIVIDAD CINEGETICA")</f>
        <v>SOLICITUD DE ENVIO DE PRECINTOS PARA LA ACTIVIDAD CINEGETICA</v>
      </c>
      <c r="I110" s="3" t="s">
        <v>41</v>
      </c>
      <c r="J110" s="3" t="s">
        <v>41</v>
      </c>
      <c r="K110" s="3" t="s">
        <v>42</v>
      </c>
      <c r="L110" s="3" t="s">
        <v>41</v>
      </c>
    </row>
    <row r="111" spans="1:12" ht="57.6">
      <c r="A111" s="3" t="s">
        <v>2757</v>
      </c>
      <c r="B111" s="3" t="s">
        <v>2758</v>
      </c>
      <c r="C111" s="3" t="s">
        <v>95</v>
      </c>
      <c r="D111" s="3" t="s">
        <v>95</v>
      </c>
      <c r="E111" s="3" t="s">
        <v>2417</v>
      </c>
      <c r="F111" s="3" t="s">
        <v>2510</v>
      </c>
      <c r="G111" s="3" t="s">
        <v>2759</v>
      </c>
      <c r="H111" s="3" t="str">
        <f>HYPERLINK("http://www.jccm.es/sede/tramite/LEC","COMUNICACION DE RESULTADOS DE LA ACTIVIDAD CINEGETICA DURANTE EL PERIODO DE MEDIA VEDA.")</f>
        <v>COMUNICACION DE RESULTADOS DE LA ACTIVIDAD CINEGETICA DURANTE EL PERIODO DE MEDIA VEDA.</v>
      </c>
      <c r="I111" s="3" t="s">
        <v>41</v>
      </c>
      <c r="J111" s="3" t="s">
        <v>41</v>
      </c>
      <c r="K111" s="3" t="s">
        <v>42</v>
      </c>
      <c r="L111" s="3" t="s">
        <v>41</v>
      </c>
    </row>
    <row r="112" spans="1:12" ht="57.6">
      <c r="A112" s="3" t="s">
        <v>2760</v>
      </c>
      <c r="B112" s="3" t="s">
        <v>2761</v>
      </c>
      <c r="C112" s="3" t="s">
        <v>45</v>
      </c>
      <c r="D112" s="3" t="s">
        <v>37</v>
      </c>
      <c r="E112" s="3" t="s">
        <v>2417</v>
      </c>
      <c r="F112" s="3" t="s">
        <v>2570</v>
      </c>
      <c r="G112" s="3" t="s">
        <v>2762</v>
      </c>
      <c r="H112" s="3" t="str">
        <f>HYPERLINK("http://www.jccm.es/sede/tramite/LKT","OBTENCION DE NIMA PARA ENTIDADES NO SUJETAS A COMUNICACION DE INICIO, NI A AUTORIZACION DE RESIDUOS. POSEEDOR")</f>
        <v>OBTENCION DE NIMA PARA ENTIDADES NO SUJETAS A COMUNICACION DE INICIO, NI A AUTORIZACION DE RESIDUOS. POSEEDOR</v>
      </c>
      <c r="I112" s="3" t="s">
        <v>41</v>
      </c>
      <c r="J112" s="3" t="s">
        <v>41</v>
      </c>
      <c r="K112" s="3" t="s">
        <v>42</v>
      </c>
      <c r="L112" s="3" t="s">
        <v>41</v>
      </c>
    </row>
    <row r="113" spans="1:12" ht="57.6">
      <c r="A113" s="3" t="s">
        <v>2763</v>
      </c>
      <c r="B113" s="3" t="s">
        <v>2764</v>
      </c>
      <c r="C113" s="3" t="s">
        <v>45</v>
      </c>
      <c r="D113" s="3" t="s">
        <v>37</v>
      </c>
      <c r="E113" s="3" t="s">
        <v>2417</v>
      </c>
      <c r="F113" s="3" t="s">
        <v>2510</v>
      </c>
      <c r="G113" s="3" t="s">
        <v>2765</v>
      </c>
      <c r="H113" s="3" t="str">
        <f>HYPERLINK("http://www.jccm.es/sede/tramite/LML","AUTORIZACION DE ALIMENTACION SUPLEMENTARIA EN TERRENOS CINEGETICOS.")</f>
        <v>AUTORIZACION DE ALIMENTACION SUPLEMENTARIA EN TERRENOS CINEGETICOS.</v>
      </c>
      <c r="I113" s="3" t="s">
        <v>41</v>
      </c>
      <c r="J113" s="3" t="s">
        <v>41</v>
      </c>
      <c r="K113" s="3" t="s">
        <v>42</v>
      </c>
      <c r="L113" s="3" t="s">
        <v>41</v>
      </c>
    </row>
    <row r="114" spans="1:12" ht="57.6">
      <c r="A114" s="3" t="s">
        <v>2766</v>
      </c>
      <c r="B114" s="3" t="s">
        <v>2767</v>
      </c>
      <c r="C114" s="3" t="s">
        <v>45</v>
      </c>
      <c r="D114" s="3" t="s">
        <v>46</v>
      </c>
      <c r="E114" s="3" t="s">
        <v>2417</v>
      </c>
      <c r="F114" s="3" t="s">
        <v>2510</v>
      </c>
      <c r="G114" s="3" t="s">
        <v>2768</v>
      </c>
      <c r="H114" s="3" t="str">
        <f>HYPERLINK("http://www.jccm.es/sede/tramite/LOA","COMUNICACION PARA EL RECONOCIMIENTO DE LA CONDICION DE TITULAR DEL APROVECHAMIENTO CINEGETICO")</f>
        <v>COMUNICACION PARA EL RECONOCIMIENTO DE LA CONDICION DE TITULAR DEL APROVECHAMIENTO CINEGETICO</v>
      </c>
      <c r="I114" s="3" t="s">
        <v>42</v>
      </c>
      <c r="J114" s="3" t="s">
        <v>41</v>
      </c>
      <c r="K114" s="3" t="s">
        <v>42</v>
      </c>
      <c r="L114" s="3" t="s">
        <v>41</v>
      </c>
    </row>
    <row r="115" spans="1:12" ht="45.95">
      <c r="A115" s="3" t="s">
        <v>2769</v>
      </c>
      <c r="B115" s="3" t="s">
        <v>2770</v>
      </c>
      <c r="C115" s="3" t="s">
        <v>2771</v>
      </c>
      <c r="D115" s="3" t="s">
        <v>37</v>
      </c>
      <c r="E115" s="3" t="s">
        <v>2417</v>
      </c>
      <c r="F115" s="3" t="s">
        <v>2418</v>
      </c>
      <c r="G115" s="3" t="s">
        <v>2772</v>
      </c>
      <c r="H115" s="3" t="str">
        <f>HYPERLINK("http://www.jccm.es/sede/tramite/LQZ","AUTORIZACION DE INTERRUPCIONES DEL SUMINISTRO ELECTRICO PROGRAMADAS.")</f>
        <v>AUTORIZACION DE INTERRUPCIONES DEL SUMINISTRO ELECTRICO PROGRAMADAS.</v>
      </c>
      <c r="I115" s="3" t="s">
        <v>41</v>
      </c>
      <c r="J115" s="3" t="s">
        <v>41</v>
      </c>
      <c r="K115" s="3" t="s">
        <v>42</v>
      </c>
      <c r="L115" s="3" t="s">
        <v>41</v>
      </c>
    </row>
    <row r="116" spans="1:12" ht="103.5">
      <c r="A116" s="3" t="s">
        <v>2773</v>
      </c>
      <c r="B116" s="3" t="s">
        <v>2774</v>
      </c>
      <c r="C116" s="3" t="s">
        <v>2775</v>
      </c>
      <c r="D116" s="3" t="s">
        <v>95</v>
      </c>
      <c r="E116" s="3" t="s">
        <v>2417</v>
      </c>
      <c r="F116" s="3" t="s">
        <v>2510</v>
      </c>
      <c r="G116" s="3" t="s">
        <v>2776</v>
      </c>
      <c r="H116" s="3" t="str">
        <f>HYPERLINK("http://www.jccm.es/sede/tramite/LTF","ACTIVIDADES RECREATIVAS, DEPORTIVAS Y DE USO PUBLICO EN LA RED DE AREAS PROTEGIDAS, MONTES DE UTILIDAD PUBLICA Y MEDIO NATURAL (EXCEPTO PARQUE NATURAL DE CALARES DEL MUNDO Y DE LA SIMA)")</f>
        <v>ACTIVIDADES RECREATIVAS, DEPORTIVAS Y DE USO PUBLICO EN LA RED DE AREAS PROTEGIDAS, MONTES DE UTILIDAD PUBLICA Y MEDIO NATURAL (EXCEPTO PARQUE NATURAL DE CALARES DEL MUNDO Y DE LA SIMA)</v>
      </c>
      <c r="I116" s="3" t="s">
        <v>42</v>
      </c>
      <c r="J116" s="3" t="s">
        <v>41</v>
      </c>
      <c r="K116" s="3" t="s">
        <v>42</v>
      </c>
      <c r="L116" s="3" t="s">
        <v>41</v>
      </c>
    </row>
    <row r="117" spans="1:12" ht="57.6">
      <c r="A117" s="3" t="s">
        <v>2777</v>
      </c>
      <c r="B117" s="3" t="s">
        <v>2778</v>
      </c>
      <c r="C117" s="3" t="s">
        <v>95</v>
      </c>
      <c r="D117" s="3" t="s">
        <v>37</v>
      </c>
      <c r="E117" s="3" t="s">
        <v>2417</v>
      </c>
      <c r="F117" s="3" t="s">
        <v>2510</v>
      </c>
      <c r="G117" s="3" t="s">
        <v>2779</v>
      </c>
      <c r="H117" s="3" t="str">
        <f>HYPERLINK("http://www.jccm.es/sede/tramite/LTH","COMUNICACION DE SUELTAS DE PIEZAS DE CAZA VIVA EN CUARTELES DE CAZA COMERCIAL.")</f>
        <v>COMUNICACION DE SUELTAS DE PIEZAS DE CAZA VIVA EN CUARTELES DE CAZA COMERCIAL.</v>
      </c>
      <c r="I117" s="3" t="s">
        <v>41</v>
      </c>
      <c r="J117" s="3" t="s">
        <v>41</v>
      </c>
      <c r="K117" s="3" t="s">
        <v>42</v>
      </c>
      <c r="L117" s="3" t="s">
        <v>41</v>
      </c>
    </row>
    <row r="118" spans="1:12" ht="69">
      <c r="A118" s="3" t="s">
        <v>2780</v>
      </c>
      <c r="B118" s="3" t="s">
        <v>2781</v>
      </c>
      <c r="C118" s="3" t="s">
        <v>45</v>
      </c>
      <c r="D118" s="3" t="s">
        <v>46</v>
      </c>
      <c r="E118" s="3" t="s">
        <v>2417</v>
      </c>
      <c r="F118" s="3" t="s">
        <v>2510</v>
      </c>
      <c r="G118" s="3" t="s">
        <v>2782</v>
      </c>
      <c r="H118" s="3" t="str">
        <f>HYPERLINK("http://www.jccm.es/sede/tramite/LUF","AUTORIZACION PARA LA INSTALACION DE CAPTURADERO DE CAZA O PARQUE DE VUELO PARA ACLIMATACION DE ESPECIES CINEGETICAS")</f>
        <v>AUTORIZACION PARA LA INSTALACION DE CAPTURADERO DE CAZA O PARQUE DE VUELO PARA ACLIMATACION DE ESPECIES CINEGETICAS</v>
      </c>
      <c r="I118" s="3" t="s">
        <v>41</v>
      </c>
      <c r="J118" s="3" t="s">
        <v>41</v>
      </c>
      <c r="K118" s="3" t="s">
        <v>42</v>
      </c>
      <c r="L118" s="3" t="s">
        <v>41</v>
      </c>
    </row>
    <row r="119" spans="1:12" ht="57.6">
      <c r="A119" s="3" t="s">
        <v>2783</v>
      </c>
      <c r="B119" s="3" t="s">
        <v>2784</v>
      </c>
      <c r="C119" s="3" t="s">
        <v>95</v>
      </c>
      <c r="D119" s="3" t="s">
        <v>46</v>
      </c>
      <c r="E119" s="3" t="s">
        <v>2417</v>
      </c>
      <c r="F119" s="3" t="s">
        <v>2510</v>
      </c>
      <c r="G119" s="3" t="s">
        <v>2785</v>
      </c>
      <c r="H119" s="3" t="str">
        <f>HYPERLINK("http://www.jccm.es/sede/tramite/JF6","APROBACION PLAN DE ORDENACION CINEGETICA")</f>
        <v>APROBACION PLAN DE ORDENACION CINEGETICA</v>
      </c>
      <c r="I119" s="3" t="s">
        <v>42</v>
      </c>
      <c r="J119" s="3" t="s">
        <v>41</v>
      </c>
      <c r="K119" s="3" t="s">
        <v>42</v>
      </c>
      <c r="L119" s="3" t="s">
        <v>41</v>
      </c>
    </row>
    <row r="120" spans="1:12" ht="57.6">
      <c r="A120" s="3" t="s">
        <v>2786</v>
      </c>
      <c r="B120" s="3" t="s">
        <v>2787</v>
      </c>
      <c r="C120" s="3" t="s">
        <v>95</v>
      </c>
      <c r="D120" s="3" t="s">
        <v>46</v>
      </c>
      <c r="E120" s="3" t="s">
        <v>2417</v>
      </c>
      <c r="F120" s="3" t="s">
        <v>2510</v>
      </c>
      <c r="G120" s="3" t="s">
        <v>2788</v>
      </c>
      <c r="H120" s="3" t="str">
        <f>HYPERLINK("http://www.jccm.es/sede/tramite/KRK","MEMORIA ANUAL DE GESTION CINEGETICA")</f>
        <v>MEMORIA ANUAL DE GESTION CINEGETICA</v>
      </c>
      <c r="I120" s="3" t="s">
        <v>42</v>
      </c>
      <c r="J120" s="3" t="s">
        <v>41</v>
      </c>
      <c r="K120" s="3" t="s">
        <v>42</v>
      </c>
      <c r="L120" s="3" t="s">
        <v>41</v>
      </c>
    </row>
    <row r="121" spans="1:12" ht="57.6">
      <c r="A121" s="3" t="s">
        <v>2789</v>
      </c>
      <c r="B121" s="3" t="s">
        <v>2790</v>
      </c>
      <c r="C121" s="3" t="s">
        <v>45</v>
      </c>
      <c r="D121" s="3" t="s">
        <v>46</v>
      </c>
      <c r="E121" s="3" t="s">
        <v>2417</v>
      </c>
      <c r="F121" s="3" t="s">
        <v>2510</v>
      </c>
      <c r="G121" s="3" t="s">
        <v>2791</v>
      </c>
      <c r="H121" s="3" t="str">
        <f>HYPERLINK("http://www.jccm.es/sede/tramite/204","AUTORIZACION, MODIFICACION O CAMBIO DE TITULAR DE GRANJAS CINEGETICAS.")</f>
        <v>AUTORIZACION, MODIFICACION O CAMBIO DE TITULAR DE GRANJAS CINEGETICAS.</v>
      </c>
      <c r="I121" s="3" t="s">
        <v>41</v>
      </c>
      <c r="J121" s="3" t="s">
        <v>41</v>
      </c>
      <c r="K121" s="3" t="s">
        <v>42</v>
      </c>
      <c r="L121" s="3" t="s">
        <v>41</v>
      </c>
    </row>
    <row r="122" spans="1:12" ht="57.6">
      <c r="A122" s="3" t="s">
        <v>2792</v>
      </c>
      <c r="B122" s="3" t="s">
        <v>2793</v>
      </c>
      <c r="C122" s="3" t="s">
        <v>45</v>
      </c>
      <c r="D122" s="3" t="s">
        <v>46</v>
      </c>
      <c r="E122" s="3" t="s">
        <v>2417</v>
      </c>
      <c r="F122" s="3" t="s">
        <v>2510</v>
      </c>
      <c r="G122" s="3" t="s">
        <v>2794</v>
      </c>
      <c r="H122" s="3" t="str">
        <f>HYPERLINK("http://www.jccm.es/sede/tramite/KKX","MEMORIA ANUAL DE GESTION (GRANJAS CINEGETICAS)")</f>
        <v>MEMORIA ANUAL DE GESTION (GRANJAS CINEGETICAS)</v>
      </c>
      <c r="I122" s="3" t="s">
        <v>41</v>
      </c>
      <c r="J122" s="3" t="s">
        <v>41</v>
      </c>
      <c r="K122" s="3" t="s">
        <v>42</v>
      </c>
      <c r="L122" s="3" t="s">
        <v>41</v>
      </c>
    </row>
    <row r="123" spans="1:12" ht="57.6">
      <c r="A123" s="3" t="s">
        <v>2795</v>
      </c>
      <c r="B123" s="3" t="s">
        <v>2796</v>
      </c>
      <c r="C123" s="3" t="s">
        <v>62</v>
      </c>
      <c r="D123" s="3" t="s">
        <v>46</v>
      </c>
      <c r="E123" s="3" t="s">
        <v>2417</v>
      </c>
      <c r="F123" s="3" t="s">
        <v>2510</v>
      </c>
      <c r="G123" s="3" t="s">
        <v>2797</v>
      </c>
      <c r="H123" s="3" t="str">
        <f>HYPERLINK("http://www.jccm.es/sede/tramite/KPE","AUTORIZACION DE COMPETICIONES Y CONCURSOS DE PESCA")</f>
        <v>AUTORIZACION DE COMPETICIONES Y CONCURSOS DE PESCA</v>
      </c>
      <c r="I123" s="3" t="s">
        <v>41</v>
      </c>
      <c r="J123" s="3" t="s">
        <v>41</v>
      </c>
      <c r="K123" s="3" t="s">
        <v>42</v>
      </c>
      <c r="L123" s="3" t="s">
        <v>41</v>
      </c>
    </row>
    <row r="124" spans="1:12" ht="57.6">
      <c r="A124" s="3" t="s">
        <v>2798</v>
      </c>
      <c r="B124" s="3" t="s">
        <v>2799</v>
      </c>
      <c r="C124" s="3" t="s">
        <v>62</v>
      </c>
      <c r="D124" s="3" t="s">
        <v>46</v>
      </c>
      <c r="E124" s="3" t="s">
        <v>2417</v>
      </c>
      <c r="F124" s="3" t="s">
        <v>2510</v>
      </c>
      <c r="G124" s="3" t="s">
        <v>2800</v>
      </c>
      <c r="H124" s="3" t="str">
        <f>HYPERLINK("http://www.jccm.es/sede/tramite/JFI","AUTORIZACION DE CONCURSOS Y COMPETICIONES DE PESCA NOCTURNA")</f>
        <v>AUTORIZACION DE CONCURSOS Y COMPETICIONES DE PESCA NOCTURNA</v>
      </c>
      <c r="I124" s="3" t="s">
        <v>41</v>
      </c>
      <c r="J124" s="3" t="s">
        <v>41</v>
      </c>
      <c r="K124" s="3" t="s">
        <v>42</v>
      </c>
      <c r="L124" s="3" t="s">
        <v>41</v>
      </c>
    </row>
    <row r="125" spans="1:12" ht="45.95">
      <c r="A125" s="3" t="s">
        <v>2801</v>
      </c>
      <c r="B125" s="3" t="s">
        <v>2802</v>
      </c>
      <c r="C125" s="3" t="s">
        <v>327</v>
      </c>
      <c r="D125" s="3" t="s">
        <v>46</v>
      </c>
      <c r="E125" s="3" t="s">
        <v>2417</v>
      </c>
      <c r="F125" s="3" t="s">
        <v>2418</v>
      </c>
      <c r="G125" s="3" t="s">
        <v>2803</v>
      </c>
      <c r="H125" s="3" t="str">
        <f>HYPERLINK("http://www.jccm.es/sede/tramite/IKQ","AUTORIZACION DE EXPLORACION DE HIDROCARBUROS.")</f>
        <v>AUTORIZACION DE EXPLORACION DE HIDROCARBUROS.</v>
      </c>
      <c r="I125" s="3" t="s">
        <v>41</v>
      </c>
      <c r="J125" s="3" t="s">
        <v>41</v>
      </c>
      <c r="K125" s="3" t="s">
        <v>42</v>
      </c>
      <c r="L125" s="3" t="s">
        <v>41</v>
      </c>
    </row>
    <row r="126" spans="1:12" ht="45.95">
      <c r="A126" s="3" t="s">
        <v>2804</v>
      </c>
      <c r="B126" s="3" t="s">
        <v>2805</v>
      </c>
      <c r="C126" s="3" t="s">
        <v>327</v>
      </c>
      <c r="D126" s="3" t="s">
        <v>46</v>
      </c>
      <c r="E126" s="3" t="s">
        <v>2417</v>
      </c>
      <c r="F126" s="3" t="s">
        <v>2418</v>
      </c>
      <c r="G126" s="3" t="s">
        <v>2806</v>
      </c>
      <c r="H126" s="3" t="str">
        <f>HYPERLINK("http://www.jccm.es/sede/tramite/K06","AUTORIZACION DE INVESTIGACION DE HIDROCARBUROS.")</f>
        <v>AUTORIZACION DE INVESTIGACION DE HIDROCARBUROS.</v>
      </c>
      <c r="I126" s="3" t="s">
        <v>41</v>
      </c>
      <c r="J126" s="3" t="s">
        <v>41</v>
      </c>
      <c r="K126" s="3" t="s">
        <v>42</v>
      </c>
      <c r="L126" s="3" t="s">
        <v>41</v>
      </c>
    </row>
    <row r="127" spans="1:12" ht="103.5">
      <c r="A127" s="3" t="s">
        <v>2807</v>
      </c>
      <c r="B127" s="3" t="s">
        <v>2808</v>
      </c>
      <c r="C127" s="3" t="s">
        <v>2809</v>
      </c>
      <c r="D127" s="3" t="s">
        <v>46</v>
      </c>
      <c r="E127" s="3" t="s">
        <v>2417</v>
      </c>
      <c r="F127" s="3" t="s">
        <v>2570</v>
      </c>
      <c r="G127" s="3" t="s">
        <v>2810</v>
      </c>
      <c r="H127" s="3" t="str">
        <f>HYPERLINK("http://www.jccm.es/sede/tramite/JME","NOTIFICACION PREVIA POR ESCRITO DE TRASLADOS TRANSFRONTERIZOS DE RESIDUOS")</f>
        <v>NOTIFICACION PREVIA POR ESCRITO DE TRASLADOS TRANSFRONTERIZOS DE RESIDUOS</v>
      </c>
      <c r="I127" s="3" t="s">
        <v>41</v>
      </c>
      <c r="J127" s="3" t="s">
        <v>41</v>
      </c>
      <c r="K127" s="3" t="s">
        <v>42</v>
      </c>
      <c r="L127" s="3" t="s">
        <v>41</v>
      </c>
    </row>
    <row r="128" spans="1:12" ht="103.5">
      <c r="A128" s="3" t="s">
        <v>2811</v>
      </c>
      <c r="B128" s="3" t="s">
        <v>2812</v>
      </c>
      <c r="C128" s="3" t="s">
        <v>2809</v>
      </c>
      <c r="D128" s="3" t="s">
        <v>46</v>
      </c>
      <c r="E128" s="3" t="s">
        <v>2417</v>
      </c>
      <c r="F128" s="3" t="s">
        <v>2570</v>
      </c>
      <c r="G128" s="3" t="s">
        <v>2813</v>
      </c>
      <c r="H128" s="3" t="str">
        <f>HYPERLINK("http://www.jccm.es/sede/tramite/LF1","SOLICITUD DOCUMENTOS DE NOTIFICACION Y MOVIMIENTO TRASLADOS TRANSFRONTERIZOS DE RESIDUOS")</f>
        <v>SOLICITUD DOCUMENTOS DE NOTIFICACION Y MOVIMIENTO TRASLADOS TRANSFRONTERIZOS DE RESIDUOS</v>
      </c>
      <c r="I128" s="3" t="s">
        <v>41</v>
      </c>
      <c r="J128" s="3" t="s">
        <v>41</v>
      </c>
      <c r="K128" s="3" t="s">
        <v>42</v>
      </c>
      <c r="L128" s="3" t="s">
        <v>41</v>
      </c>
    </row>
    <row r="129" spans="1:12" ht="69">
      <c r="A129" s="3" t="s">
        <v>2814</v>
      </c>
      <c r="B129" s="3" t="s">
        <v>2815</v>
      </c>
      <c r="C129" s="3" t="s">
        <v>2816</v>
      </c>
      <c r="D129" s="3" t="s">
        <v>46</v>
      </c>
      <c r="E129" s="3" t="s">
        <v>2417</v>
      </c>
      <c r="F129" s="3" t="s">
        <v>2570</v>
      </c>
      <c r="G129" s="3" t="s">
        <v>2817</v>
      </c>
      <c r="H129" s="3" t="str">
        <f>HYPERLINK("http://www.jccm.es/sede/tramite/K0O","TRANSMISION DE LA AUTORIZACION PARA REALIZAR OPERACIONES DE TRATAMIENTO DE RESIDUOS O MODIFICACION DE LA RAZON SOCIAL")</f>
        <v>TRANSMISION DE LA AUTORIZACION PARA REALIZAR OPERACIONES DE TRATAMIENTO DE RESIDUOS O MODIFICACION DE LA RAZON SOCIAL</v>
      </c>
      <c r="I129" s="3" t="s">
        <v>42</v>
      </c>
      <c r="J129" s="3" t="s">
        <v>41</v>
      </c>
      <c r="K129" s="3" t="s">
        <v>42</v>
      </c>
      <c r="L129" s="3" t="s">
        <v>41</v>
      </c>
    </row>
    <row r="130" spans="1:12" ht="80.45">
      <c r="A130" s="3" t="s">
        <v>2818</v>
      </c>
      <c r="B130" s="3" t="s">
        <v>2819</v>
      </c>
      <c r="C130" s="3" t="s">
        <v>2816</v>
      </c>
      <c r="D130" s="3" t="s">
        <v>46</v>
      </c>
      <c r="E130" s="3" t="s">
        <v>2417</v>
      </c>
      <c r="F130" s="3" t="s">
        <v>2570</v>
      </c>
      <c r="G130" s="3" t="s">
        <v>2820</v>
      </c>
      <c r="H130" s="3" t="str">
        <f>HYPERLINK("http://www.jccm.es/sede/tramite/KAS","REMISION DE DOCUMENTACION COMPLEMENTARIA AL PROCEDIMIENTO DE AUTORIZACION PARA REALIZAR OPERACIONES DE TRATAMIENTO DE RESIDUOS")</f>
        <v>REMISION DE DOCUMENTACION COMPLEMENTARIA AL PROCEDIMIENTO DE AUTORIZACION PARA REALIZAR OPERACIONES DE TRATAMIENTO DE RESIDUOS</v>
      </c>
      <c r="I130" s="3" t="s">
        <v>42</v>
      </c>
      <c r="J130" s="3" t="s">
        <v>41</v>
      </c>
      <c r="K130" s="3" t="s">
        <v>42</v>
      </c>
      <c r="L130" s="3" t="s">
        <v>41</v>
      </c>
    </row>
    <row r="131" spans="1:12" ht="45.95">
      <c r="A131" s="3" t="s">
        <v>2821</v>
      </c>
      <c r="B131" s="3" t="s">
        <v>2822</v>
      </c>
      <c r="C131" s="3" t="s">
        <v>2816</v>
      </c>
      <c r="D131" s="3" t="s">
        <v>46</v>
      </c>
      <c r="E131" s="3" t="s">
        <v>2417</v>
      </c>
      <c r="F131" s="3" t="s">
        <v>2570</v>
      </c>
      <c r="G131" s="3" t="s">
        <v>2823</v>
      </c>
      <c r="H131" s="3" t="str">
        <f>HYPERLINK("http://www.jccm.es/sede/tramite/JS0","AUTORIZACION PARA REALIZAR OPERACIONES DE TRATAMIENTO DE RESIDUOS.")</f>
        <v>AUTORIZACION PARA REALIZAR OPERACIONES DE TRATAMIENTO DE RESIDUOS.</v>
      </c>
      <c r="I131" s="3" t="s">
        <v>42</v>
      </c>
      <c r="J131" s="3" t="s">
        <v>41</v>
      </c>
      <c r="K131" s="3" t="s">
        <v>42</v>
      </c>
      <c r="L131" s="3" t="s">
        <v>42</v>
      </c>
    </row>
    <row r="132" spans="1:12" ht="57.6">
      <c r="A132" s="3" t="s">
        <v>2824</v>
      </c>
      <c r="B132" s="3" t="s">
        <v>2825</v>
      </c>
      <c r="C132" s="3" t="s">
        <v>2826</v>
      </c>
      <c r="D132" s="3" t="s">
        <v>46</v>
      </c>
      <c r="E132" s="3" t="s">
        <v>2417</v>
      </c>
      <c r="F132" s="3" t="s">
        <v>2510</v>
      </c>
      <c r="G132" s="3" t="s">
        <v>2827</v>
      </c>
      <c r="H132" s="3" t="str">
        <f>HYPERLINK("http://www.jccm.es/sede/tramite/JW9","SOLICITUD DE AUTORIZACION DE QUEMA DE RESTOS VEGETALES EN MONTE O TERRENO FORESTAL")</f>
        <v>SOLICITUD DE AUTORIZACION DE QUEMA DE RESTOS VEGETALES EN MONTE O TERRENO FORESTAL</v>
      </c>
      <c r="I132" s="3" t="s">
        <v>42</v>
      </c>
      <c r="J132" s="3" t="s">
        <v>41</v>
      </c>
      <c r="K132" s="3" t="s">
        <v>42</v>
      </c>
      <c r="L132" s="3" t="s">
        <v>41</v>
      </c>
    </row>
    <row r="133" spans="1:12" ht="57.6">
      <c r="A133" s="3" t="s">
        <v>2828</v>
      </c>
      <c r="B133" s="3" t="s">
        <v>2829</v>
      </c>
      <c r="C133" s="3" t="s">
        <v>45</v>
      </c>
      <c r="D133" s="3" t="s">
        <v>46</v>
      </c>
      <c r="E133" s="3" t="s">
        <v>2417</v>
      </c>
      <c r="F133" s="3" t="s">
        <v>2510</v>
      </c>
      <c r="G133" s="3" t="s">
        <v>2830</v>
      </c>
      <c r="H133" s="3" t="str">
        <f>HYPERLINK("http://www.jccm.es/sede/tramite/KRD","COMUNICACION DE CAMBIO DE PROGENITORES INCLUIDOS EN EL PLAN DE CRIA")</f>
        <v>COMUNICACION DE CAMBIO DE PROGENITORES INCLUIDOS EN EL PLAN DE CRIA</v>
      </c>
      <c r="I133" s="3" t="s">
        <v>42</v>
      </c>
      <c r="J133" s="3" t="s">
        <v>41</v>
      </c>
      <c r="K133" s="3" t="s">
        <v>42</v>
      </c>
      <c r="L133" s="3" t="s">
        <v>41</v>
      </c>
    </row>
    <row r="134" spans="1:12" ht="80.45">
      <c r="A134" s="3" t="s">
        <v>2831</v>
      </c>
      <c r="B134" s="3" t="s">
        <v>2832</v>
      </c>
      <c r="C134" s="3" t="s">
        <v>45</v>
      </c>
      <c r="D134" s="3" t="s">
        <v>46</v>
      </c>
      <c r="E134" s="3" t="s">
        <v>2417</v>
      </c>
      <c r="F134" s="3" t="s">
        <v>2510</v>
      </c>
      <c r="G134" s="3" t="s">
        <v>2833</v>
      </c>
      <c r="H134" s="3" t="str">
        <f>HYPERLINK("http://www.jccm.es/sede/tramite/KRB","AUTORIZACION PARA LA CRIA EN CAUTIVIDAD DE AVES RAPACES PARA USO EN CETRERIA EN CASTILLA-LA MANCHA Y SOLICITUD DE INSCRIPCION EN EL REGISTRO DE CRIADORES DE CLM")</f>
        <v>AUTORIZACION PARA LA CRIA EN CAUTIVIDAD DE AVES RAPACES PARA USO EN CETRERIA EN CASTILLA-LA MANCHA Y SOLICITUD DE INSCRIPCION EN EL REGISTRO DE CRIADORES DE CLM</v>
      </c>
      <c r="I134" s="3" t="s">
        <v>42</v>
      </c>
      <c r="J134" s="3" t="s">
        <v>41</v>
      </c>
      <c r="K134" s="3" t="s">
        <v>42</v>
      </c>
      <c r="L134" s="3" t="s">
        <v>41</v>
      </c>
    </row>
    <row r="135" spans="1:12" ht="45.95">
      <c r="A135" s="3" t="s">
        <v>2834</v>
      </c>
      <c r="B135" s="3" t="s">
        <v>2835</v>
      </c>
      <c r="C135" s="3" t="s">
        <v>45</v>
      </c>
      <c r="D135" s="3" t="s">
        <v>37</v>
      </c>
      <c r="E135" s="3" t="s">
        <v>2417</v>
      </c>
      <c r="F135" s="3" t="s">
        <v>2836</v>
      </c>
      <c r="G135" s="3" t="s">
        <v>2837</v>
      </c>
      <c r="H135" s="3" t="str">
        <f>HYPERLINK("http://www.jccm.es/sede/tramite/E95","REGISTRO DE ASOCIACIONES DE PERSONAS CONSUMIDORAS Y USUARIAS DE CASTILLA-LA MANCHA")</f>
        <v>REGISTRO DE ASOCIACIONES DE PERSONAS CONSUMIDORAS Y USUARIAS DE CASTILLA-LA MANCHA</v>
      </c>
      <c r="I135" s="3" t="s">
        <v>41</v>
      </c>
      <c r="J135" s="3" t="s">
        <v>41</v>
      </c>
      <c r="K135" s="3" t="s">
        <v>42</v>
      </c>
      <c r="L135" s="3" t="s">
        <v>41</v>
      </c>
    </row>
    <row r="136" spans="1:12" ht="45.95">
      <c r="A136" s="3" t="s">
        <v>2838</v>
      </c>
      <c r="B136" s="3" t="s">
        <v>2839</v>
      </c>
      <c r="C136" s="3" t="s">
        <v>45</v>
      </c>
      <c r="D136" s="3" t="s">
        <v>37</v>
      </c>
      <c r="E136" s="3" t="s">
        <v>2417</v>
      </c>
      <c r="F136" s="3" t="s">
        <v>2418</v>
      </c>
      <c r="G136" s="3" t="s">
        <v>2840</v>
      </c>
      <c r="H136" s="3" t="str">
        <f>HYPERLINK("http://www.jccm.es/sede/tramite/JDB","APORTACION DE DATOS BASICOS DE UNA INDUSTRIA")</f>
        <v>APORTACION DE DATOS BASICOS DE UNA INDUSTRIA</v>
      </c>
      <c r="I136" s="3" t="s">
        <v>42</v>
      </c>
      <c r="J136" s="3" t="s">
        <v>41</v>
      </c>
      <c r="K136" s="3" t="s">
        <v>42</v>
      </c>
      <c r="L136" s="3" t="s">
        <v>42</v>
      </c>
    </row>
    <row r="137" spans="1:12" ht="57.6">
      <c r="A137" s="3" t="s">
        <v>2841</v>
      </c>
      <c r="B137" s="3" t="s">
        <v>2842</v>
      </c>
      <c r="C137" s="3" t="s">
        <v>45</v>
      </c>
      <c r="D137" s="3" t="s">
        <v>37</v>
      </c>
      <c r="E137" s="3" t="s">
        <v>2417</v>
      </c>
      <c r="F137" s="3" t="s">
        <v>2418</v>
      </c>
      <c r="G137" s="3" t="s">
        <v>2843</v>
      </c>
      <c r="H137" s="3" t="str">
        <f>HYPERLINK("http://www.jccm.es/sede/tramite/JDD","REGISTRO DE LA INSTALACION DE SEGURIDAD CONTRA INCENDIOS EN ESTABLECIMIENTOS INDUSTRIALES")</f>
        <v>REGISTRO DE LA INSTALACION DE SEGURIDAD CONTRA INCENDIOS EN ESTABLECIMIENTOS INDUSTRIALES</v>
      </c>
      <c r="I137" s="3" t="s">
        <v>42</v>
      </c>
      <c r="J137" s="3" t="s">
        <v>41</v>
      </c>
      <c r="K137" s="3" t="s">
        <v>42</v>
      </c>
      <c r="L137" s="3" t="s">
        <v>41</v>
      </c>
    </row>
    <row r="138" spans="1:12" ht="57.6">
      <c r="A138" s="3" t="s">
        <v>2844</v>
      </c>
      <c r="B138" s="3" t="s">
        <v>2845</v>
      </c>
      <c r="C138" s="3" t="s">
        <v>45</v>
      </c>
      <c r="D138" s="3" t="s">
        <v>37</v>
      </c>
      <c r="E138" s="3" t="s">
        <v>2417</v>
      </c>
      <c r="F138" s="3" t="s">
        <v>2418</v>
      </c>
      <c r="G138" s="3" t="s">
        <v>2846</v>
      </c>
      <c r="H138" s="3" t="str">
        <f>HYPERLINK("http://www.jccm.es/sede/tramite/JDF","COMUNICACION PARA EL REGISTRO DE INSTALACIONES ELECTRICAS DE ALTA TENSION (EXCEPTO LINEAS) NO SUJETAS A AUTORIZACION")</f>
        <v>COMUNICACION PARA EL REGISTRO DE INSTALACIONES ELECTRICAS DE ALTA TENSION (EXCEPTO LINEAS) NO SUJETAS A AUTORIZACION</v>
      </c>
      <c r="I138" s="3" t="s">
        <v>42</v>
      </c>
      <c r="J138" s="3" t="s">
        <v>41</v>
      </c>
      <c r="K138" s="3" t="s">
        <v>42</v>
      </c>
      <c r="L138" s="3" t="s">
        <v>41</v>
      </c>
    </row>
    <row r="139" spans="1:12" ht="45.95">
      <c r="A139" s="3" t="s">
        <v>2847</v>
      </c>
      <c r="B139" s="3" t="s">
        <v>2848</v>
      </c>
      <c r="C139" s="3" t="s">
        <v>45</v>
      </c>
      <c r="D139" s="3" t="s">
        <v>37</v>
      </c>
      <c r="E139" s="3" t="s">
        <v>2417</v>
      </c>
      <c r="F139" s="3" t="s">
        <v>2418</v>
      </c>
      <c r="G139" s="3" t="s">
        <v>2849</v>
      </c>
      <c r="H139" s="3" t="str">
        <f>HYPERLINK("http://www.jccm.es/sede/tramite/JDH","REGISTRO DE LA INSTALACION DE LINEAS DE ALTA TENSION NO SUJETAS A AUTORIZACION")</f>
        <v>REGISTRO DE LA INSTALACION DE LINEAS DE ALTA TENSION NO SUJETAS A AUTORIZACION</v>
      </c>
      <c r="I139" s="3" t="s">
        <v>42</v>
      </c>
      <c r="J139" s="3" t="s">
        <v>41</v>
      </c>
      <c r="K139" s="3" t="s">
        <v>42</v>
      </c>
      <c r="L139" s="3" t="s">
        <v>41</v>
      </c>
    </row>
    <row r="140" spans="1:12" ht="45.95">
      <c r="A140" s="3" t="s">
        <v>2850</v>
      </c>
      <c r="B140" s="3" t="s">
        <v>2851</v>
      </c>
      <c r="C140" s="3" t="s">
        <v>45</v>
      </c>
      <c r="D140" s="3" t="s">
        <v>37</v>
      </c>
      <c r="E140" s="3" t="s">
        <v>2417</v>
      </c>
      <c r="F140" s="3" t="s">
        <v>2418</v>
      </c>
      <c r="G140" s="3" t="s">
        <v>2852</v>
      </c>
      <c r="H140" s="3" t="str">
        <f>HYPERLINK("http://www.jccm.es/sede/tramite/JDI","REGISTRO DE UNA INSTALACION FRIGORIFICA")</f>
        <v>REGISTRO DE UNA INSTALACION FRIGORIFICA</v>
      </c>
      <c r="I140" s="3" t="s">
        <v>42</v>
      </c>
      <c r="J140" s="3" t="s">
        <v>41</v>
      </c>
      <c r="K140" s="3" t="s">
        <v>42</v>
      </c>
      <c r="L140" s="3" t="s">
        <v>41</v>
      </c>
    </row>
    <row r="141" spans="1:12" ht="45.95">
      <c r="A141" s="3" t="s">
        <v>2853</v>
      </c>
      <c r="B141" s="3" t="s">
        <v>2854</v>
      </c>
      <c r="C141" s="3" t="s">
        <v>45</v>
      </c>
      <c r="D141" s="3" t="s">
        <v>37</v>
      </c>
      <c r="E141" s="3" t="s">
        <v>2417</v>
      </c>
      <c r="F141" s="3" t="s">
        <v>2418</v>
      </c>
      <c r="G141" s="3" t="s">
        <v>2855</v>
      </c>
      <c r="H141" s="3" t="str">
        <f>HYPERLINK("http://www.jccm.es/sede/tramite/JDO","REGISTRO DE CENTROS DE ALMACENAMIENTO Y DISTRIBUCION DE ENVASES DE GLP")</f>
        <v>REGISTRO DE CENTROS DE ALMACENAMIENTO Y DISTRIBUCION DE ENVASES DE GLP</v>
      </c>
      <c r="I141" s="3" t="s">
        <v>42</v>
      </c>
      <c r="J141" s="3" t="s">
        <v>41</v>
      </c>
      <c r="K141" s="3" t="s">
        <v>42</v>
      </c>
      <c r="L141" s="3" t="s">
        <v>42</v>
      </c>
    </row>
    <row r="142" spans="1:12" ht="57.6">
      <c r="A142" s="3" t="s">
        <v>2856</v>
      </c>
      <c r="B142" s="3" t="s">
        <v>2857</v>
      </c>
      <c r="C142" s="3" t="s">
        <v>45</v>
      </c>
      <c r="D142" s="3" t="s">
        <v>37</v>
      </c>
      <c r="E142" s="3" t="s">
        <v>2417</v>
      </c>
      <c r="F142" s="3" t="s">
        <v>2418</v>
      </c>
      <c r="G142" s="3" t="s">
        <v>2858</v>
      </c>
      <c r="H142" s="3" t="str">
        <f>HYPERLINK("http://www.jccm.es/sede/tramite/JDP","REGISTRO DE UNA INSTALACION DE ALMACENAMIENTO DE GLP EN DEPOSITOS FIJOS NO SUJETA A AUTORIZACION")</f>
        <v>REGISTRO DE UNA INSTALACION DE ALMACENAMIENTO DE GLP EN DEPOSITOS FIJOS NO SUJETA A AUTORIZACION</v>
      </c>
      <c r="I142" s="3" t="s">
        <v>42</v>
      </c>
      <c r="J142" s="3" t="s">
        <v>41</v>
      </c>
      <c r="K142" s="3" t="s">
        <v>42</v>
      </c>
      <c r="L142" s="3" t="s">
        <v>41</v>
      </c>
    </row>
    <row r="143" spans="1:12" ht="57.6">
      <c r="A143" s="3" t="s">
        <v>2859</v>
      </c>
      <c r="B143" s="3" t="s">
        <v>2860</v>
      </c>
      <c r="C143" s="3" t="s">
        <v>45</v>
      </c>
      <c r="D143" s="3" t="s">
        <v>37</v>
      </c>
      <c r="E143" s="3" t="s">
        <v>2417</v>
      </c>
      <c r="F143" s="3" t="s">
        <v>2418</v>
      </c>
      <c r="G143" s="3" t="s">
        <v>2861</v>
      </c>
      <c r="H143" s="3" t="str">
        <f>HYPERLINK("http://www.jccm.es/sede/tramite/JDS","REGISTRO DE UNA INSTALACION DE PLANTA SATELITE DE GNL (GAS NATURAL LICUADO) NO SUJETA A AUTORIZACION")</f>
        <v>REGISTRO DE UNA INSTALACION DE PLANTA SATELITE DE GNL (GAS NATURAL LICUADO) NO SUJETA A AUTORIZACION</v>
      </c>
      <c r="I143" s="3" t="s">
        <v>42</v>
      </c>
      <c r="J143" s="3" t="s">
        <v>41</v>
      </c>
      <c r="K143" s="3" t="s">
        <v>42</v>
      </c>
      <c r="L143" s="3" t="s">
        <v>41</v>
      </c>
    </row>
    <row r="144" spans="1:12" ht="45.95">
      <c r="A144" s="3" t="s">
        <v>2862</v>
      </c>
      <c r="B144" s="3" t="s">
        <v>2863</v>
      </c>
      <c r="C144" s="3" t="s">
        <v>45</v>
      </c>
      <c r="D144" s="3" t="s">
        <v>37</v>
      </c>
      <c r="E144" s="3" t="s">
        <v>2417</v>
      </c>
      <c r="F144" s="3" t="s">
        <v>2418</v>
      </c>
      <c r="G144" s="3" t="s">
        <v>2864</v>
      </c>
      <c r="H144" s="3" t="str">
        <f>HYPERLINK("http://www.jccm.es/sede/tramite/JDT","REGISTRO DE UNA ESTACION DE SERVICIO PARA VEHICULOS A GAS")</f>
        <v>REGISTRO DE UNA ESTACION DE SERVICIO PARA VEHICULOS A GAS</v>
      </c>
      <c r="I144" s="3" t="s">
        <v>42</v>
      </c>
      <c r="J144" s="3" t="s">
        <v>41</v>
      </c>
      <c r="K144" s="3" t="s">
        <v>42</v>
      </c>
      <c r="L144" s="3" t="s">
        <v>41</v>
      </c>
    </row>
    <row r="145" spans="1:12" ht="45.95">
      <c r="A145" s="3" t="s">
        <v>2865</v>
      </c>
      <c r="B145" s="3" t="s">
        <v>2866</v>
      </c>
      <c r="C145" s="3" t="s">
        <v>45</v>
      </c>
      <c r="D145" s="3" t="s">
        <v>37</v>
      </c>
      <c r="E145" s="3" t="s">
        <v>2417</v>
      </c>
      <c r="F145" s="3" t="s">
        <v>2418</v>
      </c>
      <c r="G145" s="3" t="s">
        <v>2867</v>
      </c>
      <c r="H145" s="3" t="str">
        <f>HYPERLINK("http://www.jccm.es/sede/tramite/JDU","REGISTRO DE UNA INSTALACION RECEPTORA DE COMBUSTIBLES GASEOSOS")</f>
        <v>REGISTRO DE UNA INSTALACION RECEPTORA DE COMBUSTIBLES GASEOSOS</v>
      </c>
      <c r="I145" s="3" t="s">
        <v>42</v>
      </c>
      <c r="J145" s="3" t="s">
        <v>41</v>
      </c>
      <c r="K145" s="3" t="s">
        <v>42</v>
      </c>
      <c r="L145" s="3" t="s">
        <v>42</v>
      </c>
    </row>
    <row r="146" spans="1:12" ht="45.95">
      <c r="A146" s="3" t="s">
        <v>2868</v>
      </c>
      <c r="B146" s="3" t="s">
        <v>2869</v>
      </c>
      <c r="C146" s="3" t="s">
        <v>45</v>
      </c>
      <c r="D146" s="3" t="s">
        <v>37</v>
      </c>
      <c r="E146" s="3" t="s">
        <v>2417</v>
      </c>
      <c r="F146" s="3" t="s">
        <v>2418</v>
      </c>
      <c r="G146" s="3" t="s">
        <v>2870</v>
      </c>
      <c r="H146" s="3" t="str">
        <f>HYPERLINK("http://www.jccm.es/sede/tramite/JDW","REGISTRO DE UNA INSTALACION DE ALMACENAMIENTO DE PRODUCTOS QUIMICOS")</f>
        <v>REGISTRO DE UNA INSTALACION DE ALMACENAMIENTO DE PRODUCTOS QUIMICOS</v>
      </c>
      <c r="I146" s="3" t="s">
        <v>42</v>
      </c>
      <c r="J146" s="3" t="s">
        <v>41</v>
      </c>
      <c r="K146" s="3" t="s">
        <v>42</v>
      </c>
      <c r="L146" s="3" t="s">
        <v>41</v>
      </c>
    </row>
    <row r="147" spans="1:12" ht="45.95">
      <c r="A147" s="3" t="s">
        <v>2871</v>
      </c>
      <c r="B147" s="3" t="s">
        <v>2872</v>
      </c>
      <c r="C147" s="3" t="s">
        <v>45</v>
      </c>
      <c r="D147" s="3" t="s">
        <v>37</v>
      </c>
      <c r="E147" s="3" t="s">
        <v>2417</v>
      </c>
      <c r="F147" s="3" t="s">
        <v>2418</v>
      </c>
      <c r="G147" s="3" t="s">
        <v>2873</v>
      </c>
      <c r="H147" s="3" t="str">
        <f>HYPERLINK("http://www.jccm.es/sede/tramite/JDX","REGISTRO DE UNA INSTALACION DE EQUIPOS A PRESION")</f>
        <v>REGISTRO DE UNA INSTALACION DE EQUIPOS A PRESION</v>
      </c>
      <c r="I147" s="3" t="s">
        <v>42</v>
      </c>
      <c r="J147" s="3" t="s">
        <v>41</v>
      </c>
      <c r="K147" s="3" t="s">
        <v>42</v>
      </c>
      <c r="L147" s="3" t="s">
        <v>41</v>
      </c>
    </row>
    <row r="148" spans="1:12" ht="45.95">
      <c r="A148" s="3" t="s">
        <v>2874</v>
      </c>
      <c r="B148" s="3" t="s">
        <v>2875</v>
      </c>
      <c r="C148" s="3" t="s">
        <v>45</v>
      </c>
      <c r="D148" s="3" t="s">
        <v>37</v>
      </c>
      <c r="E148" s="3" t="s">
        <v>2417</v>
      </c>
      <c r="F148" s="3" t="s">
        <v>2418</v>
      </c>
      <c r="G148" s="3" t="s">
        <v>2876</v>
      </c>
      <c r="H148" s="3" t="str">
        <f>HYPERLINK("http://www.jccm.es/sede/tramite/JE1","REGISTRO DE ESTABLECIMIENTO AFECTADO POR NORMATIVA DE ACCIDENTES GRAVES.")</f>
        <v>REGISTRO DE ESTABLECIMIENTO AFECTADO POR NORMATIVA DE ACCIDENTES GRAVES.</v>
      </c>
      <c r="I148" s="3" t="s">
        <v>42</v>
      </c>
      <c r="J148" s="3" t="s">
        <v>41</v>
      </c>
      <c r="K148" s="3" t="s">
        <v>42</v>
      </c>
      <c r="L148" s="3" t="s">
        <v>41</v>
      </c>
    </row>
    <row r="149" spans="1:12" ht="45.95">
      <c r="A149" s="3" t="s">
        <v>2877</v>
      </c>
      <c r="B149" s="3" t="s">
        <v>2878</v>
      </c>
      <c r="C149" s="3" t="s">
        <v>45</v>
      </c>
      <c r="D149" s="3" t="s">
        <v>37</v>
      </c>
      <c r="E149" s="3" t="s">
        <v>2417</v>
      </c>
      <c r="F149" s="3" t="s">
        <v>2418</v>
      </c>
      <c r="G149" s="3" t="s">
        <v>2879</v>
      </c>
      <c r="H149" s="3" t="str">
        <f>HYPERLINK("http://www.jccm.es/sede/tramite/JE4","REGISTRO DE UNA INSTALACION ELECTRICA DE BAJA TENSION")</f>
        <v>REGISTRO DE UNA INSTALACION ELECTRICA DE BAJA TENSION</v>
      </c>
      <c r="I149" s="3" t="s">
        <v>42</v>
      </c>
      <c r="J149" s="3" t="s">
        <v>41</v>
      </c>
      <c r="K149" s="3" t="s">
        <v>42</v>
      </c>
      <c r="L149" s="3" t="s">
        <v>41</v>
      </c>
    </row>
    <row r="150" spans="1:12" ht="45.95">
      <c r="A150" s="3" t="s">
        <v>2880</v>
      </c>
      <c r="B150" s="3" t="s">
        <v>2881</v>
      </c>
      <c r="C150" s="3" t="s">
        <v>45</v>
      </c>
      <c r="D150" s="3" t="s">
        <v>37</v>
      </c>
      <c r="E150" s="3" t="s">
        <v>2417</v>
      </c>
      <c r="F150" s="3" t="s">
        <v>2418</v>
      </c>
      <c r="G150" s="3" t="s">
        <v>2882</v>
      </c>
      <c r="H150" s="3" t="str">
        <f>HYPERLINK("http://www.jccm.es/sede/tramite/JE6","REGISTRO DE UNA INSTALACION TERMICA")</f>
        <v>REGISTRO DE UNA INSTALACION TERMICA</v>
      </c>
      <c r="I150" s="3" t="s">
        <v>42</v>
      </c>
      <c r="J150" s="3" t="s">
        <v>41</v>
      </c>
      <c r="K150" s="3" t="s">
        <v>42</v>
      </c>
      <c r="L150" s="3" t="s">
        <v>41</v>
      </c>
    </row>
    <row r="151" spans="1:12" ht="45.95">
      <c r="A151" s="3" t="s">
        <v>2883</v>
      </c>
      <c r="B151" s="3" t="s">
        <v>2884</v>
      </c>
      <c r="C151" s="3" t="s">
        <v>45</v>
      </c>
      <c r="D151" s="3" t="s">
        <v>37</v>
      </c>
      <c r="E151" s="3" t="s">
        <v>2417</v>
      </c>
      <c r="F151" s="3" t="s">
        <v>2418</v>
      </c>
      <c r="G151" s="3" t="s">
        <v>2885</v>
      </c>
      <c r="H151" s="3" t="str">
        <f>HYPERLINK("http://www.jccm.es/sede/tramite/JEA","REGISTRO DE GRUA TORRE PARA OBRAS U OTRAS APLICACIONES")</f>
        <v>REGISTRO DE GRUA TORRE PARA OBRAS U OTRAS APLICACIONES</v>
      </c>
      <c r="I151" s="3" t="s">
        <v>42</v>
      </c>
      <c r="J151" s="3" t="s">
        <v>41</v>
      </c>
      <c r="K151" s="3" t="s">
        <v>42</v>
      </c>
      <c r="L151" s="3" t="s">
        <v>41</v>
      </c>
    </row>
    <row r="152" spans="1:12" ht="45.95">
      <c r="A152" s="3" t="s">
        <v>2886</v>
      </c>
      <c r="B152" s="3" t="s">
        <v>2887</v>
      </c>
      <c r="C152" s="3" t="s">
        <v>45</v>
      </c>
      <c r="D152" s="3" t="s">
        <v>37</v>
      </c>
      <c r="E152" s="3" t="s">
        <v>2417</v>
      </c>
      <c r="F152" s="3" t="s">
        <v>2418</v>
      </c>
      <c r="G152" s="3" t="s">
        <v>2888</v>
      </c>
      <c r="H152" s="3" t="str">
        <f>HYPERLINK("http://www.jccm.es/sede/tramite/JEC","REGISTRO DE DECLARACION INDIVIDUALIZADA DE GRUA MOVIL AUTOPROPULSADA.")</f>
        <v>REGISTRO DE DECLARACION INDIVIDUALIZADA DE GRUA MOVIL AUTOPROPULSADA.</v>
      </c>
      <c r="I152" s="3" t="s">
        <v>42</v>
      </c>
      <c r="J152" s="3" t="s">
        <v>41</v>
      </c>
      <c r="K152" s="3" t="s">
        <v>42</v>
      </c>
      <c r="L152" s="3" t="s">
        <v>41</v>
      </c>
    </row>
    <row r="153" spans="1:12" ht="45.95">
      <c r="A153" s="3" t="s">
        <v>2889</v>
      </c>
      <c r="B153" s="3" t="s">
        <v>2890</v>
      </c>
      <c r="C153" s="3" t="s">
        <v>62</v>
      </c>
      <c r="D153" s="3" t="s">
        <v>37</v>
      </c>
      <c r="E153" s="3" t="s">
        <v>2417</v>
      </c>
      <c r="F153" s="3" t="s">
        <v>2418</v>
      </c>
      <c r="G153" s="3" t="s">
        <v>2891</v>
      </c>
      <c r="H153" s="3" t="str">
        <f>HYPERLINK("http://www.jccm.es/sede/tramite/JED","REGISTRO DE UNA INSTALACION Y EQUIPOS DE RAYOS X PARA DIAGNOSTICO MEDICO")</f>
        <v>REGISTRO DE UNA INSTALACION Y EQUIPOS DE RAYOS X PARA DIAGNOSTICO MEDICO</v>
      </c>
      <c r="I153" s="3" t="s">
        <v>42</v>
      </c>
      <c r="J153" s="3" t="s">
        <v>41</v>
      </c>
      <c r="K153" s="3" t="s">
        <v>42</v>
      </c>
      <c r="L153" s="3" t="s">
        <v>42</v>
      </c>
    </row>
    <row r="154" spans="1:12" ht="45.95">
      <c r="A154" s="3" t="s">
        <v>2892</v>
      </c>
      <c r="B154" s="3" t="s">
        <v>2893</v>
      </c>
      <c r="C154" s="3" t="s">
        <v>45</v>
      </c>
      <c r="D154" s="3" t="s">
        <v>37</v>
      </c>
      <c r="E154" s="3" t="s">
        <v>2417</v>
      </c>
      <c r="F154" s="3" t="s">
        <v>2418</v>
      </c>
      <c r="G154" s="3" t="s">
        <v>2894</v>
      </c>
      <c r="H154" s="3" t="str">
        <f>HYPERLINK("http://www.jccm.es/sede/tramite/JCC","REGISTRO DE UNA ENTIDAD DE FORMACION PARA LA OBTENCION DEL CARNE PROFESIONAL Y CURSOS")</f>
        <v>REGISTRO DE UNA ENTIDAD DE FORMACION PARA LA OBTENCION DEL CARNE PROFESIONAL Y CURSOS</v>
      </c>
      <c r="I154" s="3" t="s">
        <v>42</v>
      </c>
      <c r="J154" s="3" t="s">
        <v>41</v>
      </c>
      <c r="K154" s="3" t="s">
        <v>42</v>
      </c>
      <c r="L154" s="3" t="s">
        <v>41</v>
      </c>
    </row>
    <row r="155" spans="1:12" ht="45.95">
      <c r="A155" s="3" t="s">
        <v>2895</v>
      </c>
      <c r="B155" s="3" t="s">
        <v>2896</v>
      </c>
      <c r="C155" s="3" t="s">
        <v>45</v>
      </c>
      <c r="D155" s="3" t="s">
        <v>37</v>
      </c>
      <c r="E155" s="3" t="s">
        <v>2417</v>
      </c>
      <c r="F155" s="3" t="s">
        <v>2418</v>
      </c>
      <c r="G155" s="3" t="s">
        <v>2897</v>
      </c>
      <c r="H155" s="3" t="str">
        <f>HYPERLINK("http://www.jccm.es/sede/tramite/JEU","CATALOGACION DE VEHICULO HISTORICO")</f>
        <v>CATALOGACION DE VEHICULO HISTORICO</v>
      </c>
      <c r="I155" s="3" t="s">
        <v>42</v>
      </c>
      <c r="J155" s="3" t="s">
        <v>41</v>
      </c>
      <c r="K155" s="3" t="s">
        <v>42</v>
      </c>
      <c r="L155" s="3" t="s">
        <v>41</v>
      </c>
    </row>
    <row r="156" spans="1:12" ht="45.95">
      <c r="A156" s="3" t="s">
        <v>2898</v>
      </c>
      <c r="B156" s="3" t="s">
        <v>2899</v>
      </c>
      <c r="C156" s="3" t="s">
        <v>45</v>
      </c>
      <c r="D156" s="3" t="s">
        <v>46</v>
      </c>
      <c r="E156" s="3" t="s">
        <v>2417</v>
      </c>
      <c r="F156" s="3" t="s">
        <v>2418</v>
      </c>
      <c r="G156" s="3" t="s">
        <v>2900</v>
      </c>
      <c r="H156" s="3" t="str">
        <f>HYPERLINK("http://www.jccm.es/sede/tramite/JD0","DESIGNACION Y REGISTRO DE ORGANISMO AUTORIZADO DE VERIFICACION METROLOGICA")</f>
        <v>DESIGNACION Y REGISTRO DE ORGANISMO AUTORIZADO DE VERIFICACION METROLOGICA</v>
      </c>
      <c r="I156" s="3" t="s">
        <v>42</v>
      </c>
      <c r="J156" s="3" t="s">
        <v>41</v>
      </c>
      <c r="K156" s="3" t="s">
        <v>42</v>
      </c>
      <c r="L156" s="3" t="s">
        <v>41</v>
      </c>
    </row>
    <row r="157" spans="1:12" ht="45.95">
      <c r="A157" s="3" t="s">
        <v>2901</v>
      </c>
      <c r="B157" s="3" t="s">
        <v>2902</v>
      </c>
      <c r="C157" s="3" t="s">
        <v>45</v>
      </c>
      <c r="D157" s="3" t="s">
        <v>37</v>
      </c>
      <c r="E157" s="3" t="s">
        <v>2417</v>
      </c>
      <c r="F157" s="3" t="s">
        <v>2418</v>
      </c>
      <c r="G157" s="3" t="s">
        <v>2903</v>
      </c>
      <c r="H157" s="3" t="str">
        <f>HYPERLINK("http://www.jccm.es/sede/tramite/JD1","ACTUALIZACION DE LOS DATOS REGISTRALES DE UN ORGANISMO AUTORIZADO DE VERIFICACION METROLOGICA")</f>
        <v>ACTUALIZACION DE LOS DATOS REGISTRALES DE UN ORGANISMO AUTORIZADO DE VERIFICACION METROLOGICA</v>
      </c>
      <c r="I157" s="3" t="s">
        <v>42</v>
      </c>
      <c r="J157" s="3" t="s">
        <v>41</v>
      </c>
      <c r="K157" s="3" t="s">
        <v>42</v>
      </c>
      <c r="L157" s="3" t="s">
        <v>41</v>
      </c>
    </row>
    <row r="158" spans="1:12" ht="92.1">
      <c r="A158" s="3" t="s">
        <v>2904</v>
      </c>
      <c r="B158" s="3" t="s">
        <v>2905</v>
      </c>
      <c r="C158" s="3" t="s">
        <v>95</v>
      </c>
      <c r="D158" s="3" t="s">
        <v>37</v>
      </c>
      <c r="E158" s="3" t="s">
        <v>2417</v>
      </c>
      <c r="F158" s="3" t="s">
        <v>2418</v>
      </c>
      <c r="G158" s="3" t="s">
        <v>2906</v>
      </c>
      <c r="H158" s="3" t="str">
        <f>HYPERLINK("http://www.jccm.es/sede/tramite/IKA","REGISTRO DE ENTIDADES FABRICANTES / COMERCIALIZADORAS / IMPORTADORAS / ARRENDADORAS DE INSTRUMENTOS DE MEDIDA SOMETIDOS A CONTROL METROLOGICO DEL ESTADO")</f>
        <v>REGISTRO DE ENTIDADES FABRICANTES / COMERCIALIZADORAS / IMPORTADORAS / ARRENDADORAS DE INSTRUMENTOS DE MEDIDA SOMETIDOS A CONTROL METROLOGICO DEL ESTADO</v>
      </c>
      <c r="I158" s="3" t="s">
        <v>42</v>
      </c>
      <c r="J158" s="3" t="s">
        <v>41</v>
      </c>
      <c r="K158" s="3" t="s">
        <v>42</v>
      </c>
      <c r="L158" s="3" t="s">
        <v>41</v>
      </c>
    </row>
    <row r="159" spans="1:12" ht="103.5">
      <c r="A159" s="3" t="s">
        <v>2907</v>
      </c>
      <c r="B159" s="3" t="s">
        <v>2908</v>
      </c>
      <c r="C159" s="3" t="s">
        <v>95</v>
      </c>
      <c r="D159" s="3" t="s">
        <v>37</v>
      </c>
      <c r="E159" s="3" t="s">
        <v>2417</v>
      </c>
      <c r="F159" s="3" t="s">
        <v>2418</v>
      </c>
      <c r="G159" s="3" t="s">
        <v>2909</v>
      </c>
      <c r="H159" s="3" t="str">
        <f>HYPERLINK("http://www.jccm.es/sede/tramite/JD4","ACTUALIZACION DE DATOS REGISTRALES DE LAS INSCRIPCIONES EN EL REGISTRO DE CONTROL METROLOGICO DE ENTIDADES FABRICANTES / COMERCIALIZADORAS / IMPORTADORAS / ARRENDADORAS")</f>
        <v>ACTUALIZACION DE DATOS REGISTRALES DE LAS INSCRIPCIONES EN EL REGISTRO DE CONTROL METROLOGICO DE ENTIDADES FABRICANTES / COMERCIALIZADORAS / IMPORTADORAS / ARRENDADORAS</v>
      </c>
      <c r="I159" s="3" t="s">
        <v>42</v>
      </c>
      <c r="J159" s="3" t="s">
        <v>41</v>
      </c>
      <c r="K159" s="3" t="s">
        <v>42</v>
      </c>
      <c r="L159" s="3" t="s">
        <v>41</v>
      </c>
    </row>
    <row r="160" spans="1:12" ht="45.95">
      <c r="A160" s="3" t="s">
        <v>2910</v>
      </c>
      <c r="B160" s="3" t="s">
        <v>2911</v>
      </c>
      <c r="C160" s="3" t="s">
        <v>95</v>
      </c>
      <c r="D160" s="3" t="s">
        <v>37</v>
      </c>
      <c r="E160" s="3" t="s">
        <v>2417</v>
      </c>
      <c r="F160" s="3" t="s">
        <v>2418</v>
      </c>
      <c r="G160" s="3" t="s">
        <v>2912</v>
      </c>
      <c r="H160" s="3" t="str">
        <f>HYPERLINK("http://www.jccm.es/sede/tramite/JD7","REGISTRO DE EMPRESA REPARADORA/MANTENEDORA DE APARATOS SOMETIDOS A CONTROL METROLOGICO")</f>
        <v>REGISTRO DE EMPRESA REPARADORA/MANTENEDORA DE APARATOS SOMETIDOS A CONTROL METROLOGICO</v>
      </c>
      <c r="I160" s="3" t="s">
        <v>42</v>
      </c>
      <c r="J160" s="3" t="s">
        <v>41</v>
      </c>
      <c r="K160" s="3" t="s">
        <v>42</v>
      </c>
      <c r="L160" s="3" t="s">
        <v>41</v>
      </c>
    </row>
    <row r="161" spans="1:12" ht="45.95">
      <c r="A161" s="3" t="s">
        <v>2913</v>
      </c>
      <c r="B161" s="3" t="s">
        <v>2914</v>
      </c>
      <c r="C161" s="3" t="s">
        <v>45</v>
      </c>
      <c r="D161" s="3" t="s">
        <v>37</v>
      </c>
      <c r="E161" s="3" t="s">
        <v>2417</v>
      </c>
      <c r="F161" s="3" t="s">
        <v>2418</v>
      </c>
      <c r="G161" s="3" t="s">
        <v>2915</v>
      </c>
      <c r="H161" s="3" t="str">
        <f>HYPERLINK("http://www.jccm.es/sede/tramite/JEG","REGISTRO DE ORGANISMO NOTIFICADO U ORGANISMO DE CONTROL METROLOGICO")</f>
        <v>REGISTRO DE ORGANISMO NOTIFICADO U ORGANISMO DE CONTROL METROLOGICO</v>
      </c>
      <c r="I161" s="3" t="s">
        <v>42</v>
      </c>
      <c r="J161" s="3" t="s">
        <v>41</v>
      </c>
      <c r="K161" s="3" t="s">
        <v>42</v>
      </c>
      <c r="L161" s="3" t="s">
        <v>41</v>
      </c>
    </row>
    <row r="162" spans="1:12" ht="45.95">
      <c r="A162" s="3" t="s">
        <v>2916</v>
      </c>
      <c r="B162" s="3" t="s">
        <v>2917</v>
      </c>
      <c r="C162" s="3" t="s">
        <v>95</v>
      </c>
      <c r="D162" s="3" t="s">
        <v>37</v>
      </c>
      <c r="E162" s="3" t="s">
        <v>2417</v>
      </c>
      <c r="F162" s="3" t="s">
        <v>2418</v>
      </c>
      <c r="G162" s="3" t="s">
        <v>2918</v>
      </c>
      <c r="H162" s="3" t="str">
        <f>HYPERLINK("http://www.jccm.es/sede/tramite/JEH","ACTUALIZACION DE LOS DATOS REGISTRALES DE ORGANISMO DE CONTROL METROLOGICO U ORGANISMO NOTIFICADO")</f>
        <v>ACTUALIZACION DE LOS DATOS REGISTRALES DE ORGANISMO DE CONTROL METROLOGICO U ORGANISMO NOTIFICADO</v>
      </c>
      <c r="I162" s="3" t="s">
        <v>42</v>
      </c>
      <c r="J162" s="3" t="s">
        <v>41</v>
      </c>
      <c r="K162" s="3" t="s">
        <v>42</v>
      </c>
      <c r="L162" s="3" t="s">
        <v>41</v>
      </c>
    </row>
    <row r="163" spans="1:12" ht="69">
      <c r="A163" s="3" t="s">
        <v>2919</v>
      </c>
      <c r="B163" s="3" t="s">
        <v>2920</v>
      </c>
      <c r="C163" s="3" t="s">
        <v>62</v>
      </c>
      <c r="D163" s="3" t="s">
        <v>37</v>
      </c>
      <c r="E163" s="3" t="s">
        <v>2417</v>
      </c>
      <c r="F163" s="3" t="s">
        <v>2418</v>
      </c>
      <c r="G163" s="3" t="s">
        <v>2921</v>
      </c>
      <c r="H163" s="3" t="str">
        <f>HYPERLINK("http://www.jccm.es/sede/tramite/J9Y","MODIFICACION DE LOS DATOS INSCRITOS EN EL REGISTRO AUTONOMICO DE INSTALACIONES DE PRODUCCION DE ENERGIA ELECTRICA")</f>
        <v>MODIFICACION DE LOS DATOS INSCRITOS EN EL REGISTRO AUTONOMICO DE INSTALACIONES DE PRODUCCION DE ENERGIA ELECTRICA</v>
      </c>
      <c r="I163" s="3" t="s">
        <v>42</v>
      </c>
      <c r="J163" s="3" t="s">
        <v>41</v>
      </c>
      <c r="K163" s="3" t="s">
        <v>42</v>
      </c>
      <c r="L163" s="3" t="s">
        <v>41</v>
      </c>
    </row>
    <row r="164" spans="1:12" ht="57.6">
      <c r="A164" s="3" t="s">
        <v>2922</v>
      </c>
      <c r="B164" s="3" t="s">
        <v>2923</v>
      </c>
      <c r="C164" s="3" t="s">
        <v>62</v>
      </c>
      <c r="D164" s="3" t="s">
        <v>37</v>
      </c>
      <c r="E164" s="3" t="s">
        <v>2417</v>
      </c>
      <c r="F164" s="3" t="s">
        <v>2418</v>
      </c>
      <c r="G164" s="3" t="s">
        <v>2924</v>
      </c>
      <c r="H164" s="3" t="str">
        <f>HYPERLINK("http://www.jccm.es/sede/tramite/JA1","INSCRIPCION PREVIA EN EL REGISTRO AUTONOMICO DE INSTALACIONES DE PRODUCCION DE ENERGIA ELECTRICA")</f>
        <v>INSCRIPCION PREVIA EN EL REGISTRO AUTONOMICO DE INSTALACIONES DE PRODUCCION DE ENERGIA ELECTRICA</v>
      </c>
      <c r="I164" s="3" t="s">
        <v>42</v>
      </c>
      <c r="J164" s="3" t="s">
        <v>41</v>
      </c>
      <c r="K164" s="3" t="s">
        <v>42</v>
      </c>
      <c r="L164" s="3" t="s">
        <v>41</v>
      </c>
    </row>
    <row r="165" spans="1:12" ht="57.6">
      <c r="A165" s="3" t="s">
        <v>2925</v>
      </c>
      <c r="B165" s="3" t="s">
        <v>2926</v>
      </c>
      <c r="C165" s="3" t="s">
        <v>62</v>
      </c>
      <c r="D165" s="3" t="s">
        <v>46</v>
      </c>
      <c r="E165" s="3" t="s">
        <v>2417</v>
      </c>
      <c r="F165" s="3" t="s">
        <v>2418</v>
      </c>
      <c r="G165" s="3" t="s">
        <v>2927</v>
      </c>
      <c r="H165" s="3" t="str">
        <f>HYPERLINK("http://www.jccm.es/sede/tramite/JA0","INSCRIPCION DEFINITIVA EN EL REGISTRO AUTONOMICO DE INSTALACIONES DE PRODUCCION DE ENERGIA ELECTRICA")</f>
        <v>INSCRIPCION DEFINITIVA EN EL REGISTRO AUTONOMICO DE INSTALACIONES DE PRODUCCION DE ENERGIA ELECTRICA</v>
      </c>
      <c r="I165" s="3" t="s">
        <v>42</v>
      </c>
      <c r="J165" s="3" t="s">
        <v>41</v>
      </c>
      <c r="K165" s="3" t="s">
        <v>42</v>
      </c>
      <c r="L165" s="3" t="s">
        <v>41</v>
      </c>
    </row>
    <row r="166" spans="1:12" ht="69">
      <c r="A166" s="3" t="s">
        <v>2928</v>
      </c>
      <c r="B166" s="3" t="s">
        <v>2929</v>
      </c>
      <c r="C166" s="3" t="s">
        <v>45</v>
      </c>
      <c r="D166" s="3" t="s">
        <v>37</v>
      </c>
      <c r="E166" s="3" t="s">
        <v>2417</v>
      </c>
      <c r="F166" s="3" t="s">
        <v>2418</v>
      </c>
      <c r="G166" s="3" t="s">
        <v>2930</v>
      </c>
      <c r="H166" s="3" t="str">
        <f>HYPERLINK("http://www.jccm.es/sede/tramite/J9Z","CANCELACION DE LA INSCRIPCION EN EL REGISTRO AUTONOMICO DE INSTALACIONES DE PRODUCCION DE ENERGIA ELECTRICA")</f>
        <v>CANCELACION DE LA INSCRIPCION EN EL REGISTRO AUTONOMICO DE INSTALACIONES DE PRODUCCION DE ENERGIA ELECTRICA</v>
      </c>
      <c r="I166" s="3" t="s">
        <v>42</v>
      </c>
      <c r="J166" s="3" t="s">
        <v>41</v>
      </c>
      <c r="K166" s="3" t="s">
        <v>42</v>
      </c>
      <c r="L166" s="3" t="s">
        <v>41</v>
      </c>
    </row>
    <row r="167" spans="1:12" ht="45.95">
      <c r="A167" s="3" t="s">
        <v>2931</v>
      </c>
      <c r="B167" s="3" t="s">
        <v>2932</v>
      </c>
      <c r="C167" s="3" t="s">
        <v>2933</v>
      </c>
      <c r="D167" s="3" t="s">
        <v>37</v>
      </c>
      <c r="E167" s="3" t="s">
        <v>2417</v>
      </c>
      <c r="F167" s="3" t="s">
        <v>2604</v>
      </c>
      <c r="G167" s="3" t="s">
        <v>2934</v>
      </c>
      <c r="H167" s="3" t="str">
        <f>HYPERLINK("http://www.jccm.es/sede/tramite/JX1","INSCRIPCION EN EL REGISTRO ESPECIAL DE INSTALACIONES DE RADIOCOMUNICACION.")</f>
        <v>INSCRIPCION EN EL REGISTRO ESPECIAL DE INSTALACIONES DE RADIOCOMUNICACION.</v>
      </c>
      <c r="I167" s="3" t="s">
        <v>41</v>
      </c>
      <c r="J167" s="3" t="s">
        <v>41</v>
      </c>
      <c r="K167" s="3" t="s">
        <v>42</v>
      </c>
      <c r="L167" s="3" t="s">
        <v>41</v>
      </c>
    </row>
    <row r="168" spans="1:12" ht="57.6">
      <c r="A168" s="3" t="s">
        <v>2935</v>
      </c>
      <c r="B168" s="3" t="s">
        <v>2936</v>
      </c>
      <c r="C168" s="3" t="s">
        <v>95</v>
      </c>
      <c r="D168" s="3" t="s">
        <v>95</v>
      </c>
      <c r="E168" s="3" t="s">
        <v>2417</v>
      </c>
      <c r="F168" s="3" t="s">
        <v>2570</v>
      </c>
      <c r="G168" s="3" t="s">
        <v>2937</v>
      </c>
      <c r="H168" s="3" t="str">
        <f>HYPERLINK("http://www.jccm.es/sede/tramite/E66","COMUNICACION DE INICIO DE ACTIVIDADES DE PRODUCCION  Y GESTION DE RESIDUOS DE CASTILLA-LA MANCHA. PRODUCTOR")</f>
        <v>COMUNICACION DE INICIO DE ACTIVIDADES DE PRODUCCION  Y GESTION DE RESIDUOS DE CASTILLA-LA MANCHA. PRODUCTOR</v>
      </c>
      <c r="I168" s="3" t="s">
        <v>41</v>
      </c>
      <c r="J168" s="3" t="s">
        <v>41</v>
      </c>
      <c r="K168" s="3" t="s">
        <v>42</v>
      </c>
      <c r="L168" s="3" t="s">
        <v>41</v>
      </c>
    </row>
    <row r="169" spans="1:12" ht="57.6">
      <c r="A169" s="3" t="s">
        <v>2938</v>
      </c>
      <c r="B169" s="3" t="s">
        <v>2939</v>
      </c>
      <c r="C169" s="3" t="s">
        <v>95</v>
      </c>
      <c r="D169" s="3" t="s">
        <v>95</v>
      </c>
      <c r="E169" s="3" t="s">
        <v>2417</v>
      </c>
      <c r="F169" s="3" t="s">
        <v>2570</v>
      </c>
      <c r="G169" s="3" t="s">
        <v>2940</v>
      </c>
      <c r="H169" s="3" t="str">
        <f>HYPERLINK("http://www.jccm.es/sede/tramite/I7Z","COMUNICACION DE INICIO EN EL REGISTRO DE PRODUCCION Y GESTION DE RESIDUOS DE CASTILLA-LA MANCHA. TRANSPORTISTA")</f>
        <v>COMUNICACION DE INICIO EN EL REGISTRO DE PRODUCCION Y GESTION DE RESIDUOS DE CASTILLA-LA MANCHA. TRANSPORTISTA</v>
      </c>
      <c r="I169" s="3" t="s">
        <v>41</v>
      </c>
      <c r="J169" s="3" t="s">
        <v>41</v>
      </c>
      <c r="K169" s="3" t="s">
        <v>42</v>
      </c>
      <c r="L169" s="3" t="s">
        <v>42</v>
      </c>
    </row>
    <row r="170" spans="1:12" ht="45.95">
      <c r="A170" s="3" t="s">
        <v>2941</v>
      </c>
      <c r="B170" s="3" t="s">
        <v>2942</v>
      </c>
      <c r="C170" s="3" t="s">
        <v>95</v>
      </c>
      <c r="D170" s="3" t="s">
        <v>95</v>
      </c>
      <c r="E170" s="3" t="s">
        <v>2417</v>
      </c>
      <c r="F170" s="3" t="s">
        <v>2570</v>
      </c>
      <c r="G170" s="3" t="s">
        <v>2943</v>
      </c>
      <c r="H170" s="3" t="str">
        <f>HYPERLINK("http://www.jccm.es/sede/tramite/JB9","NOTIFICACION ANUAL DE DATOS AL REGISTRO PRTR DE CASTILLA-LA MANCHA")</f>
        <v>NOTIFICACION ANUAL DE DATOS AL REGISTRO PRTR DE CASTILLA-LA MANCHA</v>
      </c>
      <c r="I170" s="3" t="s">
        <v>41</v>
      </c>
      <c r="J170" s="3" t="s">
        <v>41</v>
      </c>
      <c r="K170" s="3" t="s">
        <v>42</v>
      </c>
      <c r="L170" s="3" t="s">
        <v>41</v>
      </c>
    </row>
    <row r="171" spans="1:12" ht="92.1">
      <c r="A171" s="3" t="s">
        <v>2944</v>
      </c>
      <c r="B171" s="3" t="s">
        <v>2945</v>
      </c>
      <c r="C171" s="3" t="s">
        <v>2946</v>
      </c>
      <c r="D171" s="3" t="s">
        <v>37</v>
      </c>
      <c r="E171" s="3" t="s">
        <v>2417</v>
      </c>
      <c r="F171" s="3" t="s">
        <v>2581</v>
      </c>
      <c r="G171" s="3" t="s">
        <v>2947</v>
      </c>
      <c r="H171" s="3" t="str">
        <f>HYPERLINK("http://www.jccm.es/sede/tramite/JBC","INFORMACION AMBIENTAL")</f>
        <v>INFORMACION AMBIENTAL</v>
      </c>
      <c r="I171" s="3" t="s">
        <v>42</v>
      </c>
      <c r="J171" s="3" t="s">
        <v>41</v>
      </c>
      <c r="K171" s="3" t="s">
        <v>42</v>
      </c>
      <c r="L171" s="3" t="s">
        <v>41</v>
      </c>
    </row>
    <row r="172" spans="1:12" ht="45.95">
      <c r="A172" s="3" t="s">
        <v>2948</v>
      </c>
      <c r="B172" s="3" t="s">
        <v>2949</v>
      </c>
      <c r="C172" s="3" t="s">
        <v>95</v>
      </c>
      <c r="D172" s="3" t="s">
        <v>95</v>
      </c>
      <c r="E172" s="3" t="s">
        <v>2417</v>
      </c>
      <c r="F172" s="3" t="s">
        <v>2570</v>
      </c>
      <c r="G172" s="3" t="s">
        <v>2950</v>
      </c>
      <c r="H172" s="3" t="str">
        <f>HYPERLINK("http://www.jccm.es/sede/tramite/JBF","NOTIFICACION Y REGISTRO DE CENTROS EMISORES DE COVS")</f>
        <v>NOTIFICACION Y REGISTRO DE CENTROS EMISORES DE COVS</v>
      </c>
      <c r="I172" s="3" t="s">
        <v>42</v>
      </c>
      <c r="J172" s="3" t="s">
        <v>41</v>
      </c>
      <c r="K172" s="3" t="s">
        <v>42</v>
      </c>
      <c r="L172" s="3" t="s">
        <v>42</v>
      </c>
    </row>
    <row r="173" spans="1:12" ht="138">
      <c r="A173" s="3" t="s">
        <v>2951</v>
      </c>
      <c r="B173" s="3" t="s">
        <v>2952</v>
      </c>
      <c r="C173" s="3" t="s">
        <v>2953</v>
      </c>
      <c r="D173" s="3" t="s">
        <v>37</v>
      </c>
      <c r="E173" s="3" t="s">
        <v>2417</v>
      </c>
      <c r="F173" s="3" t="s">
        <v>2418</v>
      </c>
      <c r="G173" s="3" t="s">
        <v>2954</v>
      </c>
      <c r="H173" s="3" t="str">
        <f>HYPERLINK("http://www.jccm.es/sede/tramite/IM2","REGISTRO DE INSTALACIONES PETROLIFERAS")</f>
        <v>REGISTRO DE INSTALACIONES PETROLIFERAS</v>
      </c>
      <c r="I173" s="3" t="s">
        <v>42</v>
      </c>
      <c r="J173" s="3" t="s">
        <v>41</v>
      </c>
      <c r="K173" s="3" t="s">
        <v>42</v>
      </c>
      <c r="L173" s="3" t="s">
        <v>41</v>
      </c>
    </row>
    <row r="174" spans="1:12" ht="45.95">
      <c r="A174" s="3" t="s">
        <v>2955</v>
      </c>
      <c r="B174" s="3" t="s">
        <v>2956</v>
      </c>
      <c r="C174" s="3" t="s">
        <v>95</v>
      </c>
      <c r="D174" s="3" t="s">
        <v>95</v>
      </c>
      <c r="E174" s="3" t="s">
        <v>2417</v>
      </c>
      <c r="F174" s="3" t="s">
        <v>2418</v>
      </c>
      <c r="G174" s="3" t="s">
        <v>2957</v>
      </c>
      <c r="H174" s="3" t="str">
        <f>HYPERLINK("http://www.jccm.es/sede/tramite/JDV","DECLARACION RESPONSABLE DE EMPRESAS DE SERVICIOS EN MATERIA DE SEGURIDAD INDUSTRIAL.")</f>
        <v>DECLARACION RESPONSABLE DE EMPRESAS DE SERVICIOS EN MATERIA DE SEGURIDAD INDUSTRIAL.</v>
      </c>
      <c r="I174" s="3" t="s">
        <v>41</v>
      </c>
      <c r="J174" s="3" t="s">
        <v>41</v>
      </c>
      <c r="K174" s="3" t="s">
        <v>42</v>
      </c>
      <c r="L174" s="3" t="s">
        <v>42</v>
      </c>
    </row>
    <row r="175" spans="1:12" ht="45.95">
      <c r="A175" s="3" t="s">
        <v>2958</v>
      </c>
      <c r="B175" s="3" t="s">
        <v>2959</v>
      </c>
      <c r="C175" s="3" t="s">
        <v>45</v>
      </c>
      <c r="D175" s="3" t="s">
        <v>37</v>
      </c>
      <c r="E175" s="3" t="s">
        <v>2417</v>
      </c>
      <c r="F175" s="3" t="s">
        <v>2418</v>
      </c>
      <c r="G175" s="3" t="s">
        <v>2960</v>
      </c>
      <c r="H175" s="3" t="str">
        <f>HYPERLINK("http://www.jccm.es/sede/tramite/JE8","REGISTRO DE LA INSTALACION DE UN ASCENSOR")</f>
        <v>REGISTRO DE LA INSTALACION DE UN ASCENSOR</v>
      </c>
      <c r="I175" s="3" t="s">
        <v>42</v>
      </c>
      <c r="J175" s="3" t="s">
        <v>41</v>
      </c>
      <c r="K175" s="3" t="s">
        <v>42</v>
      </c>
      <c r="L175" s="3" t="s">
        <v>41</v>
      </c>
    </row>
    <row r="176" spans="1:12" ht="92.1">
      <c r="A176" s="3" t="s">
        <v>2961</v>
      </c>
      <c r="B176" s="3" t="s">
        <v>2962</v>
      </c>
      <c r="C176" s="3" t="s">
        <v>95</v>
      </c>
      <c r="D176" s="3" t="s">
        <v>95</v>
      </c>
      <c r="E176" s="3" t="s">
        <v>2417</v>
      </c>
      <c r="F176" s="3" t="s">
        <v>2418</v>
      </c>
      <c r="G176" s="3" t="s">
        <v>2963</v>
      </c>
      <c r="H176" s="3" t="str">
        <f>HYPERLINK("http://www.jccm.es/sede/tramite/JNC","INSTALACIONES DE LAVADO INTERIOR, DESGASIFICACION Y DESPRESURIZACION, REPARACION O MODIFICACION DE CISTERNAS DE MERCANCIAS PELIGROSAS (ALTA/BAJA Y MODIFICACION DE DATOS)")</f>
        <v>INSTALACIONES DE LAVADO INTERIOR, DESGASIFICACION Y DESPRESURIZACION, REPARACION O MODIFICACION DE CISTERNAS DE MERCANCIAS PELIGROSAS (ALTA/BAJA Y MODIFICACION DE DATOS)</v>
      </c>
      <c r="I176" s="3" t="s">
        <v>42</v>
      </c>
      <c r="J176" s="3" t="s">
        <v>41</v>
      </c>
      <c r="K176" s="3" t="s">
        <v>42</v>
      </c>
      <c r="L176" s="3" t="s">
        <v>41</v>
      </c>
    </row>
    <row r="177" spans="1:12" ht="57.6">
      <c r="A177" s="3" t="s">
        <v>2964</v>
      </c>
      <c r="B177" s="3" t="s">
        <v>2965</v>
      </c>
      <c r="C177" s="3" t="s">
        <v>45</v>
      </c>
      <c r="D177" s="3" t="s">
        <v>37</v>
      </c>
      <c r="E177" s="3" t="s">
        <v>2417</v>
      </c>
      <c r="F177" s="3" t="s">
        <v>2510</v>
      </c>
      <c r="G177" s="3" t="s">
        <v>2966</v>
      </c>
      <c r="H177" s="3" t="str">
        <f>HYPERLINK("http://www.jccm.es/sede/tramite/JSF","REGISTRO DE ASOCIACIONES DE CONSERVACION DE LA NATURALEZA.")</f>
        <v>REGISTRO DE ASOCIACIONES DE CONSERVACION DE LA NATURALEZA.</v>
      </c>
      <c r="I177" s="3" t="s">
        <v>41</v>
      </c>
      <c r="J177" s="3" t="s">
        <v>41</v>
      </c>
      <c r="K177" s="3" t="s">
        <v>42</v>
      </c>
      <c r="L177" s="3" t="s">
        <v>41</v>
      </c>
    </row>
    <row r="178" spans="1:12" ht="57.6">
      <c r="A178" s="3" t="s">
        <v>2967</v>
      </c>
      <c r="B178" s="3" t="s">
        <v>2968</v>
      </c>
      <c r="C178" s="3" t="s">
        <v>45</v>
      </c>
      <c r="D178" s="3" t="s">
        <v>37</v>
      </c>
      <c r="E178" s="3" t="s">
        <v>2417</v>
      </c>
      <c r="F178" s="3" t="s">
        <v>2510</v>
      </c>
      <c r="G178" s="3" t="s">
        <v>2969</v>
      </c>
      <c r="H178" s="3" t="str">
        <f>HYPERLINK("http://www.jccm.es/sede/tramite/JSE","REGISTRO DE EMPRESAS DE TURISMO EN LA NATURALEZA")</f>
        <v>REGISTRO DE EMPRESAS DE TURISMO EN LA NATURALEZA</v>
      </c>
      <c r="I178" s="3" t="s">
        <v>42</v>
      </c>
      <c r="J178" s="3" t="s">
        <v>41</v>
      </c>
      <c r="K178" s="3" t="s">
        <v>42</v>
      </c>
      <c r="L178" s="3" t="s">
        <v>41</v>
      </c>
    </row>
    <row r="179" spans="1:12" ht="45.95">
      <c r="A179" s="3" t="s">
        <v>2970</v>
      </c>
      <c r="B179" s="3" t="s">
        <v>2971</v>
      </c>
      <c r="C179" s="3" t="s">
        <v>95</v>
      </c>
      <c r="D179" s="3" t="s">
        <v>37</v>
      </c>
      <c r="E179" s="3" t="s">
        <v>2417</v>
      </c>
      <c r="F179" s="3" t="s">
        <v>2418</v>
      </c>
      <c r="G179" s="3" t="s">
        <v>2972</v>
      </c>
      <c r="H179" s="3" t="str">
        <f>HYPERLINK("http://www.jccm.es/sede/tramite/I86","DECLARACION DE ACTIVIDAD EN TALLER DE REPARACION DE VEHICULOS AUTOMOVILES")</f>
        <v>DECLARACION DE ACTIVIDAD EN TALLER DE REPARACION DE VEHICULOS AUTOMOVILES</v>
      </c>
      <c r="I179" s="3" t="s">
        <v>42</v>
      </c>
      <c r="J179" s="3" t="s">
        <v>41</v>
      </c>
      <c r="K179" s="3" t="s">
        <v>42</v>
      </c>
      <c r="L179" s="3" t="s">
        <v>42</v>
      </c>
    </row>
    <row r="180" spans="1:12" ht="45.95">
      <c r="A180" s="3" t="s">
        <v>2973</v>
      </c>
      <c r="B180" s="3" t="s">
        <v>2974</v>
      </c>
      <c r="C180" s="3" t="s">
        <v>45</v>
      </c>
      <c r="D180" s="3" t="s">
        <v>37</v>
      </c>
      <c r="E180" s="3" t="s">
        <v>2417</v>
      </c>
      <c r="F180" s="3" t="s">
        <v>2604</v>
      </c>
      <c r="G180" s="3" t="s">
        <v>2975</v>
      </c>
      <c r="H180" s="3" t="str">
        <f>HYPERLINK("http://www.jccm.es/sede/tramite/ILA","REGISTRO DE RADIO Y TELEVISION DE CASTILLA-LA MANCHA")</f>
        <v>REGISTRO DE RADIO Y TELEVISION DE CASTILLA-LA MANCHA</v>
      </c>
      <c r="I180" s="3" t="s">
        <v>42</v>
      </c>
      <c r="J180" s="3" t="s">
        <v>41</v>
      </c>
      <c r="K180" s="3" t="s">
        <v>42</v>
      </c>
      <c r="L180" s="3" t="s">
        <v>41</v>
      </c>
    </row>
    <row r="181" spans="1:12" ht="57.6">
      <c r="A181" s="3" t="s">
        <v>2976</v>
      </c>
      <c r="B181" s="3" t="s">
        <v>2977</v>
      </c>
      <c r="C181" s="3" t="s">
        <v>45</v>
      </c>
      <c r="D181" s="3" t="s">
        <v>46</v>
      </c>
      <c r="E181" s="3" t="s">
        <v>2417</v>
      </c>
      <c r="F181" s="3" t="s">
        <v>2510</v>
      </c>
      <c r="G181" s="3" t="s">
        <v>2978</v>
      </c>
      <c r="H181" s="3" t="str">
        <f>HYPERLINK("http://www.jccm.es/sede/tramite/KPK","RECONOCIMIENTO DE LA CONDICION DE TITULAR PROFESIONAL CINEGETICO")</f>
        <v>RECONOCIMIENTO DE LA CONDICION DE TITULAR PROFESIONAL CINEGETICO</v>
      </c>
      <c r="I181" s="3" t="s">
        <v>42</v>
      </c>
      <c r="J181" s="3" t="s">
        <v>41</v>
      </c>
      <c r="K181" s="3" t="s">
        <v>42</v>
      </c>
      <c r="L181" s="3" t="s">
        <v>41</v>
      </c>
    </row>
    <row r="182" spans="1:12" ht="57.6">
      <c r="A182" s="3" t="s">
        <v>2979</v>
      </c>
      <c r="B182" s="3" t="s">
        <v>2980</v>
      </c>
      <c r="C182" s="3" t="s">
        <v>45</v>
      </c>
      <c r="D182" s="3" t="s">
        <v>46</v>
      </c>
      <c r="E182" s="3" t="s">
        <v>2417</v>
      </c>
      <c r="F182" s="3" t="s">
        <v>2510</v>
      </c>
      <c r="G182" s="3" t="s">
        <v>2981</v>
      </c>
      <c r="H182" s="3" t="str">
        <f>HYPERLINK("http://www.jccm.es/sede/tramite/KQG","REGISTRO DE EXPLOTACIONES CINEGETICAS EXTERIORES")</f>
        <v>REGISTRO DE EXPLOTACIONES CINEGETICAS EXTERIORES</v>
      </c>
      <c r="I182" s="3" t="s">
        <v>41</v>
      </c>
      <c r="J182" s="3" t="s">
        <v>41</v>
      </c>
      <c r="K182" s="3" t="s">
        <v>42</v>
      </c>
      <c r="L182" s="3" t="s">
        <v>41</v>
      </c>
    </row>
    <row r="183" spans="1:12" ht="57.6">
      <c r="A183" s="3" t="s">
        <v>2982</v>
      </c>
      <c r="B183" s="3" t="s">
        <v>2983</v>
      </c>
      <c r="C183" s="3" t="s">
        <v>45</v>
      </c>
      <c r="D183" s="3" t="s">
        <v>37</v>
      </c>
      <c r="E183" s="3" t="s">
        <v>2417</v>
      </c>
      <c r="F183" s="3" t="s">
        <v>2418</v>
      </c>
      <c r="G183" s="3" t="s">
        <v>2984</v>
      </c>
      <c r="H183" s="3" t="str">
        <f>HYPERLINK("http://www.jccm.es/sede/tramite/KWD","REGISTRO DE INSTALACIONES DE PROTECCION CONTRA INCENDIOS (EXCEPTO EN ESTABLECIMIENTOS INDUSTRIALES)")</f>
        <v>REGISTRO DE INSTALACIONES DE PROTECCION CONTRA INCENDIOS (EXCEPTO EN ESTABLECIMIENTOS INDUSTRIALES)</v>
      </c>
      <c r="I183" s="3" t="s">
        <v>42</v>
      </c>
      <c r="J183" s="3" t="s">
        <v>41</v>
      </c>
      <c r="K183" s="3" t="s">
        <v>42</v>
      </c>
      <c r="L183" s="3" t="s">
        <v>41</v>
      </c>
    </row>
    <row r="184" spans="1:12" ht="69">
      <c r="A184" s="3" t="s">
        <v>2985</v>
      </c>
      <c r="B184" s="3" t="s">
        <v>2986</v>
      </c>
      <c r="C184" s="3" t="s">
        <v>2987</v>
      </c>
      <c r="D184" s="3" t="s">
        <v>95</v>
      </c>
      <c r="E184" s="3" t="s">
        <v>2417</v>
      </c>
      <c r="F184" s="3" t="s">
        <v>2418</v>
      </c>
      <c r="G184" s="3" t="s">
        <v>2988</v>
      </c>
      <c r="H184" s="3" t="str">
        <f>HYPERLINK("http://www.jccm.es/sede/tramite/LG8","COMUNICACION PARA LA INSCRIPCION EN EL REGISTRO ADMINISTRATIVO DE AUTOCONSUMO DE ENERGIA ELECTRICA REGULADO EN EL REAL DECRETO 244/2019.")</f>
        <v>COMUNICACION PARA LA INSCRIPCION EN EL REGISTRO ADMINISTRATIVO DE AUTOCONSUMO DE ENERGIA ELECTRICA REGULADO EN EL REAL DECRETO 244/2019.</v>
      </c>
      <c r="I184" s="3" t="s">
        <v>42</v>
      </c>
      <c r="J184" s="3" t="s">
        <v>41</v>
      </c>
      <c r="K184" s="3" t="s">
        <v>42</v>
      </c>
      <c r="L184" s="3" t="s">
        <v>41</v>
      </c>
    </row>
    <row r="185" spans="1:12" ht="103.5">
      <c r="A185" s="3" t="s">
        <v>2989</v>
      </c>
      <c r="B185" s="3" t="s">
        <v>2990</v>
      </c>
      <c r="C185" s="3" t="s">
        <v>70</v>
      </c>
      <c r="D185" s="3" t="s">
        <v>46</v>
      </c>
      <c r="E185" s="3" t="s">
        <v>2417</v>
      </c>
      <c r="F185" s="3" t="s">
        <v>2604</v>
      </c>
      <c r="G185" s="3" t="s">
        <v>2991</v>
      </c>
      <c r="H185" s="3" t="str">
        <f>HYPERLINK("http://www.jccm.es/sede/tramite/LVN","REGISTRO DE OPERADORES-COLABORADORES DEL PROGRAMA DE EMISION DE BONOS DIGITALES PARA COLECTIVOS VULNERABLES")</f>
        <v>REGISTRO DE OPERADORES-COLABORADORES DEL PROGRAMA DE EMISION DE BONOS DIGITALES PARA COLECTIVOS VULNERABLES</v>
      </c>
      <c r="I185" s="3" t="s">
        <v>41</v>
      </c>
      <c r="J185" s="3" t="s">
        <v>41</v>
      </c>
      <c r="K185" s="3" t="s">
        <v>42</v>
      </c>
      <c r="L185" s="3" t="s">
        <v>41</v>
      </c>
    </row>
    <row r="186" spans="1:12" ht="57.6">
      <c r="A186" s="3" t="s">
        <v>2992</v>
      </c>
      <c r="B186" s="3" t="s">
        <v>2993</v>
      </c>
      <c r="C186" s="3" t="s">
        <v>45</v>
      </c>
      <c r="D186" s="3" t="s">
        <v>46</v>
      </c>
      <c r="E186" s="3" t="s">
        <v>2417</v>
      </c>
      <c r="F186" s="3" t="s">
        <v>2510</v>
      </c>
      <c r="G186" s="3" t="s">
        <v>2994</v>
      </c>
      <c r="H186" s="3" t="str">
        <f>HYPERLINK("http://www.jccm.es/sede/tramite/L3P","REGISTRO DE ESPECIES CINEGETICAS EN CAUTIVIDAD (ALECTORIS)")</f>
        <v>REGISTRO DE ESPECIES CINEGETICAS EN CAUTIVIDAD (ALECTORIS)</v>
      </c>
      <c r="I186" s="3" t="s">
        <v>42</v>
      </c>
      <c r="J186" s="3" t="s">
        <v>41</v>
      </c>
      <c r="K186" s="3" t="s">
        <v>42</v>
      </c>
      <c r="L186" s="3" t="s">
        <v>41</v>
      </c>
    </row>
    <row r="187" spans="1:12" ht="57.6">
      <c r="A187" s="3" t="s">
        <v>2995</v>
      </c>
      <c r="B187" s="3" t="s">
        <v>2996</v>
      </c>
      <c r="C187" s="3" t="s">
        <v>45</v>
      </c>
      <c r="D187" s="3" t="s">
        <v>37</v>
      </c>
      <c r="E187" s="3" t="s">
        <v>2417</v>
      </c>
      <c r="F187" s="3" t="s">
        <v>2510</v>
      </c>
      <c r="G187" s="3" t="s">
        <v>2997</v>
      </c>
      <c r="H187" s="3" t="str">
        <f>HYPERLINK("http://www.jccm.es/sede/tramite/265","INSCRIPCION, MODIFICACION Y/O BAJA EN EL REGISTRO DE AVES RAPACES Y DE CETRERIA.")</f>
        <v>INSCRIPCION, MODIFICACION Y/O BAJA EN EL REGISTRO DE AVES RAPACES Y DE CETRERIA.</v>
      </c>
      <c r="I187" s="3" t="s">
        <v>41</v>
      </c>
      <c r="J187" s="3" t="s">
        <v>41</v>
      </c>
      <c r="K187" s="3" t="s">
        <v>42</v>
      </c>
      <c r="L187" s="3" t="s">
        <v>41</v>
      </c>
    </row>
    <row r="188" spans="1:12" ht="57.6">
      <c r="A188" s="3" t="s">
        <v>2998</v>
      </c>
      <c r="B188" s="3" t="s">
        <v>2999</v>
      </c>
      <c r="C188" s="3" t="s">
        <v>45</v>
      </c>
      <c r="D188" s="3" t="s">
        <v>37</v>
      </c>
      <c r="E188" s="3" t="s">
        <v>2417</v>
      </c>
      <c r="F188" s="3" t="s">
        <v>2510</v>
      </c>
      <c r="G188" s="3" t="s">
        <v>3000</v>
      </c>
      <c r="H188" s="3" t="str">
        <f>HYPERLINK("http://www.jccm.es/sede/tramite/K7Q","COMUNICACION DE CESION TEMPORAL O DEFINITIVA   EN EL REGISTRO DE AVES RAPACES Y DE CETRERIA.")</f>
        <v>COMUNICACION DE CESION TEMPORAL O DEFINITIVA   EN EL REGISTRO DE AVES RAPACES Y DE CETRERIA.</v>
      </c>
      <c r="I188" s="3" t="s">
        <v>41</v>
      </c>
      <c r="J188" s="3" t="s">
        <v>41</v>
      </c>
      <c r="K188" s="3" t="s">
        <v>42</v>
      </c>
      <c r="L188" s="3" t="s">
        <v>41</v>
      </c>
    </row>
    <row r="189" spans="1:12" ht="57.6">
      <c r="A189" s="3" t="s">
        <v>3001</v>
      </c>
      <c r="B189" s="3" t="s">
        <v>3002</v>
      </c>
      <c r="C189" s="3" t="s">
        <v>45</v>
      </c>
      <c r="D189" s="3" t="s">
        <v>37</v>
      </c>
      <c r="E189" s="3" t="s">
        <v>2417</v>
      </c>
      <c r="F189" s="3" t="s">
        <v>2510</v>
      </c>
      <c r="G189" s="3" t="s">
        <v>3003</v>
      </c>
      <c r="H189" s="3" t="str">
        <f>HYPERLINK("http://www.jccm.es/sede/tramite/K7P","COMUNICACION DE PERDIDA, SUSTRACCION, RECUPERACION Y MUERTE  EN EL REGISTRO DE AVES RAPACES Y DE CETRERIA.")</f>
        <v>COMUNICACION DE PERDIDA, SUSTRACCION, RECUPERACION Y MUERTE  EN EL REGISTRO DE AVES RAPACES Y DE CETRERIA.</v>
      </c>
      <c r="I189" s="3" t="s">
        <v>41</v>
      </c>
      <c r="J189" s="3" t="s">
        <v>41</v>
      </c>
      <c r="K189" s="3" t="s">
        <v>42</v>
      </c>
      <c r="L189" s="3" t="s">
        <v>41</v>
      </c>
    </row>
    <row r="190" spans="1:12" ht="69">
      <c r="A190" s="3" t="s">
        <v>3004</v>
      </c>
      <c r="B190" s="3" t="s">
        <v>3005</v>
      </c>
      <c r="C190" s="3" t="s">
        <v>45</v>
      </c>
      <c r="D190" s="3" t="s">
        <v>37</v>
      </c>
      <c r="E190" s="3" t="s">
        <v>2417</v>
      </c>
      <c r="F190" s="3" t="s">
        <v>2570</v>
      </c>
      <c r="G190" s="3" t="s">
        <v>3006</v>
      </c>
      <c r="H190" s="3" t="str">
        <f>HYPERLINK("http://www.jccm.es/sede/tramite/JBA","INSCRIPCION EN EL SISTEMA COMUNITARIO DE GESTION Y AUDITORIA MEDIOAMBIENTALES DE CASTILLA-LA MANCHA (REGISTRO EMAS)")</f>
        <v>INSCRIPCION EN EL SISTEMA COMUNITARIO DE GESTION Y AUDITORIA MEDIOAMBIENTALES DE CASTILLA-LA MANCHA (REGISTRO EMAS)</v>
      </c>
      <c r="I190" s="3" t="s">
        <v>42</v>
      </c>
      <c r="J190" s="3" t="s">
        <v>41</v>
      </c>
      <c r="K190" s="3" t="s">
        <v>42</v>
      </c>
      <c r="L190" s="3" t="s">
        <v>41</v>
      </c>
    </row>
    <row r="191" spans="1:12" ht="69">
      <c r="A191" s="3" t="s">
        <v>3007</v>
      </c>
      <c r="B191" s="3" t="s">
        <v>3008</v>
      </c>
      <c r="C191" s="3" t="s">
        <v>45</v>
      </c>
      <c r="D191" s="3" t="s">
        <v>37</v>
      </c>
      <c r="E191" s="3" t="s">
        <v>2417</v>
      </c>
      <c r="F191" s="3" t="s">
        <v>2570</v>
      </c>
      <c r="G191" s="3" t="s">
        <v>3009</v>
      </c>
      <c r="H191" s="3" t="str">
        <f>HYPERLINK("http://www.jccm.es/sede/tramite/JBB","RENOVACION EN EL SISTEMA COMUNITARIO DE GESTION Y AUDITORIA MEDIOAMBIENTALES  DE CASTILLA-LA MANCHA (REGISTRO EMAS)")</f>
        <v>RENOVACION EN EL SISTEMA COMUNITARIO DE GESTION Y AUDITORIA MEDIOAMBIENTALES  DE CASTILLA-LA MANCHA (REGISTRO EMAS)</v>
      </c>
      <c r="I191" s="3" t="s">
        <v>42</v>
      </c>
      <c r="J191" s="3" t="s">
        <v>41</v>
      </c>
      <c r="K191" s="3" t="s">
        <v>42</v>
      </c>
      <c r="L191" s="3" t="s">
        <v>41</v>
      </c>
    </row>
    <row r="192" spans="1:12" ht="92.1">
      <c r="A192" s="3" t="s">
        <v>3010</v>
      </c>
      <c r="B192" s="3" t="s">
        <v>3011</v>
      </c>
      <c r="C192" s="3" t="s">
        <v>45</v>
      </c>
      <c r="D192" s="3" t="s">
        <v>37</v>
      </c>
      <c r="E192" s="3" t="s">
        <v>2417</v>
      </c>
      <c r="F192" s="3" t="s">
        <v>2570</v>
      </c>
      <c r="G192" s="3" t="s">
        <v>3012</v>
      </c>
      <c r="H192" s="3" t="str">
        <f>HYPERLINK("http://www.jccm.es/sede/tramite/K1X","COMUNICACION DE CAMBIOS SUSTANCIALES DE UNA ORGANIZACION INSCRITA EN EL SISTEMA COMUNITARIO DE GESTION Y AUDITORIA MEDIOAMBIENTALES DE CASTILLA-LA MANCHA (REGISTRO EMAS).")</f>
        <v>COMUNICACION DE CAMBIOS SUSTANCIALES DE UNA ORGANIZACION INSCRITA EN EL SISTEMA COMUNITARIO DE GESTION Y AUDITORIA MEDIOAMBIENTALES DE CASTILLA-LA MANCHA (REGISTRO EMAS).</v>
      </c>
      <c r="I192" s="3" t="s">
        <v>42</v>
      </c>
      <c r="J192" s="3" t="s">
        <v>41</v>
      </c>
      <c r="K192" s="3" t="s">
        <v>42</v>
      </c>
      <c r="L192" s="3" t="s">
        <v>41</v>
      </c>
    </row>
    <row r="193" spans="1:12" ht="69">
      <c r="A193" s="3" t="s">
        <v>3013</v>
      </c>
      <c r="B193" s="3" t="s">
        <v>3014</v>
      </c>
      <c r="C193" s="3" t="s">
        <v>45</v>
      </c>
      <c r="D193" s="3" t="s">
        <v>37</v>
      </c>
      <c r="E193" s="3" t="s">
        <v>2417</v>
      </c>
      <c r="F193" s="3" t="s">
        <v>2570</v>
      </c>
      <c r="G193" s="3" t="s">
        <v>3015</v>
      </c>
      <c r="H193" s="3" t="str">
        <f>HYPERLINK("http://www.jccm.es/sede/tramite/K1Y","MANTENIMIENTO  EN EL SISTEMA COMUNITARIO DE GESTION Y AUDITORIA MEDIOAMBIENTALES  DE CASTILLA-LA MANCHA (REGISTRO EMAS)")</f>
        <v>MANTENIMIENTO  EN EL SISTEMA COMUNITARIO DE GESTION Y AUDITORIA MEDIOAMBIENTALES  DE CASTILLA-LA MANCHA (REGISTRO EMAS)</v>
      </c>
      <c r="I193" s="3" t="s">
        <v>42</v>
      </c>
      <c r="J193" s="3" t="s">
        <v>41</v>
      </c>
      <c r="K193" s="3" t="s">
        <v>42</v>
      </c>
      <c r="L193" s="3" t="s">
        <v>41</v>
      </c>
    </row>
    <row r="194" spans="1:12" ht="92.1">
      <c r="A194" s="3" t="s">
        <v>3016</v>
      </c>
      <c r="B194" s="3" t="s">
        <v>3017</v>
      </c>
      <c r="C194" s="3" t="s">
        <v>45</v>
      </c>
      <c r="D194" s="3" t="s">
        <v>37</v>
      </c>
      <c r="E194" s="3" t="s">
        <v>2417</v>
      </c>
      <c r="F194" s="3" t="s">
        <v>2418</v>
      </c>
      <c r="G194" s="3" t="s">
        <v>3018</v>
      </c>
      <c r="H194" s="3" t="str">
        <f>HYPERLINK("http://www.jccm.es/sede/tramite/JM4","INSCRIPCION DE CERTIFICADOS DE EFICIENCIA ENERGETICA EN EL REGISTRO AUTONOMICO DE CERTIFICADOS DE EFICIENCIA ENERGETICA DE EDIFICIOS DE CASTILLA-LA MANCHA. (EDIFICIO TERMINADO)")</f>
        <v>INSCRIPCION DE CERTIFICADOS DE EFICIENCIA ENERGETICA EN EL REGISTRO AUTONOMICO DE CERTIFICADOS DE EFICIENCIA ENERGETICA DE EDIFICIOS DE CASTILLA-LA MANCHA. (EDIFICIO TERMINADO)</v>
      </c>
      <c r="I194" s="3" t="s">
        <v>42</v>
      </c>
      <c r="J194" s="3" t="s">
        <v>41</v>
      </c>
      <c r="K194" s="3" t="s">
        <v>42</v>
      </c>
      <c r="L194" s="3" t="s">
        <v>41</v>
      </c>
    </row>
    <row r="195" spans="1:12" ht="92.1">
      <c r="A195" s="3" t="s">
        <v>3019</v>
      </c>
      <c r="B195" s="3" t="s">
        <v>3020</v>
      </c>
      <c r="C195" s="3" t="s">
        <v>45</v>
      </c>
      <c r="D195" s="3" t="s">
        <v>37</v>
      </c>
      <c r="E195" s="3" t="s">
        <v>2417</v>
      </c>
      <c r="F195" s="3" t="s">
        <v>2418</v>
      </c>
      <c r="G195" s="3" t="s">
        <v>3021</v>
      </c>
      <c r="H195" s="3" t="str">
        <f>HYPERLINK("http://www.jccm.es/sede/tramite/JM3","INSCRIPCION DE CERTIFICADOS DE EFICIENCIA ENERGETICA EN EL REGISTRO AUTONOMICO DE CERTIFICADOS DE EFICIENCIA ENERGETICA DE EDIFICIOS DE CASTILLA-LA MANCHA. (FASE DE PROYECTO)")</f>
        <v>INSCRIPCION DE CERTIFICADOS DE EFICIENCIA ENERGETICA EN EL REGISTRO AUTONOMICO DE CERTIFICADOS DE EFICIENCIA ENERGETICA DE EDIFICIOS DE CASTILLA-LA MANCHA. (FASE DE PROYECTO)</v>
      </c>
      <c r="I195" s="3" t="s">
        <v>42</v>
      </c>
      <c r="J195" s="3" t="s">
        <v>41</v>
      </c>
      <c r="K195" s="3" t="s">
        <v>42</v>
      </c>
      <c r="L195" s="3" t="s">
        <v>41</v>
      </c>
    </row>
    <row r="196" spans="1:12" ht="92.1">
      <c r="A196" s="3" t="s">
        <v>3022</v>
      </c>
      <c r="B196" s="3" t="s">
        <v>3023</v>
      </c>
      <c r="C196" s="3" t="s">
        <v>45</v>
      </c>
      <c r="D196" s="3" t="s">
        <v>37</v>
      </c>
      <c r="E196" s="3" t="s">
        <v>2417</v>
      </c>
      <c r="F196" s="3" t="s">
        <v>2418</v>
      </c>
      <c r="G196" s="3" t="s">
        <v>3024</v>
      </c>
      <c r="H196" s="3" t="str">
        <f>HYPERLINK("http://www.jccm.es/sede/tramite/K0W","INSCRIPCION DE CERTIFICADOS DE EFICIENCIA ENERGETICA EN EL REGISTRO AUTONOMICO DE CERTIFICADOS DE EFICIENCIA ENERGETICA DE EDIFICIOS DE CASTILLA-LA MANCHA. (EDIFICIO EXISTENTE)")</f>
        <v>INSCRIPCION DE CERTIFICADOS DE EFICIENCIA ENERGETICA EN EL REGISTRO AUTONOMICO DE CERTIFICADOS DE EFICIENCIA ENERGETICA DE EDIFICIOS DE CASTILLA-LA MANCHA. (EDIFICIO EXISTENTE)</v>
      </c>
      <c r="I196" s="3" t="s">
        <v>42</v>
      </c>
      <c r="J196" s="3" t="s">
        <v>41</v>
      </c>
      <c r="K196" s="3" t="s">
        <v>42</v>
      </c>
      <c r="L196" s="3" t="s">
        <v>41</v>
      </c>
    </row>
    <row r="197" spans="1:12" ht="69">
      <c r="A197" s="3" t="s">
        <v>3025</v>
      </c>
      <c r="B197" s="3" t="s">
        <v>3026</v>
      </c>
      <c r="C197" s="3" t="s">
        <v>95</v>
      </c>
      <c r="D197" s="3" t="s">
        <v>95</v>
      </c>
      <c r="E197" s="3" t="s">
        <v>2417</v>
      </c>
      <c r="F197" s="3" t="s">
        <v>2418</v>
      </c>
      <c r="G197" s="3" t="s">
        <v>3027</v>
      </c>
      <c r="H197" s="3" t="str">
        <f>HYPERLINK("http://www.jccm.es/sede/tramite/JM2","INSCRIPCION  DE TECNICOS COMPETENTES PARA LA SUSCRIPCION DE CERTIFICACIONES DE EFICIENCIA ENERGETICA DE EDIFICIOS")</f>
        <v>INSCRIPCION  DE TECNICOS COMPETENTES PARA LA SUSCRIPCION DE CERTIFICACIONES DE EFICIENCIA ENERGETICA DE EDIFICIOS</v>
      </c>
      <c r="I197" s="3" t="s">
        <v>41</v>
      </c>
      <c r="J197" s="3" t="s">
        <v>41</v>
      </c>
      <c r="K197" s="3" t="s">
        <v>42</v>
      </c>
      <c r="L197" s="3" t="s">
        <v>41</v>
      </c>
    </row>
    <row r="198" spans="1:12" ht="57.6">
      <c r="A198" s="3" t="s">
        <v>3028</v>
      </c>
      <c r="B198" s="3" t="s">
        <v>3029</v>
      </c>
      <c r="C198" s="3" t="s">
        <v>95</v>
      </c>
      <c r="D198" s="3" t="s">
        <v>95</v>
      </c>
      <c r="E198" s="3" t="s">
        <v>2417</v>
      </c>
      <c r="F198" s="3" t="s">
        <v>2418</v>
      </c>
      <c r="G198" s="3" t="s">
        <v>3030</v>
      </c>
      <c r="H198" s="3" t="str">
        <f>HYPERLINK("http://www.jccm.es/sede/tramite/K9M","INSCRIPCION DE EMPRESAS QUE PROPORCIONAN SERVICIOS DE CERTIFICACION DE EFICIENCIA ENERGETICA DE EDIFICIOS")</f>
        <v>INSCRIPCION DE EMPRESAS QUE PROPORCIONAN SERVICIOS DE CERTIFICACION DE EFICIENCIA ENERGETICA DE EDIFICIOS</v>
      </c>
      <c r="I198" s="3" t="s">
        <v>41</v>
      </c>
      <c r="J198" s="3" t="s">
        <v>41</v>
      </c>
      <c r="K198" s="3" t="s">
        <v>42</v>
      </c>
      <c r="L198" s="3" t="s">
        <v>41</v>
      </c>
    </row>
    <row r="199" spans="1:12" ht="69">
      <c r="A199" s="3" t="s">
        <v>3031</v>
      </c>
      <c r="B199" s="3" t="s">
        <v>3032</v>
      </c>
      <c r="C199" s="3" t="s">
        <v>459</v>
      </c>
      <c r="D199" s="3" t="s">
        <v>37</v>
      </c>
      <c r="E199" s="3" t="s">
        <v>2417</v>
      </c>
      <c r="F199" s="3" t="s">
        <v>2418</v>
      </c>
      <c r="G199" s="3" t="s">
        <v>3033</v>
      </c>
      <c r="H199" s="3" t="str">
        <f>HYPERLINK("http://www.jccm.es/sede/tramite/K9O","CANCELACION DE INSCRIPCION EN LA SECCION PRIMERA DEL REGISTRO AUTONOMICO DE CERTIFICADOS DE EFICIENCIA ENERGETICA DE EDIFICIOS DE CASTILLA-LA MANCHA")</f>
        <v>CANCELACION DE INSCRIPCION EN LA SECCION PRIMERA DEL REGISTRO AUTONOMICO DE CERTIFICADOS DE EFICIENCIA ENERGETICA DE EDIFICIOS DE CASTILLA-LA MANCHA</v>
      </c>
      <c r="I199" s="3" t="s">
        <v>42</v>
      </c>
      <c r="J199" s="3" t="s">
        <v>41</v>
      </c>
      <c r="K199" s="3" t="s">
        <v>42</v>
      </c>
      <c r="L199" s="3" t="s">
        <v>41</v>
      </c>
    </row>
    <row r="200" spans="1:12" ht="69">
      <c r="A200" s="3" t="s">
        <v>3034</v>
      </c>
      <c r="B200" s="3" t="s">
        <v>3035</v>
      </c>
      <c r="C200" s="3" t="s">
        <v>459</v>
      </c>
      <c r="D200" s="3" t="s">
        <v>37</v>
      </c>
      <c r="E200" s="3" t="s">
        <v>2417</v>
      </c>
      <c r="F200" s="3" t="s">
        <v>2418</v>
      </c>
      <c r="G200" s="3" t="s">
        <v>3036</v>
      </c>
      <c r="H200" s="3" t="str">
        <f>HYPERLINK("http://www.jccm.es/sede/tramite/K9P","CANCELACION DE INSCRIPCION EN LA SECCION SEGUNDA DEL REGISTRO AUTONOMICO DE CERTIFICADOS DE EFICIENCIA ENERGETICA DE EDIFICIOS DE CASTILLA-LA MANCHA")</f>
        <v>CANCELACION DE INSCRIPCION EN LA SECCION SEGUNDA DEL REGISTRO AUTONOMICO DE CERTIFICADOS DE EFICIENCIA ENERGETICA DE EDIFICIOS DE CASTILLA-LA MANCHA</v>
      </c>
      <c r="I200" s="3" t="s">
        <v>41</v>
      </c>
      <c r="J200" s="3" t="s">
        <v>41</v>
      </c>
      <c r="K200" s="3" t="s">
        <v>42</v>
      </c>
      <c r="L200" s="3" t="s">
        <v>41</v>
      </c>
    </row>
    <row r="201" spans="1:12" ht="45.95">
      <c r="A201" s="3" t="s">
        <v>3037</v>
      </c>
      <c r="B201" s="3" t="s">
        <v>3038</v>
      </c>
      <c r="C201" s="3" t="s">
        <v>45</v>
      </c>
      <c r="D201" s="3" t="s">
        <v>37</v>
      </c>
      <c r="E201" s="3" t="s">
        <v>2417</v>
      </c>
      <c r="F201" s="3" t="s">
        <v>2836</v>
      </c>
      <c r="G201" s="3" t="s">
        <v>3039</v>
      </c>
      <c r="H201" s="3" t="str">
        <f>HYPERLINK("http://www.jccm.es/sede/tramite/IQ4","SOLICITUD DE CONCESION O RENOVACION DE DISTINTIVOS A LAS MEJORES PRACTICAS EN MATERIA DE CONSUMO.")</f>
        <v>SOLICITUD DE CONCESION O RENOVACION DE DISTINTIVOS A LAS MEJORES PRACTICAS EN MATERIA DE CONSUMO.</v>
      </c>
      <c r="I201" s="3" t="s">
        <v>42</v>
      </c>
      <c r="J201" s="3" t="s">
        <v>41</v>
      </c>
      <c r="K201" s="3" t="s">
        <v>42</v>
      </c>
      <c r="L201" s="3" t="s">
        <v>41</v>
      </c>
    </row>
    <row r="202" spans="1:12" ht="45.95">
      <c r="A202" s="3" t="s">
        <v>3040</v>
      </c>
      <c r="B202" s="3" t="s">
        <v>3041</v>
      </c>
      <c r="C202" s="3" t="s">
        <v>3042</v>
      </c>
      <c r="D202" s="3" t="s">
        <v>46</v>
      </c>
      <c r="E202" s="3" t="s">
        <v>2417</v>
      </c>
      <c r="F202" s="3" t="s">
        <v>2836</v>
      </c>
      <c r="G202" s="3" t="s">
        <v>3043</v>
      </c>
      <c r="H202" s="3" t="str">
        <f>HYPERLINK("http://www.jccm.es/sede/tramite/ITU","PARTICIPACION EN CONCURSO ESCOLAR CONSUMOPOLIS")</f>
        <v>PARTICIPACION EN CONCURSO ESCOLAR CONSUMOPOLIS</v>
      </c>
      <c r="I202" s="3" t="s">
        <v>42</v>
      </c>
      <c r="J202" s="3" t="s">
        <v>41</v>
      </c>
      <c r="K202" s="3" t="s">
        <v>42</v>
      </c>
      <c r="L202" s="3" t="s">
        <v>41</v>
      </c>
    </row>
    <row r="203" spans="1:12" ht="57.6">
      <c r="A203" s="3" t="s">
        <v>3044</v>
      </c>
      <c r="B203" s="3" t="s">
        <v>3045</v>
      </c>
      <c r="C203" s="3" t="s">
        <v>1655</v>
      </c>
      <c r="D203" s="3" t="s">
        <v>46</v>
      </c>
      <c r="E203" s="3" t="s">
        <v>2417</v>
      </c>
      <c r="F203" s="3" t="s">
        <v>2510</v>
      </c>
      <c r="G203" s="3" t="s">
        <v>3046</v>
      </c>
      <c r="H203" s="3" t="str">
        <f>HYPERLINK("http://www.jccm.es/sede/tramite/485","CURSOS DE FORMACION DE JOVENES PESCADORES (ESCUELA REGIONAL DE PESCA FLUVIAL)")</f>
        <v>CURSOS DE FORMACION DE JOVENES PESCADORES (ESCUELA REGIONAL DE PESCA FLUVIAL)</v>
      </c>
      <c r="I203" s="3" t="s">
        <v>42</v>
      </c>
      <c r="J203" s="3" t="s">
        <v>41</v>
      </c>
      <c r="K203" s="3" t="s">
        <v>42</v>
      </c>
      <c r="L203" s="3" t="s">
        <v>41</v>
      </c>
    </row>
    <row r="204" spans="1:12" ht="57.6">
      <c r="A204" s="3" t="s">
        <v>3047</v>
      </c>
      <c r="B204" s="3" t="s">
        <v>3048</v>
      </c>
      <c r="C204" s="3" t="s">
        <v>1727</v>
      </c>
      <c r="D204" s="3" t="s">
        <v>46</v>
      </c>
      <c r="E204" s="3" t="s">
        <v>2417</v>
      </c>
      <c r="F204" s="3" t="s">
        <v>2510</v>
      </c>
      <c r="G204" s="3" t="s">
        <v>3049</v>
      </c>
      <c r="H204" s="3" t="str">
        <f>HYPERLINK("http://www.jccm.es/sede/tramite/496","DECLARACION/MODIFICACION/PERDIDA DE CONDICION DE MONTE PROTECTOR.")</f>
        <v>DECLARACION/MODIFICACION/PERDIDA DE CONDICION DE MONTE PROTECTOR.</v>
      </c>
      <c r="I204" s="3" t="s">
        <v>42</v>
      </c>
      <c r="J204" s="3" t="s">
        <v>41</v>
      </c>
      <c r="K204" s="3" t="s">
        <v>42</v>
      </c>
      <c r="L204" s="3" t="s">
        <v>41</v>
      </c>
    </row>
    <row r="205" spans="1:12" ht="57.6">
      <c r="A205" s="3" t="s">
        <v>3050</v>
      </c>
      <c r="B205" s="3" t="s">
        <v>3051</v>
      </c>
      <c r="C205" s="3" t="s">
        <v>1727</v>
      </c>
      <c r="D205" s="3" t="s">
        <v>46</v>
      </c>
      <c r="E205" s="3" t="s">
        <v>2417</v>
      </c>
      <c r="F205" s="3" t="s">
        <v>2510</v>
      </c>
      <c r="G205" s="3" t="s">
        <v>3052</v>
      </c>
      <c r="H205" s="3" t="str">
        <f>HYPERLINK("http://www.jccm.es/sede/tramite/JJJ","DECLARACION/MODIFICACION/PERDIDA DE CONDICION DE MONTE SINGULAR")</f>
        <v>DECLARACION/MODIFICACION/PERDIDA DE CONDICION DE MONTE SINGULAR</v>
      </c>
      <c r="I205" s="3" t="s">
        <v>42</v>
      </c>
      <c r="J205" s="3" t="s">
        <v>41</v>
      </c>
      <c r="K205" s="3" t="s">
        <v>42</v>
      </c>
      <c r="L205" s="3" t="s">
        <v>41</v>
      </c>
    </row>
    <row r="206" spans="1:12" ht="92.1">
      <c r="A206" s="3" t="s">
        <v>3053</v>
      </c>
      <c r="B206" s="3" t="s">
        <v>3054</v>
      </c>
      <c r="C206" s="3" t="s">
        <v>51</v>
      </c>
      <c r="D206" s="3" t="s">
        <v>46</v>
      </c>
      <c r="E206" s="3" t="s">
        <v>2417</v>
      </c>
      <c r="F206" s="3" t="s">
        <v>2510</v>
      </c>
      <c r="G206" s="3" t="s">
        <v>3055</v>
      </c>
      <c r="H206" s="3" t="str">
        <f>HYPERLINK("http://www.jccm.es/sede/tramite/KV3","SOLICITUD DE MODIFICACION DE LA RESOLUCION DEL EXPEDIENTE DE AYUDA EN INVERSIONES EN TECNOLOGIAS FORESTALES Y EN LA TRANSFORMACION, MOVILIZACION Y COMERCIALIZACION DE PRODUCTOS FORESTALES")</f>
        <v>SOLICITUD DE MODIFICACION DE LA RESOLUCION DEL EXPEDIENTE DE AYUDA EN INVERSIONES EN TECNOLOGIAS FORESTALES Y EN LA TRANSFORMACION, MOVILIZACION Y COMERCIALIZACION DE PRODUCTOS FORESTALES</v>
      </c>
      <c r="I206" s="3" t="s">
        <v>41</v>
      </c>
      <c r="J206" s="3" t="s">
        <v>41</v>
      </c>
      <c r="K206" s="3" t="s">
        <v>42</v>
      </c>
      <c r="L206" s="3" t="s">
        <v>41</v>
      </c>
    </row>
    <row r="207" spans="1:12" ht="57.6">
      <c r="A207" s="3" t="s">
        <v>3056</v>
      </c>
      <c r="B207" s="3" t="s">
        <v>3057</v>
      </c>
      <c r="C207" s="3" t="s">
        <v>36</v>
      </c>
      <c r="D207" s="3" t="s">
        <v>46</v>
      </c>
      <c r="E207" s="3" t="s">
        <v>2417</v>
      </c>
      <c r="F207" s="3" t="s">
        <v>2418</v>
      </c>
      <c r="G207" s="3" t="s">
        <v>3058</v>
      </c>
      <c r="H207" s="3" t="str">
        <f>HYPERLINK("http://www.jccm.es/sede/tramite/KZ4","SOLICITUD DE EXPRESION DE INTERES PARA AHORRO Y EFICIENCIA ENERGETICA EN ALUMBRADO PUBLICO EXTERIOR.")</f>
        <v>SOLICITUD DE EXPRESION DE INTERES PARA AHORRO Y EFICIENCIA ENERGETICA EN ALUMBRADO PUBLICO EXTERIOR.</v>
      </c>
      <c r="I207" s="3" t="s">
        <v>41</v>
      </c>
      <c r="J207" s="3" t="s">
        <v>41</v>
      </c>
      <c r="K207" s="3" t="s">
        <v>42</v>
      </c>
      <c r="L207" s="3" t="s">
        <v>41</v>
      </c>
    </row>
    <row r="208" spans="1:12" ht="57.6">
      <c r="A208" s="3" t="s">
        <v>3059</v>
      </c>
      <c r="B208" s="3" t="s">
        <v>3060</v>
      </c>
      <c r="C208" s="3" t="s">
        <v>36</v>
      </c>
      <c r="D208" s="3" t="s">
        <v>46</v>
      </c>
      <c r="E208" s="3" t="s">
        <v>2417</v>
      </c>
      <c r="F208" s="3" t="s">
        <v>2418</v>
      </c>
      <c r="G208" s="3" t="s">
        <v>3061</v>
      </c>
      <c r="H208" s="3" t="str">
        <f>HYPERLINK("http://www.jccm.es/sede/tramite/KZ5","SOLICITUD DE EXPRESION DE INTERES PARA AHORRO Y EFICIENCIA ENERGETICA EN EDIFICACIONES DE LA ADMINISTRACION LOCAL.")</f>
        <v>SOLICITUD DE EXPRESION DE INTERES PARA AHORRO Y EFICIENCIA ENERGETICA EN EDIFICACIONES DE LA ADMINISTRACION LOCAL.</v>
      </c>
      <c r="I208" s="3" t="s">
        <v>41</v>
      </c>
      <c r="J208" s="3" t="s">
        <v>41</v>
      </c>
      <c r="K208" s="3" t="s">
        <v>42</v>
      </c>
      <c r="L208" s="3" t="s">
        <v>41</v>
      </c>
    </row>
    <row r="209" spans="1:12" ht="69">
      <c r="A209" s="3" t="s">
        <v>3062</v>
      </c>
      <c r="B209" s="3" t="s">
        <v>3063</v>
      </c>
      <c r="C209" s="3" t="s">
        <v>3064</v>
      </c>
      <c r="D209" s="3" t="s">
        <v>46</v>
      </c>
      <c r="E209" s="3" t="s">
        <v>2417</v>
      </c>
      <c r="F209" s="3" t="s">
        <v>2581</v>
      </c>
      <c r="G209" s="3" t="s">
        <v>3065</v>
      </c>
      <c r="H209" s="3" t="str">
        <f>HYPERLINK("http://www.jccm.es/sede/tramite/KZG","AYUDAS A CENTROS DOCENTES PARA LA REALIZACION DE VISITAS DE EDUCACION AMBIENTAL EN LA COMUNIDAD AUTONOMA DE CASTILLA-LA MANCHA DURANTE EL CURSO 2021/2022")</f>
        <v>AYUDAS A CENTROS DOCENTES PARA LA REALIZACION DE VISITAS DE EDUCACION AMBIENTAL EN LA COMUNIDAD AUTONOMA DE CASTILLA-LA MANCHA DURANTE EL CURSO 2021/2022</v>
      </c>
      <c r="I209" s="3" t="s">
        <v>41</v>
      </c>
      <c r="J209" s="3" t="s">
        <v>41</v>
      </c>
      <c r="K209" s="3" t="s">
        <v>42</v>
      </c>
      <c r="L209" s="3" t="s">
        <v>41</v>
      </c>
    </row>
    <row r="210" spans="1:12" ht="103.5">
      <c r="A210" s="3" t="s">
        <v>3066</v>
      </c>
      <c r="B210" s="3" t="s">
        <v>3067</v>
      </c>
      <c r="C210" s="3" t="s">
        <v>45</v>
      </c>
      <c r="D210" s="3" t="s">
        <v>46</v>
      </c>
      <c r="E210" s="3" t="s">
        <v>2417</v>
      </c>
      <c r="F210" s="3" t="s">
        <v>2836</v>
      </c>
      <c r="G210" s="3" t="s">
        <v>3068</v>
      </c>
      <c r="H210" s="3" t="str">
        <f>HYPERLINK("http://www.jccm.es/sede/tramite/L2X","SUBVENCIONES PARA LA PARTICIPACION DE LAS ASOCIACIONES DE PERSONAS CONSUMIDORAS EN EL DESARROLLO DE ACTIVIDADES EN MATERIA DE CONSUMO Y SU GESTION ORDINARIA")</f>
        <v>SUBVENCIONES PARA LA PARTICIPACION DE LAS ASOCIACIONES DE PERSONAS CONSUMIDORAS EN EL DESARROLLO DE ACTIVIDADES EN MATERIA DE CONSUMO Y SU GESTION ORDINARIA</v>
      </c>
      <c r="I210" s="3" t="s">
        <v>41</v>
      </c>
      <c r="J210" s="3" t="s">
        <v>41</v>
      </c>
      <c r="K210" s="3" t="s">
        <v>42</v>
      </c>
      <c r="L210" s="3" t="s">
        <v>41</v>
      </c>
    </row>
    <row r="211" spans="1:12" ht="92.1">
      <c r="A211" s="3" t="s">
        <v>3069</v>
      </c>
      <c r="B211" s="3" t="s">
        <v>3070</v>
      </c>
      <c r="C211" s="3" t="s">
        <v>51</v>
      </c>
      <c r="D211" s="3" t="s">
        <v>46</v>
      </c>
      <c r="E211" s="3" t="s">
        <v>2417</v>
      </c>
      <c r="F211" s="3" t="s">
        <v>2510</v>
      </c>
      <c r="G211" s="3" t="s">
        <v>3071</v>
      </c>
      <c r="H211" s="3" t="str">
        <f>HYPERLINK("http://www.jccm.es/sede/tramite/K64","SOLICITUD DE MODIFICACION DE LA RESOLUCION DE LA AYUDA PARA LA EJECUCION DE TRATAMIENTOS SELVICOLAS.")</f>
        <v>SOLICITUD DE MODIFICACION DE LA RESOLUCION DE LA AYUDA PARA LA EJECUCION DE TRATAMIENTOS SELVICOLAS.</v>
      </c>
      <c r="I211" s="3" t="s">
        <v>41</v>
      </c>
      <c r="J211" s="3" t="s">
        <v>41</v>
      </c>
      <c r="K211" s="3" t="s">
        <v>42</v>
      </c>
      <c r="L211" s="3" t="s">
        <v>41</v>
      </c>
    </row>
    <row r="212" spans="1:12" ht="45.95">
      <c r="A212" s="3" t="s">
        <v>3072</v>
      </c>
      <c r="B212" s="3" t="s">
        <v>3073</v>
      </c>
      <c r="C212" s="3" t="s">
        <v>327</v>
      </c>
      <c r="D212" s="3" t="s">
        <v>46</v>
      </c>
      <c r="E212" s="3" t="s">
        <v>2417</v>
      </c>
      <c r="F212" s="3" t="s">
        <v>2418</v>
      </c>
      <c r="G212" s="3" t="s">
        <v>3074</v>
      </c>
      <c r="H212" s="3" t="str">
        <f>HYPERLINK("http://www.jccm.es/sede/tramite/L8R","SOLICITUD DE AYUDA PROGRAMA MOVES II")</f>
        <v>SOLICITUD DE AYUDA PROGRAMA MOVES II</v>
      </c>
      <c r="I212" s="3" t="s">
        <v>42</v>
      </c>
      <c r="J212" s="3" t="s">
        <v>41</v>
      </c>
      <c r="K212" s="3" t="s">
        <v>42</v>
      </c>
      <c r="L212" s="3" t="s">
        <v>41</v>
      </c>
    </row>
    <row r="213" spans="1:12" ht="57.6">
      <c r="A213" s="3" t="s">
        <v>3075</v>
      </c>
      <c r="B213" s="3" t="s">
        <v>3076</v>
      </c>
      <c r="C213" s="3" t="s">
        <v>327</v>
      </c>
      <c r="D213" s="3" t="s">
        <v>46</v>
      </c>
      <c r="E213" s="3" t="s">
        <v>2417</v>
      </c>
      <c r="F213" s="3" t="s">
        <v>2418</v>
      </c>
      <c r="G213" s="3" t="s">
        <v>3077</v>
      </c>
      <c r="H213" s="3" t="str">
        <f>HYPERLINK("http://www.jccm.es/sede/tramite/L9V","SOLICITUD DE AYUDA PARA ACTUACIONES DE EFICIENCIA ENERGETICA EN PYME Y GRAN EMPRESA DEL SECTOR INDUSTRIAL.")</f>
        <v>SOLICITUD DE AYUDA PARA ACTUACIONES DE EFICIENCIA ENERGETICA EN PYME Y GRAN EMPRESA DEL SECTOR INDUSTRIAL.</v>
      </c>
      <c r="I213" s="3" t="s">
        <v>41</v>
      </c>
      <c r="J213" s="3" t="s">
        <v>41</v>
      </c>
      <c r="K213" s="3" t="s">
        <v>42</v>
      </c>
      <c r="L213" s="3" t="s">
        <v>41</v>
      </c>
    </row>
    <row r="214" spans="1:12" ht="34.5">
      <c r="A214" s="3" t="s">
        <v>3078</v>
      </c>
      <c r="B214" s="3" t="s">
        <v>3079</v>
      </c>
      <c r="C214" s="3" t="s">
        <v>3080</v>
      </c>
      <c r="D214" s="3" t="s">
        <v>46</v>
      </c>
      <c r="E214" s="3" t="s">
        <v>2417</v>
      </c>
      <c r="F214" s="3" t="s">
        <v>2581</v>
      </c>
      <c r="G214" s="3" t="s">
        <v>3081</v>
      </c>
      <c r="H214" s="3" t="str">
        <f>HYPERLINK("http://www.jccm.es/sede/tramite/LKJ","PREMIO REGIONAL DE MEDIO AMBIENTE DE CASTILLA-LA MANCHA")</f>
        <v>PREMIO REGIONAL DE MEDIO AMBIENTE DE CASTILLA-LA MANCHA</v>
      </c>
      <c r="I214" s="3" t="s">
        <v>42</v>
      </c>
      <c r="J214" s="3" t="s">
        <v>41</v>
      </c>
      <c r="K214" s="3" t="s">
        <v>42</v>
      </c>
      <c r="L214" s="3" t="s">
        <v>41</v>
      </c>
    </row>
    <row r="215" spans="1:12" ht="69">
      <c r="A215" s="3" t="s">
        <v>3082</v>
      </c>
      <c r="B215" s="3" t="s">
        <v>3083</v>
      </c>
      <c r="C215" s="3" t="s">
        <v>51</v>
      </c>
      <c r="D215" s="3" t="s">
        <v>46</v>
      </c>
      <c r="E215" s="3" t="s">
        <v>2417</v>
      </c>
      <c r="F215" s="3" t="s">
        <v>2836</v>
      </c>
      <c r="G215" s="3" t="s">
        <v>3084</v>
      </c>
      <c r="H215" s="3" t="str">
        <f>HYPERLINK("http://www.jccm.es/sede/tramite/LNZ","SUBVENCIONES PARA EL DESARROLLO DE PROYECTOS EN MATERIA DE CONSUMO RESPONSABLE REALIZADOS POR ENTIDADES SIN ANIMO DE LUCRO.")</f>
        <v>SUBVENCIONES PARA EL DESARROLLO DE PROYECTOS EN MATERIA DE CONSUMO RESPONSABLE REALIZADOS POR ENTIDADES SIN ANIMO DE LUCRO.</v>
      </c>
      <c r="I215" s="3" t="s">
        <v>41</v>
      </c>
      <c r="J215" s="3" t="s">
        <v>41</v>
      </c>
      <c r="K215" s="3" t="s">
        <v>42</v>
      </c>
      <c r="L215" s="3" t="s">
        <v>41</v>
      </c>
    </row>
    <row r="216" spans="1:12" ht="92.1">
      <c r="A216" s="3" t="s">
        <v>3085</v>
      </c>
      <c r="B216" s="3" t="s">
        <v>3086</v>
      </c>
      <c r="C216" s="3" t="s">
        <v>232</v>
      </c>
      <c r="D216" s="3" t="s">
        <v>46</v>
      </c>
      <c r="E216" s="3" t="s">
        <v>2417</v>
      </c>
      <c r="F216" s="3" t="s">
        <v>2510</v>
      </c>
      <c r="G216" s="3" t="s">
        <v>3087</v>
      </c>
      <c r="H216" s="3" t="str">
        <f>HYPERLINK("http://www.jccm.es/sede/tramite/LOI","AYUDAS PARA ADAPTACION DE LINEAS ELECTRICAS DE ALTA TENSION A LOS REQUISITOS ESTABLECIDOS POR EL REAL DECRETO 1432/2008 PARA PERSONAS QUE NO TIENEN LA CONDICION DE EMPRESA DE DISTRIBUCION.")</f>
        <v>AYUDAS PARA ADAPTACION DE LINEAS ELECTRICAS DE ALTA TENSION A LOS REQUISITOS ESTABLECIDOS POR EL REAL DECRETO 1432/2008 PARA PERSONAS QUE NO TIENEN LA CONDICION DE EMPRESA DE DISTRIBUCION.</v>
      </c>
      <c r="I216" s="3" t="s">
        <v>42</v>
      </c>
      <c r="J216" s="3" t="s">
        <v>41</v>
      </c>
      <c r="K216" s="3" t="s">
        <v>42</v>
      </c>
      <c r="L216" s="3" t="s">
        <v>41</v>
      </c>
    </row>
    <row r="217" spans="1:12" ht="103.5">
      <c r="A217" s="3" t="s">
        <v>3088</v>
      </c>
      <c r="B217" s="3" t="s">
        <v>3089</v>
      </c>
      <c r="C217" s="3" t="s">
        <v>3090</v>
      </c>
      <c r="D217" s="3" t="s">
        <v>46</v>
      </c>
      <c r="E217" s="3" t="s">
        <v>2417</v>
      </c>
      <c r="F217" s="3" t="s">
        <v>2604</v>
      </c>
      <c r="G217" s="3" t="s">
        <v>3091</v>
      </c>
      <c r="H217" s="3" t="str">
        <f>HYPERLINK("http://www.jccm.es/sede/tramite/LPP","AYUDAS DE CONECTIVIDAD DIGITAL PARA REDES DE BANDA ANCHA DE MUY ALTA VELOCIDAD EN POLIGONOS INDUSTRIALES, CENTROS LOGISTICOS,  ZONAS DE CONCENTRACION EMPRESARIAL Y ZONAS DE INTERES ECONOMICO")</f>
        <v>AYUDAS DE CONECTIVIDAD DIGITAL PARA REDES DE BANDA ANCHA DE MUY ALTA VELOCIDAD EN POLIGONOS INDUSTRIALES, CENTROS LOGISTICOS,  ZONAS DE CONCENTRACION EMPRESARIAL Y ZONAS DE INTERES ECONOMICO</v>
      </c>
      <c r="I217" s="3" t="s">
        <v>41</v>
      </c>
      <c r="J217" s="3" t="s">
        <v>41</v>
      </c>
      <c r="K217" s="3" t="s">
        <v>42</v>
      </c>
      <c r="L217" s="3" t="s">
        <v>41</v>
      </c>
    </row>
    <row r="218" spans="1:12" ht="80.45">
      <c r="A218" s="3" t="s">
        <v>3092</v>
      </c>
      <c r="B218" s="3" t="s">
        <v>3093</v>
      </c>
      <c r="C218" s="3" t="s">
        <v>232</v>
      </c>
      <c r="D218" s="3" t="s">
        <v>46</v>
      </c>
      <c r="E218" s="3" t="s">
        <v>2417</v>
      </c>
      <c r="F218" s="3" t="s">
        <v>2570</v>
      </c>
      <c r="G218" s="3" t="s">
        <v>3094</v>
      </c>
      <c r="H218" s="3" t="str">
        <f>HYPERLINK("http://www.jccm.es/sede/tramite/LQO","SUBVENCIONES PARA PROYECTOS DE IMPLANTACION DE NUEVAS RECOGIDAS DE RESIDUOS SEPARADAS Y MEJORA DE LAS EXISTENTES EN MUNICIPIOS DE CASTILLA-LA MANCHA.")</f>
        <v>SUBVENCIONES PARA PROYECTOS DE IMPLANTACION DE NUEVAS RECOGIDAS DE RESIDUOS SEPARADAS Y MEJORA DE LAS EXISTENTES EN MUNICIPIOS DE CASTILLA-LA MANCHA.</v>
      </c>
      <c r="I218" s="3" t="s">
        <v>41</v>
      </c>
      <c r="J218" s="3" t="s">
        <v>41</v>
      </c>
      <c r="K218" s="3" t="s">
        <v>42</v>
      </c>
      <c r="L218" s="3" t="s">
        <v>41</v>
      </c>
    </row>
    <row r="219" spans="1:12" ht="103.5">
      <c r="A219" s="3" t="s">
        <v>3095</v>
      </c>
      <c r="B219" s="3" t="s">
        <v>3096</v>
      </c>
      <c r="C219" s="3" t="s">
        <v>327</v>
      </c>
      <c r="D219" s="3" t="s">
        <v>46</v>
      </c>
      <c r="E219" s="3" t="s">
        <v>2417</v>
      </c>
      <c r="F219" s="3" t="s">
        <v>2570</v>
      </c>
      <c r="G219" s="3" t="s">
        <v>3097</v>
      </c>
      <c r="H219" s="3" t="str">
        <f>HYPERLINK("http://www.jccm.es/sede/tramite/LQX","SUBVENCIONES PARA PROYECTOS DE CONSTRUCCION Y MEJORA DE INSTALACIONES ESPECIFICAS PARA EL TRATAMIENTO DE LOS BIORRESIDUOS RECOGIDOS SEPARADAMENTE EN MUNICIPIOS DE CASTILLA-LA MANCHA.")</f>
        <v>SUBVENCIONES PARA PROYECTOS DE CONSTRUCCION Y MEJORA DE INSTALACIONES ESPECIFICAS PARA EL TRATAMIENTO DE LOS BIORRESIDUOS RECOGIDOS SEPARADAMENTE EN MUNICIPIOS DE CASTILLA-LA MANCHA.</v>
      </c>
      <c r="I219" s="3" t="s">
        <v>41</v>
      </c>
      <c r="J219" s="3" t="s">
        <v>41</v>
      </c>
      <c r="K219" s="3" t="s">
        <v>42</v>
      </c>
      <c r="L219" s="3" t="s">
        <v>41</v>
      </c>
    </row>
    <row r="220" spans="1:12" ht="92.1">
      <c r="A220" s="3" t="s">
        <v>3098</v>
      </c>
      <c r="B220" s="3" t="s">
        <v>3099</v>
      </c>
      <c r="C220" s="3" t="s">
        <v>3100</v>
      </c>
      <c r="D220" s="3" t="s">
        <v>46</v>
      </c>
      <c r="E220" s="3" t="s">
        <v>2417</v>
      </c>
      <c r="F220" s="3" t="s">
        <v>2570</v>
      </c>
      <c r="G220" s="3" t="s">
        <v>3101</v>
      </c>
      <c r="H220" s="3" t="str">
        <f>HYPERLINK("http://www.jccm.es/sede/tramite/LRY","SUBVENCIONES PARA ACTUACIONES DE CONSTRUCCION Y MEJORA DE INSTALACIONES DE RECOGIDA (PUNTOS LIMPIOS) EN MUNICIPIOS DE CASTILLA-LA MANCHA CON MAS DE 5.000 HABITANTES")</f>
        <v>SUBVENCIONES PARA ACTUACIONES DE CONSTRUCCION Y MEJORA DE INSTALACIONES DE RECOGIDA (PUNTOS LIMPIOS) EN MUNICIPIOS DE CASTILLA-LA MANCHA CON MAS DE 5.000 HABITANTES</v>
      </c>
      <c r="I220" s="3" t="s">
        <v>41</v>
      </c>
      <c r="J220" s="3" t="s">
        <v>41</v>
      </c>
      <c r="K220" s="3" t="s">
        <v>42</v>
      </c>
      <c r="L220" s="3" t="s">
        <v>41</v>
      </c>
    </row>
    <row r="221" spans="1:12" ht="103.5">
      <c r="A221" s="3" t="s">
        <v>3102</v>
      </c>
      <c r="B221" s="3" t="s">
        <v>3103</v>
      </c>
      <c r="C221" s="3" t="s">
        <v>3100</v>
      </c>
      <c r="D221" s="3" t="s">
        <v>46</v>
      </c>
      <c r="E221" s="3" t="s">
        <v>2417</v>
      </c>
      <c r="F221" s="3" t="s">
        <v>2570</v>
      </c>
      <c r="G221" s="3" t="s">
        <v>3104</v>
      </c>
      <c r="H221" s="3" t="str">
        <f>HYPERLINK("http://www.jccm.es/sede/tramite/LS2","SUBVENCIONES PARA PROYECTOS DE CONSTRUCCION DE NUEVAS INSTALACIONES DE PREPARACION PARA LA REUTILIZACION Y EL RECICLADO DE OTROS FLUJOS DE RESIDUOS RECOGIDOS SEPARADAMENTE.")</f>
        <v>SUBVENCIONES PARA PROYECTOS DE CONSTRUCCION DE NUEVAS INSTALACIONES DE PREPARACION PARA LA REUTILIZACION Y EL RECICLADO DE OTROS FLUJOS DE RESIDUOS RECOGIDOS SEPARADAMENTE.</v>
      </c>
      <c r="I221" s="3" t="s">
        <v>42</v>
      </c>
      <c r="J221" s="3" t="s">
        <v>41</v>
      </c>
      <c r="K221" s="3" t="s">
        <v>42</v>
      </c>
      <c r="L221" s="3" t="s">
        <v>41</v>
      </c>
    </row>
    <row r="222" spans="1:12" ht="69">
      <c r="A222" s="3" t="s">
        <v>3105</v>
      </c>
      <c r="B222" s="3" t="s">
        <v>3106</v>
      </c>
      <c r="C222" s="3" t="s">
        <v>327</v>
      </c>
      <c r="D222" s="3" t="s">
        <v>46</v>
      </c>
      <c r="E222" s="3" t="s">
        <v>2417</v>
      </c>
      <c r="F222" s="3" t="s">
        <v>2570</v>
      </c>
      <c r="G222" s="3" t="s">
        <v>3107</v>
      </c>
      <c r="H222" s="3" t="str">
        <f>HYPERLINK("http://www.jccm.es/sede/tramite/LTP","SUBVENCIONES DESTINADAS A LA IMPLEMENTACION DE PROYECTOS DE ECONOMIA CIRCULAR EN EL AMBITO DEL SECTOR TURISTICO DE CASTILLA-LA MANCHA")</f>
        <v>SUBVENCIONES DESTINADAS A LA IMPLEMENTACION DE PROYECTOS DE ECONOMIA CIRCULAR EN EL AMBITO DEL SECTOR TURISTICO DE CASTILLA-LA MANCHA</v>
      </c>
      <c r="I222" s="3" t="s">
        <v>41</v>
      </c>
      <c r="J222" s="3" t="s">
        <v>41</v>
      </c>
      <c r="K222" s="3" t="s">
        <v>42</v>
      </c>
      <c r="L222" s="3" t="s">
        <v>41</v>
      </c>
    </row>
    <row r="223" spans="1:12" ht="69">
      <c r="A223" s="3" t="s">
        <v>3108</v>
      </c>
      <c r="B223" s="3" t="s">
        <v>3109</v>
      </c>
      <c r="C223" s="3" t="s">
        <v>3110</v>
      </c>
      <c r="D223" s="3" t="s">
        <v>46</v>
      </c>
      <c r="E223" s="3" t="s">
        <v>2417</v>
      </c>
      <c r="F223" s="3" t="s">
        <v>2836</v>
      </c>
      <c r="G223" s="3" t="s">
        <v>3111</v>
      </c>
      <c r="H223" s="3" t="str">
        <f>HYPERLINK("http://www.jccm.es/sede/tramite/LTV","SUBVENCIONES PARA PROGRAMAS DE ACTIVIDADES EN MATERIA DE CONSUMO QUE SE REALICEN POR ENTIDADES LOCALES")</f>
        <v>SUBVENCIONES PARA PROGRAMAS DE ACTIVIDADES EN MATERIA DE CONSUMO QUE SE REALICEN POR ENTIDADES LOCALES</v>
      </c>
      <c r="I223" s="3" t="s">
        <v>41</v>
      </c>
      <c r="J223" s="3" t="s">
        <v>41</v>
      </c>
      <c r="K223" s="3" t="s">
        <v>42</v>
      </c>
      <c r="L223" s="3" t="s">
        <v>41</v>
      </c>
    </row>
    <row r="224" spans="1:12" ht="103.5">
      <c r="A224" s="3" t="s">
        <v>3112</v>
      </c>
      <c r="B224" s="3" t="s">
        <v>3113</v>
      </c>
      <c r="C224" s="3" t="s">
        <v>327</v>
      </c>
      <c r="D224" s="3" t="s">
        <v>46</v>
      </c>
      <c r="E224" s="3" t="s">
        <v>2417</v>
      </c>
      <c r="F224" s="3" t="s">
        <v>2510</v>
      </c>
      <c r="G224" s="3" t="s">
        <v>3114</v>
      </c>
      <c r="H224" s="3" t="str">
        <f>HYPERLINK("http://www.jccm.es/sede/tramite/LUL","AYUDA EN AREAS DE INFLUENCIA SOCIOECONOMICA DE PARQUES NACIONALES EN EL MARCO DEL PLAN DE RECUPERACION, TRANSFORMACION Y RESILIENCIA, FINANCIADO POR LA UNION EUROPEA NEXT GENERATION EU")</f>
        <v>AYUDA EN AREAS DE INFLUENCIA SOCIOECONOMICA DE PARQUES NACIONALES EN EL MARCO DEL PLAN DE RECUPERACION, TRANSFORMACION Y RESILIENCIA, FINANCIADO POR LA UNION EUROPEA NEXT GENERATION EU</v>
      </c>
      <c r="I224" s="3" t="s">
        <v>42</v>
      </c>
      <c r="J224" s="3" t="s">
        <v>41</v>
      </c>
      <c r="K224" s="3" t="s">
        <v>42</v>
      </c>
      <c r="L224" s="3" t="s">
        <v>41</v>
      </c>
    </row>
    <row r="225" spans="1:12" ht="126.6">
      <c r="A225" s="3" t="s">
        <v>3115</v>
      </c>
      <c r="B225" s="3" t="s">
        <v>3116</v>
      </c>
      <c r="C225" s="3" t="s">
        <v>3090</v>
      </c>
      <c r="D225" s="3" t="s">
        <v>46</v>
      </c>
      <c r="E225" s="3" t="s">
        <v>2417</v>
      </c>
      <c r="F225" s="3" t="s">
        <v>2604</v>
      </c>
      <c r="G225" s="3" t="s">
        <v>3117</v>
      </c>
      <c r="H225" s="3" t="str">
        <f>HYPERLINK("http://www.jccm.es/sede/tramite/LVI","SUBVENCIONES A PROYECTOS DE INSTALACION DE REDES INTERNAS DE COMUNICACIONES ELECTRONICAS ALTA VELOCIDAD EN FABRICAS, CENTROS Y DEPENDENCIAS SITAS EN POLIGONOS INDUSTRIALES")</f>
        <v>SUBVENCIONES A PROYECTOS DE INSTALACION DE REDES INTERNAS DE COMUNICACIONES ELECTRONICAS ALTA VELOCIDAD EN FABRICAS, CENTROS Y DEPENDENCIAS SITAS EN POLIGONOS INDUSTRIALES</v>
      </c>
      <c r="I225" s="3" t="s">
        <v>41</v>
      </c>
      <c r="J225" s="3" t="s">
        <v>41</v>
      </c>
      <c r="K225" s="3" t="s">
        <v>42</v>
      </c>
      <c r="L225" s="3" t="s">
        <v>41</v>
      </c>
    </row>
    <row r="226" spans="1:12" ht="69">
      <c r="A226" s="3" t="s">
        <v>3118</v>
      </c>
      <c r="B226" s="3" t="s">
        <v>3119</v>
      </c>
      <c r="C226" s="3" t="s">
        <v>3120</v>
      </c>
      <c r="D226" s="3" t="s">
        <v>46</v>
      </c>
      <c r="E226" s="3" t="s">
        <v>2417</v>
      </c>
      <c r="F226" s="3" t="s">
        <v>2418</v>
      </c>
      <c r="G226" s="3" t="s">
        <v>3121</v>
      </c>
      <c r="H226" s="3" t="str">
        <f>HYPERLINK("http://www.jccm.es/sede/tramite/LVS","PROGRAMAS DE INCENTIVOS PARA LA IMPLANTACION DE INSTALACIONES DE ENERGIAS RENOVABLES TERMICAS EN DIFERENTES SECTORES DE LA ECONOMIA")</f>
        <v>PROGRAMAS DE INCENTIVOS PARA LA IMPLANTACION DE INSTALACIONES DE ENERGIAS RENOVABLES TERMICAS EN DIFERENTES SECTORES DE LA ECONOMIA</v>
      </c>
      <c r="I226" s="3" t="s">
        <v>41</v>
      </c>
      <c r="J226" s="3" t="s">
        <v>41</v>
      </c>
      <c r="K226" s="3" t="s">
        <v>42</v>
      </c>
      <c r="L226" s="3" t="s">
        <v>41</v>
      </c>
    </row>
    <row r="227" spans="1:12" ht="80.45">
      <c r="A227" s="3" t="s">
        <v>3122</v>
      </c>
      <c r="B227" s="3" t="s">
        <v>3123</v>
      </c>
      <c r="C227" s="3" t="s">
        <v>327</v>
      </c>
      <c r="D227" s="3" t="s">
        <v>46</v>
      </c>
      <c r="E227" s="3" t="s">
        <v>2417</v>
      </c>
      <c r="F227" s="3" t="s">
        <v>2836</v>
      </c>
      <c r="G227" s="3" t="s">
        <v>3124</v>
      </c>
      <c r="H227" s="3" t="str">
        <f>HYPERLINK("http://www.jccm.es/sede/tramite/LX4","SUBVENCIONES PARA EL DESARROLLO DE PROYECTOS DE SENSIBILIZACION Y FORMACION EN AGENDA 2030 Y LOS OBJETIVOS DE DESARROLLO SOSTENIBLE")</f>
        <v>SUBVENCIONES PARA EL DESARROLLO DE PROYECTOS DE SENSIBILIZACION Y FORMACION EN AGENDA 2030 Y LOS OBJETIVOS DE DESARROLLO SOSTENIBLE</v>
      </c>
      <c r="I227" s="3" t="s">
        <v>41</v>
      </c>
      <c r="J227" s="3" t="s">
        <v>41</v>
      </c>
      <c r="K227" s="3" t="s">
        <v>42</v>
      </c>
      <c r="L227" s="3" t="s">
        <v>41</v>
      </c>
    </row>
    <row r="228" spans="1:12" ht="80.45">
      <c r="A228" s="3" t="s">
        <v>3125</v>
      </c>
      <c r="B228" s="3" t="s">
        <v>3126</v>
      </c>
      <c r="C228" s="3" t="s">
        <v>327</v>
      </c>
      <c r="D228" s="3" t="s">
        <v>46</v>
      </c>
      <c r="E228" s="3" t="s">
        <v>2417</v>
      </c>
      <c r="F228" s="3" t="s">
        <v>2417</v>
      </c>
      <c r="G228" s="3" t="s">
        <v>3127</v>
      </c>
      <c r="H228" s="3" t="str">
        <f>HYPERLINK("http://www.jccm.es/sede/tramite/LX7","AYUDAS DEL PROGRAMA DE EMISION DE BONOS DIGITALES PARA COLECTIVOS VULNERABLES, EN EL MARCO DEL PLAN DE RECUPERACION, TRANSFORMACION Y RESILIENCIA")</f>
        <v>AYUDAS DEL PROGRAMA DE EMISION DE BONOS DIGITALES PARA COLECTIVOS VULNERABLES, EN EL MARCO DEL PLAN DE RECUPERACION, TRANSFORMACION Y RESILIENCIA</v>
      </c>
      <c r="I228" s="3" t="s">
        <v>41</v>
      </c>
      <c r="J228" s="3" t="s">
        <v>41</v>
      </c>
      <c r="K228" s="3" t="s">
        <v>42</v>
      </c>
      <c r="L228" s="3" t="s">
        <v>41</v>
      </c>
    </row>
    <row r="229" spans="1:12" ht="57.6">
      <c r="A229" s="3" t="s">
        <v>3128</v>
      </c>
      <c r="B229" s="3" t="s">
        <v>3129</v>
      </c>
      <c r="C229" s="3" t="s">
        <v>51</v>
      </c>
      <c r="D229" s="3" t="s">
        <v>46</v>
      </c>
      <c r="E229" s="3" t="s">
        <v>2417</v>
      </c>
      <c r="F229" s="3" t="s">
        <v>2510</v>
      </c>
      <c r="G229" s="3" t="s">
        <v>3130</v>
      </c>
      <c r="H229" s="3" t="str">
        <f>HYPERLINK("http://www.jccm.es/sede/tramite/025","AYUDAS PARA EL FOMENTO DE LA ACUICULTURA EN CASTILLA LA MANCHA")</f>
        <v>AYUDAS PARA EL FOMENTO DE LA ACUICULTURA EN CASTILLA LA MANCHA</v>
      </c>
      <c r="I229" s="3" t="s">
        <v>42</v>
      </c>
      <c r="J229" s="3" t="s">
        <v>41</v>
      </c>
      <c r="K229" s="3" t="s">
        <v>42</v>
      </c>
      <c r="L229" s="3" t="s">
        <v>41</v>
      </c>
    </row>
    <row r="230" spans="1:12" ht="57.6">
      <c r="A230" s="3" t="s">
        <v>3131</v>
      </c>
      <c r="B230" s="3" t="s">
        <v>3132</v>
      </c>
      <c r="C230" s="3" t="s">
        <v>51</v>
      </c>
      <c r="D230" s="3" t="s">
        <v>46</v>
      </c>
      <c r="E230" s="3" t="s">
        <v>2417</v>
      </c>
      <c r="F230" s="3" t="s">
        <v>2510</v>
      </c>
      <c r="G230" s="3" t="s">
        <v>3133</v>
      </c>
      <c r="H230" s="3" t="str">
        <f>HYPERLINK("http://www.jccm.es/sede/tramite/K6I","PAGO DE LA AYUDA PARA EL FOMENTO DE LA ACUICULTURA EN CASTILLA LA MANCHA")</f>
        <v>PAGO DE LA AYUDA PARA EL FOMENTO DE LA ACUICULTURA EN CASTILLA LA MANCHA</v>
      </c>
      <c r="I230" s="3" t="s">
        <v>42</v>
      </c>
      <c r="J230" s="3" t="s">
        <v>41</v>
      </c>
      <c r="K230" s="3" t="s">
        <v>42</v>
      </c>
      <c r="L230" s="3" t="s">
        <v>41</v>
      </c>
    </row>
    <row r="231" spans="1:12" ht="80.45">
      <c r="A231" s="3" t="s">
        <v>3134</v>
      </c>
      <c r="B231" s="3" t="s">
        <v>3135</v>
      </c>
      <c r="C231" s="3" t="s">
        <v>51</v>
      </c>
      <c r="D231" s="3" t="s">
        <v>46</v>
      </c>
      <c r="E231" s="3" t="s">
        <v>2417</v>
      </c>
      <c r="F231" s="3" t="s">
        <v>2510</v>
      </c>
      <c r="G231" s="3" t="s">
        <v>3136</v>
      </c>
      <c r="H231" s="3" t="str">
        <f>HYPERLINK("http://www.jccm.es/sede/tramite/KV5","MODIFICACION DE LA RESOLUCION DE LA CONCESION DE AYUDAS PARA EL FOMENTO DE LA ACUICULTURA EN LA COMUNIDAD AUTONOMA DE CASTILLA LA MANCHA.")</f>
        <v>MODIFICACION DE LA RESOLUCION DE LA CONCESION DE AYUDAS PARA EL FOMENTO DE LA ACUICULTURA EN LA COMUNIDAD AUTONOMA DE CASTILLA LA MANCHA.</v>
      </c>
      <c r="I231" s="3" t="s">
        <v>42</v>
      </c>
      <c r="J231" s="3" t="s">
        <v>41</v>
      </c>
      <c r="K231" s="3" t="s">
        <v>42</v>
      </c>
      <c r="L231" s="3" t="s">
        <v>41</v>
      </c>
    </row>
    <row r="232" spans="1:12" ht="57.6">
      <c r="A232" s="3" t="s">
        <v>3137</v>
      </c>
      <c r="B232" s="3" t="s">
        <v>3138</v>
      </c>
      <c r="C232" s="3" t="s">
        <v>327</v>
      </c>
      <c r="D232" s="3" t="s">
        <v>46</v>
      </c>
      <c r="E232" s="3" t="s">
        <v>2417</v>
      </c>
      <c r="F232" s="3" t="s">
        <v>2510</v>
      </c>
      <c r="G232" s="3" t="s">
        <v>3139</v>
      </c>
      <c r="H232" s="3" t="str">
        <f>HYPERLINK("http://www.jccm.es/sede/tramite/K62","SOLICITUD DE PAGO DE LA AYUDA PARA LA EJECUCION DE TRATAMIENTOS SELVICOLAS.")</f>
        <v>SOLICITUD DE PAGO DE LA AYUDA PARA LA EJECUCION DE TRATAMIENTOS SELVICOLAS.</v>
      </c>
      <c r="I232" s="3" t="s">
        <v>42</v>
      </c>
      <c r="J232" s="3" t="s">
        <v>41</v>
      </c>
      <c r="K232" s="3" t="s">
        <v>42</v>
      </c>
      <c r="L232" s="3" t="s">
        <v>41</v>
      </c>
    </row>
    <row r="233" spans="1:12" ht="80.45">
      <c r="A233" s="3" t="s">
        <v>3140</v>
      </c>
      <c r="B233" s="3" t="s">
        <v>3141</v>
      </c>
      <c r="C233" s="3" t="s">
        <v>327</v>
      </c>
      <c r="D233" s="3" t="s">
        <v>46</v>
      </c>
      <c r="E233" s="3" t="s">
        <v>2417</v>
      </c>
      <c r="F233" s="3" t="s">
        <v>2510</v>
      </c>
      <c r="G233" s="3" t="s">
        <v>3142</v>
      </c>
      <c r="H233" s="3" t="str">
        <f>HYPERLINK("http://www.jccm.es/sede/tramite/K65","COMUNICACION DE CAMBIO DE TITULARIDAD Y ACEPTACION EXPRESA POR EL NUEVO TITULAR DE LAS CONDICIONES DE LA AYUDA PARA LA EJECUCION DE TRATAMIENTOS SELVICOLAS.")</f>
        <v>COMUNICACION DE CAMBIO DE TITULARIDAD Y ACEPTACION EXPRESA POR EL NUEVO TITULAR DE LAS CONDICIONES DE LA AYUDA PARA LA EJECUCION DE TRATAMIENTOS SELVICOLAS.</v>
      </c>
      <c r="I233" s="3" t="s">
        <v>41</v>
      </c>
      <c r="J233" s="3" t="s">
        <v>41</v>
      </c>
      <c r="K233" s="3" t="s">
        <v>42</v>
      </c>
      <c r="L233" s="3" t="s">
        <v>41</v>
      </c>
    </row>
    <row r="234" spans="1:12" ht="57.6">
      <c r="A234" s="3" t="s">
        <v>3143</v>
      </c>
      <c r="B234" s="3" t="s">
        <v>3144</v>
      </c>
      <c r="C234" s="3" t="s">
        <v>327</v>
      </c>
      <c r="D234" s="3" t="s">
        <v>46</v>
      </c>
      <c r="E234" s="3" t="s">
        <v>2417</v>
      </c>
      <c r="F234" s="3" t="s">
        <v>2510</v>
      </c>
      <c r="G234" s="3" t="s">
        <v>3145</v>
      </c>
      <c r="H234" s="3" t="str">
        <f>HYPERLINK("http://www.jccm.es/sede/tramite/J11","AYUDAS PARA LA EJECUCION DE TRATAMIENTOS SELVICOLAS.")</f>
        <v>AYUDAS PARA LA EJECUCION DE TRATAMIENTOS SELVICOLAS.</v>
      </c>
      <c r="I234" s="3" t="s">
        <v>41</v>
      </c>
      <c r="J234" s="3" t="s">
        <v>41</v>
      </c>
      <c r="K234" s="3" t="s">
        <v>42</v>
      </c>
      <c r="L234" s="3" t="s">
        <v>41</v>
      </c>
    </row>
    <row r="235" spans="1:12" ht="57.6">
      <c r="A235" s="3" t="s">
        <v>3146</v>
      </c>
      <c r="B235" s="3" t="s">
        <v>3147</v>
      </c>
      <c r="C235" s="3" t="s">
        <v>327</v>
      </c>
      <c r="D235" s="3" t="s">
        <v>46</v>
      </c>
      <c r="E235" s="3" t="s">
        <v>2417</v>
      </c>
      <c r="F235" s="3" t="s">
        <v>2510</v>
      </c>
      <c r="G235" s="3" t="s">
        <v>3148</v>
      </c>
      <c r="H235" s="3" t="str">
        <f>HYPERLINK("http://www.jccm.es/sede/tramite/JTG","APORTACION DE DOCUMENTACION EN EL TRAMITE DE AUDIENCIA")</f>
        <v>APORTACION DE DOCUMENTACION EN EL TRAMITE DE AUDIENCIA</v>
      </c>
      <c r="I235" s="3" t="s">
        <v>42</v>
      </c>
      <c r="J235" s="3" t="s">
        <v>41</v>
      </c>
      <c r="K235" s="3" t="s">
        <v>42</v>
      </c>
      <c r="L235" s="3" t="s">
        <v>41</v>
      </c>
    </row>
    <row r="236" spans="1:12" ht="57.6">
      <c r="A236" s="3" t="s">
        <v>3149</v>
      </c>
      <c r="B236" s="3" t="s">
        <v>3150</v>
      </c>
      <c r="C236" s="3" t="s">
        <v>327</v>
      </c>
      <c r="D236" s="3" t="s">
        <v>46</v>
      </c>
      <c r="E236" s="3" t="s">
        <v>2417</v>
      </c>
      <c r="F236" s="3" t="s">
        <v>2510</v>
      </c>
      <c r="G236" s="3" t="s">
        <v>3151</v>
      </c>
      <c r="H236" s="3" t="str">
        <f>HYPERLINK("http://www.jccm.es/sede/tramite/L34","MODIFICACION DE LAS CONDICIONES DE TIEMPO O DE LA ESTRUCTURA DEL PROYECTO INICIAL APROBADO")</f>
        <v>MODIFICACION DE LAS CONDICIONES DE TIEMPO O DE LA ESTRUCTURA DEL PROYECTO INICIAL APROBADO</v>
      </c>
      <c r="I236" s="3" t="s">
        <v>42</v>
      </c>
      <c r="J236" s="3" t="s">
        <v>41</v>
      </c>
      <c r="K236" s="3" t="s">
        <v>42</v>
      </c>
      <c r="L236" s="3" t="s">
        <v>41</v>
      </c>
    </row>
    <row r="237" spans="1:12" ht="57.6">
      <c r="A237" s="3" t="s">
        <v>3152</v>
      </c>
      <c r="B237" s="3" t="s">
        <v>3153</v>
      </c>
      <c r="C237" s="3" t="s">
        <v>327</v>
      </c>
      <c r="D237" s="3" t="s">
        <v>46</v>
      </c>
      <c r="E237" s="3" t="s">
        <v>2417</v>
      </c>
      <c r="F237" s="3" t="s">
        <v>2510</v>
      </c>
      <c r="G237" s="3" t="s">
        <v>3154</v>
      </c>
      <c r="H237" s="3" t="str">
        <f>HYPERLINK("http://www.jccm.es/sede/tramite/JTH","SOLICITUD DE ABONO DE AYUDAS EN AREAS DE INFLUENCIA SOCIOECONOMICA DE PARQUES NACIONALES EN CASTILLA-LA MANCHA")</f>
        <v>SOLICITUD DE ABONO DE AYUDAS EN AREAS DE INFLUENCIA SOCIOECONOMICA DE PARQUES NACIONALES EN CASTILLA-LA MANCHA</v>
      </c>
      <c r="I237" s="3" t="s">
        <v>42</v>
      </c>
      <c r="J237" s="3" t="s">
        <v>41</v>
      </c>
      <c r="K237" s="3" t="s">
        <v>42</v>
      </c>
      <c r="L237" s="3" t="s">
        <v>41</v>
      </c>
    </row>
    <row r="238" spans="1:12" ht="103.5">
      <c r="A238" s="3" t="s">
        <v>3155</v>
      </c>
      <c r="B238" s="3" t="s">
        <v>3156</v>
      </c>
      <c r="C238" s="3" t="s">
        <v>95</v>
      </c>
      <c r="D238" s="3" t="s">
        <v>95</v>
      </c>
      <c r="E238" s="3" t="s">
        <v>2417</v>
      </c>
      <c r="F238" s="3" t="s">
        <v>2581</v>
      </c>
      <c r="G238" s="3" t="s">
        <v>3157</v>
      </c>
      <c r="H238" s="3" t="str">
        <f>HYPERLINK("http://www.jccm.es/sede/tramite/KNV","JUSTIFICACION DE UNA SUBVENCION A LA CONFEDERACION REGIONAL DE EMPRESARIOS DE CASTILLA-LA MANCHA PARA LA REALIZACION DE ACTUACIONES EN EL MARCO DEL PLAN INTEGRADO DE GESTION DE RESIDUOS DE CLM")</f>
        <v>JUSTIFICACION DE UNA SUBVENCION A LA CONFEDERACION REGIONAL DE EMPRESARIOS DE CASTILLA-LA MANCHA PARA LA REALIZACION DE ACTUACIONES EN EL MARCO DEL PLAN INTEGRADO DE GESTION DE RESIDUOS DE CLM</v>
      </c>
      <c r="I238" s="3" t="s">
        <v>41</v>
      </c>
      <c r="J238" s="3" t="s">
        <v>41</v>
      </c>
      <c r="K238" s="3" t="s">
        <v>42</v>
      </c>
      <c r="L238" s="3" t="s">
        <v>41</v>
      </c>
    </row>
    <row r="239" spans="1:12" ht="92.1">
      <c r="A239" s="3" t="s">
        <v>3158</v>
      </c>
      <c r="B239" s="3" t="s">
        <v>3159</v>
      </c>
      <c r="C239" s="3" t="s">
        <v>95</v>
      </c>
      <c r="D239" s="3" t="s">
        <v>95</v>
      </c>
      <c r="E239" s="3" t="s">
        <v>2417</v>
      </c>
      <c r="F239" s="3" t="s">
        <v>2581</v>
      </c>
      <c r="G239" s="3" t="s">
        <v>3160</v>
      </c>
      <c r="H239" s="3" t="str">
        <f>HYPERLINK("http://www.jccm.es/sede/tramite/KNX","JUSTIFICACION DE SUBVENCION A COOPERATIVAS AGRO-ALIMENTARIAS DE CASTILLA-LA MANCHA PARA LA REALIZACION DE ACTUACIONES EN EL MARCO DEL PLAN INTEGRADO DE GESTION DE RESIDUOS DE CLM 2016-2022")</f>
        <v>JUSTIFICACION DE SUBVENCION A COOPERATIVAS AGRO-ALIMENTARIAS DE CASTILLA-LA MANCHA PARA LA REALIZACION DE ACTUACIONES EN EL MARCO DEL PLAN INTEGRADO DE GESTION DE RESIDUOS DE CLM 2016-2022</v>
      </c>
      <c r="I239" s="3" t="s">
        <v>41</v>
      </c>
      <c r="J239" s="3" t="s">
        <v>41</v>
      </c>
      <c r="K239" s="3" t="s">
        <v>42</v>
      </c>
      <c r="L239" s="3" t="s">
        <v>41</v>
      </c>
    </row>
    <row r="240" spans="1:12" ht="92.1">
      <c r="A240" s="3" t="s">
        <v>3161</v>
      </c>
      <c r="B240" s="3" t="s">
        <v>3162</v>
      </c>
      <c r="C240" s="3" t="s">
        <v>327</v>
      </c>
      <c r="D240" s="3" t="s">
        <v>46</v>
      </c>
      <c r="E240" s="3" t="s">
        <v>2417</v>
      </c>
      <c r="F240" s="3" t="s">
        <v>2510</v>
      </c>
      <c r="G240" s="3" t="s">
        <v>3163</v>
      </c>
      <c r="H240" s="3" t="str">
        <f>HYPERLINK("http://www.jccm.es/sede/tramite/KUE","COMUNICACION DE CAMBIO DE TITULARIDAD Y ACEPTACION EXPRESA POR EL NUEVO TITULAR DE LAS CONDICIONES DE LA AYUDA PARA LA ELABORACION Y REVISION DE INSTRUMENTOS DE GESTION FORESTAL.")</f>
        <v>COMUNICACION DE CAMBIO DE TITULARIDAD Y ACEPTACION EXPRESA POR EL NUEVO TITULAR DE LAS CONDICIONES DE LA AYUDA PARA LA ELABORACION Y REVISION DE INSTRUMENTOS DE GESTION FORESTAL.</v>
      </c>
      <c r="I240" s="3" t="s">
        <v>42</v>
      </c>
      <c r="J240" s="3" t="s">
        <v>41</v>
      </c>
      <c r="K240" s="3" t="s">
        <v>42</v>
      </c>
      <c r="L240" s="3" t="s">
        <v>41</v>
      </c>
    </row>
    <row r="241" spans="1:12" ht="103.5">
      <c r="A241" s="3" t="s">
        <v>3164</v>
      </c>
      <c r="B241" s="3" t="s">
        <v>3165</v>
      </c>
      <c r="C241" s="3" t="s">
        <v>327</v>
      </c>
      <c r="D241" s="3" t="s">
        <v>46</v>
      </c>
      <c r="E241" s="3" t="s">
        <v>2417</v>
      </c>
      <c r="F241" s="3" t="s">
        <v>2510</v>
      </c>
      <c r="G241" s="3" t="s">
        <v>3166</v>
      </c>
      <c r="H241" s="3" t="str">
        <f>HYPERLINK("http://www.jccm.es/sede/tramite/KV1","CAMBIO DE TITULARIDAD Y ACEPTACION EXPRESA DE LAS CONDICIONES DE LA AYUDA EN INVERSIONES EN TEC. FORESTALES Y EN LA TRANSFORMACION, MOVILIZACION Y COMERCIALIZACION DE PRODUCTOS FORESTALES")</f>
        <v>CAMBIO DE TITULARIDAD Y ACEPTACION EXPRESA DE LAS CONDICIONES DE LA AYUDA EN INVERSIONES EN TEC. FORESTALES Y EN LA TRANSFORMACION, MOVILIZACION Y COMERCIALIZACION DE PRODUCTOS FORESTALES</v>
      </c>
      <c r="I241" s="3" t="s">
        <v>41</v>
      </c>
      <c r="J241" s="3" t="s">
        <v>41</v>
      </c>
      <c r="K241" s="3" t="s">
        <v>42</v>
      </c>
      <c r="L241" s="3" t="s">
        <v>41</v>
      </c>
    </row>
    <row r="242" spans="1:12" ht="80.45">
      <c r="A242" s="3" t="s">
        <v>3167</v>
      </c>
      <c r="B242" s="3" t="s">
        <v>3168</v>
      </c>
      <c r="C242" s="3" t="s">
        <v>327</v>
      </c>
      <c r="D242" s="3" t="s">
        <v>46</v>
      </c>
      <c r="E242" s="3" t="s">
        <v>2417</v>
      </c>
      <c r="F242" s="3" t="s">
        <v>2510</v>
      </c>
      <c r="G242" s="3" t="s">
        <v>3169</v>
      </c>
      <c r="H242" s="3" t="str">
        <f>HYPERLINK("http://www.jccm.es/sede/tramite/KV2","SOLICITUD DE PAGO DE AYUDA EN INVERSIONES EN TECNOLOGIAS FORESTALES Y EN LA TRANSFORMACION, MOVILIZACION Y COMERCIALIZACION DE PRODUCTOS FORESTALES")</f>
        <v>SOLICITUD DE PAGO DE AYUDA EN INVERSIONES EN TECNOLOGIAS FORESTALES Y EN LA TRANSFORMACION, MOVILIZACION Y COMERCIALIZACION DE PRODUCTOS FORESTALES</v>
      </c>
      <c r="I242" s="3" t="s">
        <v>41</v>
      </c>
      <c r="J242" s="3" t="s">
        <v>41</v>
      </c>
      <c r="K242" s="3" t="s">
        <v>42</v>
      </c>
      <c r="L242" s="3" t="s">
        <v>41</v>
      </c>
    </row>
    <row r="243" spans="1:12" ht="80.45">
      <c r="A243" s="3" t="s">
        <v>3170</v>
      </c>
      <c r="B243" s="3" t="s">
        <v>3171</v>
      </c>
      <c r="C243" s="3" t="s">
        <v>327</v>
      </c>
      <c r="D243" s="3" t="s">
        <v>46</v>
      </c>
      <c r="E243" s="3" t="s">
        <v>2417</v>
      </c>
      <c r="F243" s="3" t="s">
        <v>2510</v>
      </c>
      <c r="G243" s="3" t="s">
        <v>3172</v>
      </c>
      <c r="H243" s="3" t="str">
        <f>HYPERLINK("http://www.jccm.es/sede/tramite/KV0","SOLICITUD DE AYUDAS EN INVERSIONES EN TECNOLOGIAS FORESTALES Y EN LA TRANSFORMACION, MOVILIZACION Y COMERCIALIZACION DE PRODUCTOS FORESTALES")</f>
        <v>SOLICITUD DE AYUDAS EN INVERSIONES EN TECNOLOGIAS FORESTALES Y EN LA TRANSFORMACION, MOVILIZACION Y COMERCIALIZACION DE PRODUCTOS FORESTALES</v>
      </c>
      <c r="I243" s="3" t="s">
        <v>41</v>
      </c>
      <c r="J243" s="3" t="s">
        <v>41</v>
      </c>
      <c r="K243" s="3" t="s">
        <v>42</v>
      </c>
      <c r="L243" s="3" t="s">
        <v>41</v>
      </c>
    </row>
    <row r="244" spans="1:12" ht="57.6">
      <c r="A244" s="3" t="s">
        <v>3173</v>
      </c>
      <c r="B244" s="3" t="s">
        <v>3174</v>
      </c>
      <c r="C244" s="3" t="s">
        <v>51</v>
      </c>
      <c r="D244" s="3" t="s">
        <v>46</v>
      </c>
      <c r="E244" s="3" t="s">
        <v>2417</v>
      </c>
      <c r="F244" s="3" t="s">
        <v>2510</v>
      </c>
      <c r="G244" s="3" t="s">
        <v>3175</v>
      </c>
      <c r="H244" s="3" t="str">
        <f>HYPERLINK("http://www.jccm.es/sede/tramite/KWZ","SOLICITUD MODIFICACION DE RESOLUCION DE AYUDAS DE PAGOS POR COMPROMISOS SILVOAMBIENTALES Y CLIMATICOS.")</f>
        <v>SOLICITUD MODIFICACION DE RESOLUCION DE AYUDAS DE PAGOS POR COMPROMISOS SILVOAMBIENTALES Y CLIMATICOS.</v>
      </c>
      <c r="I244" s="3" t="s">
        <v>42</v>
      </c>
      <c r="J244" s="3" t="s">
        <v>41</v>
      </c>
      <c r="K244" s="3" t="s">
        <v>42</v>
      </c>
      <c r="L244" s="3" t="s">
        <v>41</v>
      </c>
    </row>
    <row r="245" spans="1:12" ht="92.1">
      <c r="A245" s="3" t="s">
        <v>3176</v>
      </c>
      <c r="B245" s="3" t="s">
        <v>3177</v>
      </c>
      <c r="C245" s="3" t="s">
        <v>51</v>
      </c>
      <c r="D245" s="3" t="s">
        <v>46</v>
      </c>
      <c r="E245" s="3" t="s">
        <v>2417</v>
      </c>
      <c r="F245" s="3" t="s">
        <v>2510</v>
      </c>
      <c r="G245" s="3" t="s">
        <v>3178</v>
      </c>
      <c r="H245" s="3" t="str">
        <f>HYPERLINK("http://www.jccm.es/sede/tramite/KX0","CAMBIO DE TITULARIDAD Y ACEPTACION EXPRESA DE LAS CONDICIONES DE LA AYUDA PARA LA SUBMEDIDA 15.1 DE PAGOS COMPENSATORIOS POR COMPROMISOS SILVOAMBIENTALES Y CLIMATICOS.")</f>
        <v>CAMBIO DE TITULARIDAD Y ACEPTACION EXPRESA DE LAS CONDICIONES DE LA AYUDA PARA LA SUBMEDIDA 15.1 DE PAGOS COMPENSATORIOS POR COMPROMISOS SILVOAMBIENTALES Y CLIMATICOS.</v>
      </c>
      <c r="I245" s="3" t="s">
        <v>42</v>
      </c>
      <c r="J245" s="3" t="s">
        <v>41</v>
      </c>
      <c r="K245" s="3" t="s">
        <v>42</v>
      </c>
      <c r="L245" s="3" t="s">
        <v>41</v>
      </c>
    </row>
    <row r="246" spans="1:12" ht="80.45">
      <c r="A246" s="3" t="s">
        <v>3179</v>
      </c>
      <c r="B246" s="3" t="s">
        <v>3180</v>
      </c>
      <c r="C246" s="3" t="s">
        <v>36</v>
      </c>
      <c r="D246" s="3" t="s">
        <v>46</v>
      </c>
      <c r="E246" s="3" t="s">
        <v>2417</v>
      </c>
      <c r="F246" s="3" t="s">
        <v>2581</v>
      </c>
      <c r="G246" s="3" t="s">
        <v>3181</v>
      </c>
      <c r="H246" s="3" t="str">
        <f>HYPERLINK("http://www.jccm.es/sede/tramite/KZ3","SOLICITUD PARA LA CONVOCATORIA DE EXPRESIONES DE INTERES RELATIVA A ACTUACIONES DE MEJORA DE LA GESTION DE RESIDUOS EN EL MARCO DEL PO FEDER CLM 2014-2020.")</f>
        <v>SOLICITUD PARA LA CONVOCATORIA DE EXPRESIONES DE INTERES RELATIVA A ACTUACIONES DE MEJORA DE LA GESTION DE RESIDUOS EN EL MARCO DEL PO FEDER CLM 2014-2020.</v>
      </c>
      <c r="I246" s="3" t="s">
        <v>41</v>
      </c>
      <c r="J246" s="3" t="s">
        <v>41</v>
      </c>
      <c r="K246" s="3" t="s">
        <v>42</v>
      </c>
      <c r="L246" s="3" t="s">
        <v>41</v>
      </c>
    </row>
    <row r="247" spans="1:12" ht="80.45">
      <c r="A247" s="3" t="s">
        <v>3182</v>
      </c>
      <c r="B247" s="3" t="s">
        <v>3183</v>
      </c>
      <c r="C247" s="3" t="s">
        <v>327</v>
      </c>
      <c r="D247" s="3" t="s">
        <v>46</v>
      </c>
      <c r="E247" s="3" t="s">
        <v>2417</v>
      </c>
      <c r="F247" s="3" t="s">
        <v>2510</v>
      </c>
      <c r="G247" s="3" t="s">
        <v>3184</v>
      </c>
      <c r="H247" s="3" t="str">
        <f>HYPERLINK("http://www.jccm.es/sede/tramite/L25","SOLICITUD DE AYUDA PARA EL MANTENIMIENTO Y MEJORA DE LA BIODIVERSIDAD EN ACCIONES QUE REPERCUTEN EN EL ESTADO DE CONSERVACION DE LA RED NATURA 2000")</f>
        <v>SOLICITUD DE AYUDA PARA EL MANTENIMIENTO Y MEJORA DE LA BIODIVERSIDAD EN ACCIONES QUE REPERCUTEN EN EL ESTADO DE CONSERVACION DE LA RED NATURA 2000</v>
      </c>
      <c r="I247" s="3" t="s">
        <v>42</v>
      </c>
      <c r="J247" s="3" t="s">
        <v>41</v>
      </c>
      <c r="K247" s="3" t="s">
        <v>42</v>
      </c>
      <c r="L247" s="3" t="s">
        <v>41</v>
      </c>
    </row>
    <row r="248" spans="1:12" ht="92.1">
      <c r="A248" s="3" t="s">
        <v>3185</v>
      </c>
      <c r="B248" s="3" t="s">
        <v>3186</v>
      </c>
      <c r="C248" s="3" t="s">
        <v>327</v>
      </c>
      <c r="D248" s="3" t="s">
        <v>46</v>
      </c>
      <c r="E248" s="3" t="s">
        <v>2417</v>
      </c>
      <c r="F248" s="3" t="s">
        <v>2510</v>
      </c>
      <c r="G248" s="3" t="s">
        <v>3187</v>
      </c>
      <c r="H248" s="3" t="str">
        <f>HYPERLINK("http://www.jccm.es/sede/tramite/L26","COMUNICACION DE CAMBIO DE TITULARIDAD Y ACEPTACION EXPRESA DE LAS CONDICIONES DE LAS AYUDAS PARA EL MANTENIMIENTO Y MEJORA DE LA BIODIVERSIDAD EN ACCIONES SOBRE RED NATURA 2000")</f>
        <v>COMUNICACION DE CAMBIO DE TITULARIDAD Y ACEPTACION EXPRESA DE LAS CONDICIONES DE LAS AYUDAS PARA EL MANTENIMIENTO Y MEJORA DE LA BIODIVERSIDAD EN ACCIONES SOBRE RED NATURA 2000</v>
      </c>
      <c r="I248" s="3" t="s">
        <v>42</v>
      </c>
      <c r="J248" s="3" t="s">
        <v>41</v>
      </c>
      <c r="K248" s="3" t="s">
        <v>42</v>
      </c>
      <c r="L248" s="3" t="s">
        <v>41</v>
      </c>
    </row>
    <row r="249" spans="1:12" ht="80.45">
      <c r="A249" s="3" t="s">
        <v>3188</v>
      </c>
      <c r="B249" s="3" t="s">
        <v>3189</v>
      </c>
      <c r="C249" s="3" t="s">
        <v>327</v>
      </c>
      <c r="D249" s="3" t="s">
        <v>46</v>
      </c>
      <c r="E249" s="3" t="s">
        <v>2417</v>
      </c>
      <c r="F249" s="3" t="s">
        <v>2510</v>
      </c>
      <c r="G249" s="3" t="s">
        <v>3190</v>
      </c>
      <c r="H249" s="3" t="str">
        <f>HYPERLINK("http://www.jccm.es/sede/tramite/L27","SOLICITUD DE PAGO AYUDAS PARA EL MANTENIMIENTO Y MEJORA DE LA BIODIVERSIDAD EN ACCIONES QUE REPERCUTEN EN EL ESTADO DE CONSERVACION DE LA RED NATURA 2000")</f>
        <v>SOLICITUD DE PAGO AYUDAS PARA EL MANTENIMIENTO Y MEJORA DE LA BIODIVERSIDAD EN ACCIONES QUE REPERCUTEN EN EL ESTADO DE CONSERVACION DE LA RED NATURA 2000</v>
      </c>
      <c r="I249" s="3" t="s">
        <v>42</v>
      </c>
      <c r="J249" s="3" t="s">
        <v>41</v>
      </c>
      <c r="K249" s="3" t="s">
        <v>42</v>
      </c>
      <c r="L249" s="3" t="s">
        <v>41</v>
      </c>
    </row>
    <row r="250" spans="1:12" ht="92.1">
      <c r="A250" s="3" t="s">
        <v>3191</v>
      </c>
      <c r="B250" s="3" t="s">
        <v>3192</v>
      </c>
      <c r="C250" s="3" t="s">
        <v>51</v>
      </c>
      <c r="D250" s="3" t="s">
        <v>46</v>
      </c>
      <c r="E250" s="3" t="s">
        <v>2417</v>
      </c>
      <c r="F250" s="3" t="s">
        <v>2510</v>
      </c>
      <c r="G250" s="3" t="s">
        <v>3193</v>
      </c>
      <c r="H250" s="3" t="str">
        <f>HYPERLINK("http://www.jccm.es/sede/tramite/L28","SOLICITUD MODIFICACION DE LA RESOLUCION DE LA AYUDA PARA EL MANTENIMIENTO Y MEJORA DE LA BIODIVERSIDAD EN ACCIONES QUE REPERCUTEN EN EL ESTADO DE CONSERVACION DE LA RED NATURA 2000.")</f>
        <v>SOLICITUD MODIFICACION DE LA RESOLUCION DE LA AYUDA PARA EL MANTENIMIENTO Y MEJORA DE LA BIODIVERSIDAD EN ACCIONES QUE REPERCUTEN EN EL ESTADO DE CONSERVACION DE LA RED NATURA 2000.</v>
      </c>
      <c r="I250" s="3" t="s">
        <v>42</v>
      </c>
      <c r="J250" s="3" t="s">
        <v>41</v>
      </c>
      <c r="K250" s="3" t="s">
        <v>42</v>
      </c>
      <c r="L250" s="3" t="s">
        <v>41</v>
      </c>
    </row>
    <row r="251" spans="1:12" ht="103.5">
      <c r="A251" s="3" t="s">
        <v>3194</v>
      </c>
      <c r="B251" s="3" t="s">
        <v>3195</v>
      </c>
      <c r="C251" s="3" t="s">
        <v>51</v>
      </c>
      <c r="D251" s="3" t="s">
        <v>46</v>
      </c>
      <c r="E251" s="3" t="s">
        <v>2417</v>
      </c>
      <c r="F251" s="3" t="s">
        <v>2510</v>
      </c>
      <c r="G251" s="3" t="s">
        <v>3196</v>
      </c>
      <c r="H251" s="3" t="str">
        <f>HYPERLINK("http://www.jccm.es/sede/tramite/L29","SOLICITUD AMPLIACION DE PLAZO DE EJECUCION DE LAS AYUDAS PARA EL MANTENIMIENTO Y MEJORA DE LA BIODIVERSIDAD EN ACCIONES QUE REPERCUTEN EN EL ESTADO DE CONSERVACION DE LA RED NATURA 2000")</f>
        <v>SOLICITUD AMPLIACION DE PLAZO DE EJECUCION DE LAS AYUDAS PARA EL MANTENIMIENTO Y MEJORA DE LA BIODIVERSIDAD EN ACCIONES QUE REPERCUTEN EN EL ESTADO DE CONSERVACION DE LA RED NATURA 2000</v>
      </c>
      <c r="I251" s="3" t="s">
        <v>42</v>
      </c>
      <c r="J251" s="3" t="s">
        <v>41</v>
      </c>
      <c r="K251" s="3" t="s">
        <v>42</v>
      </c>
      <c r="L251" s="3" t="s">
        <v>41</v>
      </c>
    </row>
    <row r="252" spans="1:12" ht="57.6">
      <c r="A252" s="3" t="s">
        <v>3197</v>
      </c>
      <c r="B252" s="3" t="s">
        <v>3198</v>
      </c>
      <c r="C252" s="3" t="s">
        <v>327</v>
      </c>
      <c r="D252" s="3" t="s">
        <v>46</v>
      </c>
      <c r="E252" s="3" t="s">
        <v>2417</v>
      </c>
      <c r="F252" s="3" t="s">
        <v>2510</v>
      </c>
      <c r="G252" s="3" t="s">
        <v>3199</v>
      </c>
      <c r="H252" s="3" t="str">
        <f>HYPERLINK("http://www.jccm.es/sede/tramite/L4S","MODELO DE ACEPTACION/RENUNCIA PROPUESTA RESOLUCION.")</f>
        <v>MODELO DE ACEPTACION/RENUNCIA PROPUESTA RESOLUCION.</v>
      </c>
      <c r="I252" s="3" t="s">
        <v>41</v>
      </c>
      <c r="J252" s="3" t="s">
        <v>41</v>
      </c>
      <c r="K252" s="3" t="s">
        <v>42</v>
      </c>
      <c r="L252" s="3" t="s">
        <v>41</v>
      </c>
    </row>
    <row r="253" spans="1:12" ht="57.6">
      <c r="A253" s="3" t="s">
        <v>3200</v>
      </c>
      <c r="B253" s="3" t="s">
        <v>3150</v>
      </c>
      <c r="C253" s="3" t="s">
        <v>327</v>
      </c>
      <c r="D253" s="3" t="s">
        <v>46</v>
      </c>
      <c r="E253" s="3" t="s">
        <v>2417</v>
      </c>
      <c r="F253" s="3" t="s">
        <v>2510</v>
      </c>
      <c r="G253" s="3" t="s">
        <v>3201</v>
      </c>
      <c r="H253" s="3" t="str">
        <f>HYPERLINK("http://www.jccm.es/sede/tramite/L4T","MODIFICACION DE LAS CONDICIONES DE TIEMPO O DE LA ESTRUCTURA DEL PROYECTO INICIAL APROBADO")</f>
        <v>MODIFICACION DE LAS CONDICIONES DE TIEMPO O DE LA ESTRUCTURA DEL PROYECTO INICIAL APROBADO</v>
      </c>
      <c r="I253" s="3" t="s">
        <v>41</v>
      </c>
      <c r="J253" s="3" t="s">
        <v>41</v>
      </c>
      <c r="K253" s="3" t="s">
        <v>42</v>
      </c>
      <c r="L253" s="3" t="s">
        <v>41</v>
      </c>
    </row>
    <row r="254" spans="1:12" ht="69">
      <c r="A254" s="3" t="s">
        <v>3202</v>
      </c>
      <c r="B254" s="3" t="s">
        <v>3203</v>
      </c>
      <c r="C254" s="3" t="s">
        <v>327</v>
      </c>
      <c r="D254" s="3" t="s">
        <v>46</v>
      </c>
      <c r="E254" s="3" t="s">
        <v>2417</v>
      </c>
      <c r="F254" s="3" t="s">
        <v>2510</v>
      </c>
      <c r="G254" s="3" t="s">
        <v>3204</v>
      </c>
      <c r="H254" s="3" t="str">
        <f>HYPERLINK("http://www.jccm.es/sede/tramite/L4U","SOLICITUD DE ABONO DE AYUDAS PARA AYUNTAMIENTOS EN AREAS DE INFLUENCIA SOCIOECONOMICA DE PARQUES NACIONALES EN CASTILLA-LA MANCHA")</f>
        <v>SOLICITUD DE ABONO DE AYUDAS PARA AYUNTAMIENTOS EN AREAS DE INFLUENCIA SOCIOECONOMICA DE PARQUES NACIONALES EN CASTILLA-LA MANCHA</v>
      </c>
      <c r="I254" s="3" t="s">
        <v>41</v>
      </c>
      <c r="J254" s="3" t="s">
        <v>41</v>
      </c>
      <c r="K254" s="3" t="s">
        <v>42</v>
      </c>
      <c r="L254" s="3" t="s">
        <v>41</v>
      </c>
    </row>
    <row r="255" spans="1:12" ht="69">
      <c r="A255" s="3" t="s">
        <v>3205</v>
      </c>
      <c r="B255" s="3" t="s">
        <v>3206</v>
      </c>
      <c r="C255" s="3" t="s">
        <v>327</v>
      </c>
      <c r="D255" s="3" t="s">
        <v>46</v>
      </c>
      <c r="E255" s="3" t="s">
        <v>2417</v>
      </c>
      <c r="F255" s="3" t="s">
        <v>2510</v>
      </c>
      <c r="G255" s="3" t="s">
        <v>3207</v>
      </c>
      <c r="H255" s="3" t="str">
        <f>HYPERLINK("http://www.jccm.es/sede/tramite/L4R","SUBVENCIONES EN REGIMEN DE CONCESION DIRECTA PARA AYUNTAMIENTOS EN AREAS DE INFLUENCIA SOCIOECONOMICA DE PARQUES NACIONALES EN CASTILLA-LA MANCHA.")</f>
        <v>SUBVENCIONES EN REGIMEN DE CONCESION DIRECTA PARA AYUNTAMIENTOS EN AREAS DE INFLUENCIA SOCIOECONOMICA DE PARQUES NACIONALES EN CASTILLA-LA MANCHA.</v>
      </c>
      <c r="I255" s="3" t="s">
        <v>41</v>
      </c>
      <c r="J255" s="3" t="s">
        <v>41</v>
      </c>
      <c r="K255" s="3" t="s">
        <v>42</v>
      </c>
      <c r="L255" s="3" t="s">
        <v>41</v>
      </c>
    </row>
    <row r="256" spans="1:12" ht="80.45">
      <c r="A256" s="3" t="s">
        <v>3208</v>
      </c>
      <c r="B256" s="3" t="s">
        <v>3209</v>
      </c>
      <c r="C256" s="3" t="s">
        <v>45</v>
      </c>
      <c r="D256" s="3" t="s">
        <v>46</v>
      </c>
      <c r="E256" s="3" t="s">
        <v>2417</v>
      </c>
      <c r="F256" s="3" t="s">
        <v>2581</v>
      </c>
      <c r="G256" s="3" t="s">
        <v>3210</v>
      </c>
      <c r="H256" s="3" t="str">
        <f>HYPERLINK("http://www.jccm.es/sede/tramite/L92","SUBVENCIONES PARA PROYECTOS Y ACTIVIDADES DE EDUCACION AMBIENTAL PROMOVIDOS POR ENTIDADES PRIVADAS SIN ANIMO DE LUCRO DE CASTILLA-LA MANCHA")</f>
        <v>SUBVENCIONES PARA PROYECTOS Y ACTIVIDADES DE EDUCACION AMBIENTAL PROMOVIDOS POR ENTIDADES PRIVADAS SIN ANIMO DE LUCRO DE CASTILLA-LA MANCHA</v>
      </c>
      <c r="I256" s="3" t="s">
        <v>41</v>
      </c>
      <c r="J256" s="3" t="s">
        <v>41</v>
      </c>
      <c r="K256" s="3" t="s">
        <v>42</v>
      </c>
      <c r="L256" s="3" t="s">
        <v>41</v>
      </c>
    </row>
    <row r="257" spans="1:12" ht="80.45">
      <c r="A257" s="3" t="s">
        <v>3211</v>
      </c>
      <c r="B257" s="3" t="s">
        <v>3212</v>
      </c>
      <c r="C257" s="3" t="s">
        <v>232</v>
      </c>
      <c r="D257" s="3" t="s">
        <v>46</v>
      </c>
      <c r="E257" s="3" t="s">
        <v>2417</v>
      </c>
      <c r="F257" s="3" t="s">
        <v>2570</v>
      </c>
      <c r="G257" s="3" t="s">
        <v>3213</v>
      </c>
      <c r="H257" s="3" t="str">
        <f>HYPERLINK("http://www.jccm.es/sede/tramite/LL3","REMISION DE INFORME ANUAL DE ACTUACIONES DE LAS AYUDAS PIMA-CC PARA EL DISEÑO E IMPLANTACION DE ZONAS DE BAJAS EMISIONES EN MUNICIPIOS DE CASTILLA-LA MANCHA.")</f>
        <v>REMISION DE INFORME ANUAL DE ACTUACIONES DE LAS AYUDAS PIMA-CC PARA EL DISEÑO E IMPLANTACION DE ZONAS DE BAJAS EMISIONES EN MUNICIPIOS DE CASTILLA-LA MANCHA.</v>
      </c>
      <c r="I257" s="3" t="s">
        <v>41</v>
      </c>
      <c r="J257" s="3" t="s">
        <v>41</v>
      </c>
      <c r="K257" s="3" t="s">
        <v>42</v>
      </c>
      <c r="L257" s="3" t="s">
        <v>41</v>
      </c>
    </row>
    <row r="258" spans="1:12" ht="92.1">
      <c r="A258" s="3" t="s">
        <v>3214</v>
      </c>
      <c r="B258" s="3" t="s">
        <v>3215</v>
      </c>
      <c r="C258" s="3" t="s">
        <v>232</v>
      </c>
      <c r="D258" s="3" t="s">
        <v>46</v>
      </c>
      <c r="E258" s="3" t="s">
        <v>2417</v>
      </c>
      <c r="F258" s="3" t="s">
        <v>2570</v>
      </c>
      <c r="G258" s="3" t="s">
        <v>3216</v>
      </c>
      <c r="H258" s="3" t="str">
        <f>HYPERLINK("http://www.jccm.es/sede/tramite/LL4","ALEGACIONES Y ACEPTACION O RENUNCIA DE LA PROPUESTA DE RESOLUCION DE AYUDAS PIMA-CC PARA EL DISEÑO E IMPLANTACION DE ZONAS DE BAJAS EMISIONES EN MUNICIPIOS DE CASTILLA-LA MANCHA.")</f>
        <v>ALEGACIONES Y ACEPTACION O RENUNCIA DE LA PROPUESTA DE RESOLUCION DE AYUDAS PIMA-CC PARA EL DISEÑO E IMPLANTACION DE ZONAS DE BAJAS EMISIONES EN MUNICIPIOS DE CASTILLA-LA MANCHA.</v>
      </c>
      <c r="I258" s="3" t="s">
        <v>41</v>
      </c>
      <c r="J258" s="3" t="s">
        <v>41</v>
      </c>
      <c r="K258" s="3" t="s">
        <v>42</v>
      </c>
      <c r="L258" s="3" t="s">
        <v>41</v>
      </c>
    </row>
    <row r="259" spans="1:12" ht="80.45">
      <c r="A259" s="3" t="s">
        <v>3217</v>
      </c>
      <c r="B259" s="3" t="s">
        <v>3218</v>
      </c>
      <c r="C259" s="3" t="s">
        <v>232</v>
      </c>
      <c r="D259" s="3" t="s">
        <v>46</v>
      </c>
      <c r="E259" s="3" t="s">
        <v>2417</v>
      </c>
      <c r="F259" s="3" t="s">
        <v>2570</v>
      </c>
      <c r="G259" s="3" t="s">
        <v>3219</v>
      </c>
      <c r="H259" s="3" t="str">
        <f>HYPERLINK("http://www.jccm.es/sede/tramite/LL6","MODIFICACION DE RESOLUCION DE CONCESION DE AYUDAS PIMA-CC PARA EL DISEÑO E IMPLANTACION DE ZONAS DE BAJAS EMISIONES EN MUNICIPIOS DE CASTILLA-LA MANCHA")</f>
        <v>MODIFICACION DE RESOLUCION DE CONCESION DE AYUDAS PIMA-CC PARA EL DISEÑO E IMPLANTACION DE ZONAS DE BAJAS EMISIONES EN MUNICIPIOS DE CASTILLA-LA MANCHA</v>
      </c>
      <c r="I259" s="3" t="s">
        <v>41</v>
      </c>
      <c r="J259" s="3" t="s">
        <v>41</v>
      </c>
      <c r="K259" s="3" t="s">
        <v>42</v>
      </c>
      <c r="L259" s="3" t="s">
        <v>41</v>
      </c>
    </row>
    <row r="260" spans="1:12" ht="57.6">
      <c r="A260" s="3" t="s">
        <v>3220</v>
      </c>
      <c r="B260" s="3" t="s">
        <v>3221</v>
      </c>
      <c r="C260" s="3" t="s">
        <v>232</v>
      </c>
      <c r="D260" s="3" t="s">
        <v>46</v>
      </c>
      <c r="E260" s="3" t="s">
        <v>2417</v>
      </c>
      <c r="F260" s="3" t="s">
        <v>2570</v>
      </c>
      <c r="G260" s="3" t="s">
        <v>3222</v>
      </c>
      <c r="H260" s="3" t="str">
        <f>HYPERLINK("http://www.jccm.es/sede/tramite/LL2","AYUDAS PIMA-CC PARA EL DISEÑO E IMPLANTACION DE ZONAS DE BAJAS EMISIONES EN MUNICIPIOS DE CASTILLA-LA MANCHA.")</f>
        <v>AYUDAS PIMA-CC PARA EL DISEÑO E IMPLANTACION DE ZONAS DE BAJAS EMISIONES EN MUNICIPIOS DE CASTILLA-LA MANCHA.</v>
      </c>
      <c r="I260" s="3" t="s">
        <v>41</v>
      </c>
      <c r="J260" s="3" t="s">
        <v>41</v>
      </c>
      <c r="K260" s="3" t="s">
        <v>42</v>
      </c>
      <c r="L260" s="3" t="s">
        <v>41</v>
      </c>
    </row>
    <row r="261" spans="1:12" ht="103.5">
      <c r="A261" s="3" t="s">
        <v>3223</v>
      </c>
      <c r="B261" s="3" t="s">
        <v>3224</v>
      </c>
      <c r="C261" s="3" t="s">
        <v>232</v>
      </c>
      <c r="D261" s="3" t="s">
        <v>46</v>
      </c>
      <c r="E261" s="3" t="s">
        <v>2417</v>
      </c>
      <c r="F261" s="3" t="s">
        <v>2570</v>
      </c>
      <c r="G261" s="3" t="s">
        <v>3225</v>
      </c>
      <c r="H261" s="3" t="str">
        <f>HYPERLINK("http://www.jccm.es/sede/tramite/LL5","PRESENTACION MEMORIA TECNICA, ECONOMICA Y SOLICITUD DE PAGO FINAL DE ACTUACIONES DE AYUDAS PIMA-CC PARA EL DISEÑO E IMPLANTACION DE ZONAS DE BAJAS EMISIONES EN MUNICIPIOS DE CASTILLA-LA MANCHA.")</f>
        <v>PRESENTACION MEMORIA TECNICA, ECONOMICA Y SOLICITUD DE PAGO FINAL DE ACTUACIONES DE AYUDAS PIMA-CC PARA EL DISEÑO E IMPLANTACION DE ZONAS DE BAJAS EMISIONES EN MUNICIPIOS DE CASTILLA-LA MANCHA.</v>
      </c>
      <c r="I261" s="3" t="s">
        <v>41</v>
      </c>
      <c r="J261" s="3" t="s">
        <v>41</v>
      </c>
      <c r="K261" s="3" t="s">
        <v>42</v>
      </c>
      <c r="L261" s="3" t="s">
        <v>41</v>
      </c>
    </row>
    <row r="262" spans="1:12" ht="103.5">
      <c r="A262" s="3" t="s">
        <v>3226</v>
      </c>
      <c r="B262" s="3" t="s">
        <v>3227</v>
      </c>
      <c r="C262" s="3" t="s">
        <v>327</v>
      </c>
      <c r="D262" s="3" t="s">
        <v>46</v>
      </c>
      <c r="E262" s="3" t="s">
        <v>2417</v>
      </c>
      <c r="F262" s="3" t="s">
        <v>2570</v>
      </c>
      <c r="G262" s="3" t="s">
        <v>3228</v>
      </c>
      <c r="H262" s="3" t="str">
        <f>HYPERLINK("http://www.jccm.es/sede/tramite/LMA","ALEGACIONES Y ACEPTACION O RENUNCIA DE LA PROPUESTA DE RESOLUCION DE AYUDAS  PARA ACTUACIONES PILOTO DE CARACTER INNOVADOR PARA ADAPTACION AL CAMBIO CLIMATICO EN ESPACIOS URBANOS Y PERIURBANOS.")</f>
        <v>ALEGACIONES Y ACEPTACION O RENUNCIA DE LA PROPUESTA DE RESOLUCION DE AYUDAS  PARA ACTUACIONES PILOTO DE CARACTER INNOVADOR PARA ADAPTACION AL CAMBIO CLIMATICO EN ESPACIOS URBANOS Y PERIURBANOS.</v>
      </c>
      <c r="I262" s="3" t="s">
        <v>41</v>
      </c>
      <c r="J262" s="3" t="s">
        <v>41</v>
      </c>
      <c r="K262" s="3" t="s">
        <v>42</v>
      </c>
      <c r="L262" s="3" t="s">
        <v>41</v>
      </c>
    </row>
    <row r="263" spans="1:12" ht="69">
      <c r="A263" s="3" t="s">
        <v>3229</v>
      </c>
      <c r="B263" s="3" t="s">
        <v>3230</v>
      </c>
      <c r="C263" s="3" t="s">
        <v>327</v>
      </c>
      <c r="D263" s="3" t="s">
        <v>46</v>
      </c>
      <c r="E263" s="3" t="s">
        <v>2417</v>
      </c>
      <c r="F263" s="3" t="s">
        <v>2570</v>
      </c>
      <c r="G263" s="3" t="s">
        <v>3231</v>
      </c>
      <c r="H263" s="3" t="str">
        <f>HYPERLINK("http://www.jccm.es/sede/tramite/LMB","REMISION DE INFORME ANUAL DE ACTUACIONES DE LAS AYUDAS PIMA-CC  PARA LA ADAPTACION AL CAMBIO CLIMATICO EN ESPACIOS URBANOS Y PERIURBANOS.")</f>
        <v>REMISION DE INFORME ANUAL DE ACTUACIONES DE LAS AYUDAS PIMA-CC  PARA LA ADAPTACION AL CAMBIO CLIMATICO EN ESPACIOS URBANOS Y PERIURBANOS.</v>
      </c>
      <c r="I263" s="3" t="s">
        <v>41</v>
      </c>
      <c r="J263" s="3" t="s">
        <v>41</v>
      </c>
      <c r="K263" s="3" t="s">
        <v>42</v>
      </c>
      <c r="L263" s="3" t="s">
        <v>41</v>
      </c>
    </row>
    <row r="264" spans="1:12" ht="69">
      <c r="A264" s="3" t="s">
        <v>3232</v>
      </c>
      <c r="B264" s="3" t="s">
        <v>3233</v>
      </c>
      <c r="C264" s="3" t="s">
        <v>327</v>
      </c>
      <c r="D264" s="3" t="s">
        <v>46</v>
      </c>
      <c r="E264" s="3" t="s">
        <v>2417</v>
      </c>
      <c r="F264" s="3" t="s">
        <v>2570</v>
      </c>
      <c r="G264" s="3" t="s">
        <v>3234</v>
      </c>
      <c r="H264" s="3" t="str">
        <f>HYPERLINK("http://www.jccm.es/sede/tramite/LM9","AYUDAS PIMA-CC PARA ACTUACIONES PILOTO DE CARACTER INNOVADOR PARA LA ADAPTACION AL CAMBIO CLIMATICO EN ESPACIOS URBANOS Y PERIURBANOS.")</f>
        <v>AYUDAS PIMA-CC PARA ACTUACIONES PILOTO DE CARACTER INNOVADOR PARA LA ADAPTACION AL CAMBIO CLIMATICO EN ESPACIOS URBANOS Y PERIURBANOS.</v>
      </c>
      <c r="I264" s="3" t="s">
        <v>41</v>
      </c>
      <c r="J264" s="3" t="s">
        <v>41</v>
      </c>
      <c r="K264" s="3" t="s">
        <v>42</v>
      </c>
      <c r="L264" s="3" t="s">
        <v>41</v>
      </c>
    </row>
    <row r="265" spans="1:12" ht="92.1">
      <c r="A265" s="3" t="s">
        <v>3235</v>
      </c>
      <c r="B265" s="3" t="s">
        <v>3236</v>
      </c>
      <c r="C265" s="3" t="s">
        <v>327</v>
      </c>
      <c r="D265" s="3" t="s">
        <v>46</v>
      </c>
      <c r="E265" s="3" t="s">
        <v>2417</v>
      </c>
      <c r="F265" s="3" t="s">
        <v>2570</v>
      </c>
      <c r="G265" s="3" t="s">
        <v>3237</v>
      </c>
      <c r="H265" s="3" t="str">
        <f>HYPERLINK("http://www.jccm.es/sede/tramite/LMC","PRESENTACION MEMORIA TECNICA, ECONOMICA Y SOLICITUD DE PAGO FINAL DE ACTUACIONES DE AYUDAS PIMA-CC PARA LA ADAPTACION AL CAMBIO CLIMATICO EN ESPACIOS URBANOS Y PERIURBANOS.")</f>
        <v>PRESENTACION MEMORIA TECNICA, ECONOMICA Y SOLICITUD DE PAGO FINAL DE ACTUACIONES DE AYUDAS PIMA-CC PARA LA ADAPTACION AL CAMBIO CLIMATICO EN ESPACIOS URBANOS Y PERIURBANOS.</v>
      </c>
      <c r="I265" s="3" t="s">
        <v>41</v>
      </c>
      <c r="J265" s="3" t="s">
        <v>41</v>
      </c>
      <c r="K265" s="3" t="s">
        <v>42</v>
      </c>
      <c r="L265" s="3" t="s">
        <v>41</v>
      </c>
    </row>
    <row r="266" spans="1:12" ht="92.1">
      <c r="A266" s="3" t="s">
        <v>3238</v>
      </c>
      <c r="B266" s="3" t="s">
        <v>3239</v>
      </c>
      <c r="C266" s="3" t="s">
        <v>327</v>
      </c>
      <c r="D266" s="3" t="s">
        <v>46</v>
      </c>
      <c r="E266" s="3" t="s">
        <v>2417</v>
      </c>
      <c r="F266" s="3" t="s">
        <v>2570</v>
      </c>
      <c r="G266" s="3" t="s">
        <v>3240</v>
      </c>
      <c r="H266" s="3" t="str">
        <f>HYPERLINK("http://www.jccm.es/sede/tramite/LMD","MODIFICACION DE RESOLUCION DE CONCESION DE AYUDAS PIMA-CC PARA ACTUCACIONES PILOTO DE CARACTER INNOVADOR PARA LA ADAPTACION AL CAMBIO CLIMATICO DE ESPACIOS URBANOS Y PERIURBANOS.")</f>
        <v>MODIFICACION DE RESOLUCION DE CONCESION DE AYUDAS PIMA-CC PARA ACTUCACIONES PILOTO DE CARACTER INNOVADOR PARA LA ADAPTACION AL CAMBIO CLIMATICO DE ESPACIOS URBANOS Y PERIURBANOS.</v>
      </c>
      <c r="I266" s="3" t="s">
        <v>41</v>
      </c>
      <c r="J266" s="3" t="s">
        <v>41</v>
      </c>
      <c r="K266" s="3" t="s">
        <v>42</v>
      </c>
      <c r="L266" s="3" t="s">
        <v>41</v>
      </c>
    </row>
    <row r="267" spans="1:12" ht="45.95">
      <c r="A267" s="3" t="s">
        <v>3241</v>
      </c>
      <c r="B267" s="3" t="s">
        <v>3242</v>
      </c>
      <c r="C267" s="3" t="s">
        <v>327</v>
      </c>
      <c r="D267" s="3" t="s">
        <v>46</v>
      </c>
      <c r="E267" s="3" t="s">
        <v>2417</v>
      </c>
      <c r="F267" s="3" t="s">
        <v>2418</v>
      </c>
      <c r="G267" s="3" t="s">
        <v>3243</v>
      </c>
      <c r="H267" s="3" t="str">
        <f>HYPERLINK("http://www.jccm.es/sede/tramite/LN5","SOLICITUD DE AYUDA MOVES III PARA ADQUISICION DE VEHICULOS ELECTRICOS")</f>
        <v>SOLICITUD DE AYUDA MOVES III PARA ADQUISICION DE VEHICULOS ELECTRICOS</v>
      </c>
      <c r="I267" s="3" t="s">
        <v>42</v>
      </c>
      <c r="J267" s="3" t="s">
        <v>41</v>
      </c>
      <c r="K267" s="3" t="s">
        <v>42</v>
      </c>
      <c r="L267" s="3" t="s">
        <v>41</v>
      </c>
    </row>
    <row r="268" spans="1:12" ht="57.6">
      <c r="A268" s="3" t="s">
        <v>3244</v>
      </c>
      <c r="B268" s="3" t="s">
        <v>3245</v>
      </c>
      <c r="C268" s="3" t="s">
        <v>327</v>
      </c>
      <c r="D268" s="3" t="s">
        <v>46</v>
      </c>
      <c r="E268" s="3" t="s">
        <v>2417</v>
      </c>
      <c r="F268" s="3" t="s">
        <v>2418</v>
      </c>
      <c r="G268" s="3" t="s">
        <v>3246</v>
      </c>
      <c r="H268" s="3" t="str">
        <f>HYPERLINK("http://www.jccm.es/sede/tramite/LN6","SOLICITUD DE AYUDA MOVES III PARA IMPLANTACION DE INFRAESTRUCTURA DE RECARGA DE VEHICULOS ELECTRICOS")</f>
        <v>SOLICITUD DE AYUDA MOVES III PARA IMPLANTACION DE INFRAESTRUCTURA DE RECARGA DE VEHICULOS ELECTRICOS</v>
      </c>
      <c r="I268" s="3" t="s">
        <v>42</v>
      </c>
      <c r="J268" s="3" t="s">
        <v>41</v>
      </c>
      <c r="K268" s="3" t="s">
        <v>42</v>
      </c>
      <c r="L268" s="3" t="s">
        <v>41</v>
      </c>
    </row>
    <row r="269" spans="1:12" ht="103.5">
      <c r="A269" s="3" t="s">
        <v>3247</v>
      </c>
      <c r="B269" s="3" t="s">
        <v>3248</v>
      </c>
      <c r="C269" s="3" t="s">
        <v>327</v>
      </c>
      <c r="D269" s="3" t="s">
        <v>46</v>
      </c>
      <c r="E269" s="3" t="s">
        <v>2417</v>
      </c>
      <c r="F269" s="3" t="s">
        <v>2418</v>
      </c>
      <c r="G269" s="3" t="s">
        <v>3249</v>
      </c>
      <c r="H269" s="3" t="str">
        <f>HYPERLINK("http://www.jccm.es/sede/tramite/LPT","CONVOCATORIA DE LOS PROGRAMAS DE INCENTIVOS 4 Y 5 PARA ACTUACIONES DE AUTOCONSUMO, CON FUENTES DE ENERGIAS RENOVABLES, EN EL SECTOR RESIDENCIAL, LAS ADMINISTRACIONES PUBLICAS Y EL TERCER SECTOR.")</f>
        <v>CONVOCATORIA DE LOS PROGRAMAS DE INCENTIVOS 4 Y 5 PARA ACTUACIONES DE AUTOCONSUMO, CON FUENTES DE ENERGIAS RENOVABLES, EN EL SECTOR RESIDENCIAL, LAS ADMINISTRACIONES PUBLICAS Y EL TERCER SECTOR.</v>
      </c>
      <c r="I269" s="3" t="s">
        <v>41</v>
      </c>
      <c r="J269" s="3" t="s">
        <v>41</v>
      </c>
      <c r="K269" s="3" t="s">
        <v>42</v>
      </c>
      <c r="L269" s="3" t="s">
        <v>41</v>
      </c>
    </row>
    <row r="270" spans="1:12" ht="92.1">
      <c r="A270" s="3" t="s">
        <v>3250</v>
      </c>
      <c r="B270" s="3" t="s">
        <v>3251</v>
      </c>
      <c r="C270" s="3" t="s">
        <v>327</v>
      </c>
      <c r="D270" s="3" t="s">
        <v>46</v>
      </c>
      <c r="E270" s="3" t="s">
        <v>2417</v>
      </c>
      <c r="F270" s="3" t="s">
        <v>2418</v>
      </c>
      <c r="G270" s="3" t="s">
        <v>3252</v>
      </c>
      <c r="H270" s="3" t="str">
        <f>HYPERLINK("http://www.jccm.es/sede/tramite/LPS","CONVOCATORIA DE LOS PROGRAMAS DE INCENTIVOS 1, 2 Y 3 PARA ACTUACIONES DE AUTOCONSUMO, CON FUENTES DE ENERGIAS RENOVABLES, PARA EL SECTOR SERVICIOS Y OTROS SECTORES PRODUCTIVOS.")</f>
        <v>CONVOCATORIA DE LOS PROGRAMAS DE INCENTIVOS 1, 2 Y 3 PARA ACTUACIONES DE AUTOCONSUMO, CON FUENTES DE ENERGIAS RENOVABLES, PARA EL SECTOR SERVICIOS Y OTROS SECTORES PRODUCTIVOS.</v>
      </c>
      <c r="I270" s="3" t="s">
        <v>41</v>
      </c>
      <c r="J270" s="3" t="s">
        <v>41</v>
      </c>
      <c r="K270" s="3" t="s">
        <v>42</v>
      </c>
      <c r="L270" s="3" t="s">
        <v>41</v>
      </c>
    </row>
    <row r="271" spans="1:12" ht="69">
      <c r="A271" s="3" t="s">
        <v>3253</v>
      </c>
      <c r="B271" s="3" t="s">
        <v>3254</v>
      </c>
      <c r="C271" s="3" t="s">
        <v>327</v>
      </c>
      <c r="D271" s="3" t="s">
        <v>46</v>
      </c>
      <c r="E271" s="3" t="s">
        <v>2417</v>
      </c>
      <c r="F271" s="3" t="s">
        <v>2418</v>
      </c>
      <c r="G271" s="3" t="s">
        <v>3255</v>
      </c>
      <c r="H271" s="3" t="str">
        <f>HYPERLINK("http://www.jccm.es/sede/tramite/LPU","CONVOCATORIA DEL PROGRAMA DE INCENTIVOS 6 PARA LA REALIZACION DE INSTALACIONES DE ENERGIAS RENOVABLES TERMICAS EN EL SECTOR RESIDENCIAL")</f>
        <v>CONVOCATORIA DEL PROGRAMA DE INCENTIVOS 6 PARA LA REALIZACION DE INSTALACIONES DE ENERGIAS RENOVABLES TERMICAS EN EL SECTOR RESIDENCIAL</v>
      </c>
      <c r="I271" s="3" t="s">
        <v>41</v>
      </c>
      <c r="J271" s="3" t="s">
        <v>41</v>
      </c>
      <c r="K271" s="3" t="s">
        <v>42</v>
      </c>
      <c r="L271" s="3" t="s">
        <v>41</v>
      </c>
    </row>
    <row r="272" spans="1:12" ht="45.95">
      <c r="A272" s="3" t="s">
        <v>3256</v>
      </c>
      <c r="B272" s="3" t="s">
        <v>3257</v>
      </c>
      <c r="C272" s="3" t="s">
        <v>45</v>
      </c>
      <c r="D272" s="3" t="s">
        <v>37</v>
      </c>
      <c r="E272" s="3" t="s">
        <v>2417</v>
      </c>
      <c r="F272" s="3" t="s">
        <v>2418</v>
      </c>
      <c r="G272" s="3" t="s">
        <v>3258</v>
      </c>
      <c r="H272" s="3" t="str">
        <f>HYPERLINK("http://www.jccm.es/sede/tramite/978","ADMISION A EXAMENES DE APTITUD PARA LA OBTENCION DEL CERTIFICADO DE CUALIFICACION INDIVIDUAL")</f>
        <v>ADMISION A EXAMENES DE APTITUD PARA LA OBTENCION DEL CERTIFICADO DE CUALIFICACION INDIVIDUAL</v>
      </c>
      <c r="I272" s="3" t="s">
        <v>42</v>
      </c>
      <c r="J272" s="3" t="s">
        <v>41</v>
      </c>
      <c r="K272" s="3" t="s">
        <v>42</v>
      </c>
      <c r="L272" s="3" t="s">
        <v>42</v>
      </c>
    </row>
    <row r="273" spans="1:12" ht="45.95">
      <c r="A273" s="3" t="s">
        <v>3259</v>
      </c>
      <c r="B273" s="3" t="s">
        <v>3260</v>
      </c>
      <c r="C273" s="3" t="s">
        <v>45</v>
      </c>
      <c r="D273" s="3" t="s">
        <v>37</v>
      </c>
      <c r="E273" s="3" t="s">
        <v>2417</v>
      </c>
      <c r="F273" s="3" t="s">
        <v>2418</v>
      </c>
      <c r="G273" s="3" t="s">
        <v>3261</v>
      </c>
      <c r="H273" s="3" t="str">
        <f>HYPERLINK("http://www.jccm.es/sede/tramite/JCH","OBTENCION Y EXPEDICION DEL CERTIFICADO DE CUALIFICACION INDIVIDUAL")</f>
        <v>OBTENCION Y EXPEDICION DEL CERTIFICADO DE CUALIFICACION INDIVIDUAL</v>
      </c>
      <c r="I273" s="3" t="s">
        <v>42</v>
      </c>
      <c r="J273" s="3" t="s">
        <v>41</v>
      </c>
      <c r="K273" s="3" t="s">
        <v>42</v>
      </c>
      <c r="L273" s="3" t="s">
        <v>42</v>
      </c>
    </row>
    <row r="274" spans="1:12" ht="45.95">
      <c r="A274" s="3" t="s">
        <v>3262</v>
      </c>
      <c r="B274" s="3" t="s">
        <v>3263</v>
      </c>
      <c r="C274" s="3" t="s">
        <v>45</v>
      </c>
      <c r="D274" s="3" t="s">
        <v>37</v>
      </c>
      <c r="E274" s="3" t="s">
        <v>2417</v>
      </c>
      <c r="F274" s="3" t="s">
        <v>2418</v>
      </c>
      <c r="G274" s="3" t="s">
        <v>3264</v>
      </c>
      <c r="H274" s="3" t="str">
        <f>HYPERLINK("http://www.jccm.es/sede/tramite/JCZ","OBTENCION DE CARNES DE PROFESIONALES EN MATERIA DE SEGURIDAD INDUSTRIAL")</f>
        <v>OBTENCION DE CARNES DE PROFESIONALES EN MATERIA DE SEGURIDAD INDUSTRIAL</v>
      </c>
      <c r="I274" s="3" t="s">
        <v>42</v>
      </c>
      <c r="J274" s="3" t="s">
        <v>41</v>
      </c>
      <c r="K274" s="3" t="s">
        <v>42</v>
      </c>
      <c r="L274" s="3" t="s">
        <v>41</v>
      </c>
    </row>
    <row r="275" spans="1:12" ht="45.95">
      <c r="A275" s="3" t="s">
        <v>3265</v>
      </c>
      <c r="B275" s="3" t="s">
        <v>3266</v>
      </c>
      <c r="C275" s="3" t="s">
        <v>327</v>
      </c>
      <c r="D275" s="3" t="s">
        <v>46</v>
      </c>
      <c r="E275" s="3" t="s">
        <v>2417</v>
      </c>
      <c r="F275" s="3" t="s">
        <v>2418</v>
      </c>
      <c r="G275" s="3" t="s">
        <v>3267</v>
      </c>
      <c r="H275" s="3" t="str">
        <f>HYPERLINK("http://www.jccm.es/sede/tramite/I5Y","DECLARACION EN CONCRETO DE LA UTILIDAD PUBLICA DE INSTALACIONES ELECTRICAS .")</f>
        <v>DECLARACION EN CONCRETO DE LA UTILIDAD PUBLICA DE INSTALACIONES ELECTRICAS .</v>
      </c>
      <c r="I275" s="3" t="s">
        <v>42</v>
      </c>
      <c r="J275" s="3" t="s">
        <v>41</v>
      </c>
      <c r="K275" s="3" t="s">
        <v>42</v>
      </c>
      <c r="L275" s="3" t="s">
        <v>41</v>
      </c>
    </row>
    <row r="276" spans="1:12" ht="45.95">
      <c r="A276" s="3" t="s">
        <v>3268</v>
      </c>
      <c r="B276" s="3" t="s">
        <v>3269</v>
      </c>
      <c r="C276" s="3" t="s">
        <v>62</v>
      </c>
      <c r="D276" s="3" t="s">
        <v>46</v>
      </c>
      <c r="E276" s="3" t="s">
        <v>2417</v>
      </c>
      <c r="F276" s="3" t="s">
        <v>2418</v>
      </c>
      <c r="G276" s="3" t="s">
        <v>3270</v>
      </c>
      <c r="H276" s="3" t="str">
        <f>HYPERLINK("http://www.jccm.es/sede/tramite/J9T","AUTORIZACION DE EXPLOTACION DE INSTALACIONES ELECTRICAS")</f>
        <v>AUTORIZACION DE EXPLOTACION DE INSTALACIONES ELECTRICAS</v>
      </c>
      <c r="I276" s="3" t="s">
        <v>42</v>
      </c>
      <c r="J276" s="3" t="s">
        <v>41</v>
      </c>
      <c r="K276" s="3" t="s">
        <v>42</v>
      </c>
      <c r="L276" s="3" t="s">
        <v>41</v>
      </c>
    </row>
    <row r="277" spans="1:12" ht="45.95">
      <c r="A277" s="3" t="s">
        <v>3271</v>
      </c>
      <c r="B277" s="3" t="s">
        <v>3272</v>
      </c>
      <c r="C277" s="3" t="s">
        <v>45</v>
      </c>
      <c r="D277" s="3" t="s">
        <v>46</v>
      </c>
      <c r="E277" s="3" t="s">
        <v>2417</v>
      </c>
      <c r="F277" s="3" t="s">
        <v>2418</v>
      </c>
      <c r="G277" s="3" t="s">
        <v>3273</v>
      </c>
      <c r="H277" s="3" t="str">
        <f>HYPERLINK("http://www.jccm.es/sede/tramite/J9Q","APROBACION DE PROYECTO DE EJECUCION DE INSTALACIONES GASISTAS DE COMPETENCIA AUTONOMICA")</f>
        <v>APROBACION DE PROYECTO DE EJECUCION DE INSTALACIONES GASISTAS DE COMPETENCIA AUTONOMICA</v>
      </c>
      <c r="I277" s="3" t="s">
        <v>42</v>
      </c>
      <c r="J277" s="3" t="s">
        <v>41</v>
      </c>
      <c r="K277" s="3" t="s">
        <v>42</v>
      </c>
      <c r="L277" s="3" t="s">
        <v>42</v>
      </c>
    </row>
    <row r="278" spans="1:12" ht="45.95">
      <c r="A278" s="3" t="s">
        <v>3274</v>
      </c>
      <c r="B278" s="3" t="s">
        <v>3275</v>
      </c>
      <c r="C278" s="3" t="s">
        <v>62</v>
      </c>
      <c r="D278" s="3" t="s">
        <v>46</v>
      </c>
      <c r="E278" s="3" t="s">
        <v>2417</v>
      </c>
      <c r="F278" s="3" t="s">
        <v>2418</v>
      </c>
      <c r="G278" s="3" t="s">
        <v>3276</v>
      </c>
      <c r="H278" s="3" t="str">
        <f>HYPERLINK("http://www.jccm.es/sede/tramite/J9O","AUTORIZACION DE EXPLOTACION  DE INSTALACIONES GASISTAS DE COMPETENCIA AUTONOMICA")</f>
        <v>AUTORIZACION DE EXPLOTACION  DE INSTALACIONES GASISTAS DE COMPETENCIA AUTONOMICA</v>
      </c>
      <c r="I278" s="3" t="s">
        <v>42</v>
      </c>
      <c r="J278" s="3" t="s">
        <v>41</v>
      </c>
      <c r="K278" s="3" t="s">
        <v>42</v>
      </c>
      <c r="L278" s="3" t="s">
        <v>42</v>
      </c>
    </row>
    <row r="279" spans="1:12" ht="45.95">
      <c r="A279" s="3" t="s">
        <v>3277</v>
      </c>
      <c r="B279" s="3" t="s">
        <v>3278</v>
      </c>
      <c r="C279" s="3" t="s">
        <v>327</v>
      </c>
      <c r="D279" s="3" t="s">
        <v>46</v>
      </c>
      <c r="E279" s="3" t="s">
        <v>2417</v>
      </c>
      <c r="F279" s="3" t="s">
        <v>2418</v>
      </c>
      <c r="G279" s="3" t="s">
        <v>3279</v>
      </c>
      <c r="H279" s="3" t="str">
        <f>HYPERLINK("http://www.jccm.es/sede/tramite/J9K","DECLARACION EN CONCRETO DE LA UTILIDAD PUBLICA DE INSTALACIONES GASISTAS DE COMPETENCIA AUTONOMICA")</f>
        <v>DECLARACION EN CONCRETO DE LA UTILIDAD PUBLICA DE INSTALACIONES GASISTAS DE COMPETENCIA AUTONOMICA</v>
      </c>
      <c r="I279" s="3" t="s">
        <v>42</v>
      </c>
      <c r="J279" s="3" t="s">
        <v>41</v>
      </c>
      <c r="K279" s="3" t="s">
        <v>42</v>
      </c>
      <c r="L279" s="3" t="s">
        <v>41</v>
      </c>
    </row>
    <row r="280" spans="1:12" ht="45.95">
      <c r="A280" s="3" t="s">
        <v>3280</v>
      </c>
      <c r="B280" s="3" t="s">
        <v>3281</v>
      </c>
      <c r="C280" s="3" t="s">
        <v>45</v>
      </c>
      <c r="D280" s="3" t="s">
        <v>46</v>
      </c>
      <c r="E280" s="3" t="s">
        <v>2417</v>
      </c>
      <c r="F280" s="3" t="s">
        <v>2418</v>
      </c>
      <c r="G280" s="3" t="s">
        <v>3282</v>
      </c>
      <c r="H280" s="3" t="str">
        <f>HYPERLINK("http://www.jccm.es/sede/tramite/J92","RECLASIFICACION DE RECURSOS MINERALES")</f>
        <v>RECLASIFICACION DE RECURSOS MINERALES</v>
      </c>
      <c r="I280" s="3" t="s">
        <v>42</v>
      </c>
      <c r="J280" s="3" t="s">
        <v>41</v>
      </c>
      <c r="K280" s="3" t="s">
        <v>42</v>
      </c>
      <c r="L280" s="3" t="s">
        <v>41</v>
      </c>
    </row>
    <row r="281" spans="1:12" ht="80.45">
      <c r="A281" s="3" t="s">
        <v>3283</v>
      </c>
      <c r="B281" s="3" t="s">
        <v>3284</v>
      </c>
      <c r="C281" s="3" t="s">
        <v>3285</v>
      </c>
      <c r="D281" s="3" t="s">
        <v>37</v>
      </c>
      <c r="E281" s="3" t="s">
        <v>2417</v>
      </c>
      <c r="F281" s="3" t="s">
        <v>2418</v>
      </c>
      <c r="G281" s="3" t="s">
        <v>3286</v>
      </c>
      <c r="H281" s="3" t="str">
        <f>HYPERLINK("http://www.jccm.es/sede/tramite/I5Z","APROBACION DE PLAN DE LABORES")</f>
        <v>APROBACION DE PLAN DE LABORES</v>
      </c>
      <c r="I281" s="3" t="s">
        <v>42</v>
      </c>
      <c r="J281" s="3" t="s">
        <v>41</v>
      </c>
      <c r="K281" s="3" t="s">
        <v>42</v>
      </c>
      <c r="L281" s="3" t="s">
        <v>41</v>
      </c>
    </row>
    <row r="282" spans="1:12" ht="45.95">
      <c r="A282" s="3" t="s">
        <v>3287</v>
      </c>
      <c r="B282" s="3" t="s">
        <v>3288</v>
      </c>
      <c r="C282" s="3" t="s">
        <v>327</v>
      </c>
      <c r="D282" s="3" t="s">
        <v>46</v>
      </c>
      <c r="E282" s="3" t="s">
        <v>2417</v>
      </c>
      <c r="F282" s="3" t="s">
        <v>2418</v>
      </c>
      <c r="G282" s="3" t="s">
        <v>3289</v>
      </c>
      <c r="H282" s="3" t="str">
        <f>HYPERLINK("http://www.jccm.es/sede/tramite/J8R","OTORGAMIENTO CONCESION DE APROVECHAMIENTO AGUAS MINERALES O TERMALES")</f>
        <v>OTORGAMIENTO CONCESION DE APROVECHAMIENTO AGUAS MINERALES O TERMALES</v>
      </c>
      <c r="I282" s="3" t="s">
        <v>42</v>
      </c>
      <c r="J282" s="3" t="s">
        <v>41</v>
      </c>
      <c r="K282" s="3" t="s">
        <v>42</v>
      </c>
      <c r="L282" s="3" t="s">
        <v>42</v>
      </c>
    </row>
    <row r="283" spans="1:12" ht="45.95">
      <c r="A283" s="3" t="s">
        <v>3290</v>
      </c>
      <c r="B283" s="3" t="s">
        <v>3291</v>
      </c>
      <c r="C283" s="3" t="s">
        <v>442</v>
      </c>
      <c r="D283" s="3" t="s">
        <v>37</v>
      </c>
      <c r="E283" s="3" t="s">
        <v>2417</v>
      </c>
      <c r="F283" s="3" t="s">
        <v>2418</v>
      </c>
      <c r="G283" s="3" t="s">
        <v>3292</v>
      </c>
      <c r="H283" s="3" t="str">
        <f>HYPERLINK("http://www.jccm.es/sede/tramite/I7J","APROBACION PLAN ANUAL DE APROVECHAMIENTO AGUAS  O TERMALES")</f>
        <v>APROBACION PLAN ANUAL DE APROVECHAMIENTO AGUAS  O TERMALES</v>
      </c>
      <c r="I283" s="3" t="s">
        <v>42</v>
      </c>
      <c r="J283" s="3" t="s">
        <v>41</v>
      </c>
      <c r="K283" s="3" t="s">
        <v>42</v>
      </c>
      <c r="L283" s="3" t="s">
        <v>41</v>
      </c>
    </row>
    <row r="284" spans="1:12" ht="57.6">
      <c r="A284" s="3" t="s">
        <v>3293</v>
      </c>
      <c r="B284" s="3" t="s">
        <v>3294</v>
      </c>
      <c r="C284" s="3" t="s">
        <v>45</v>
      </c>
      <c r="D284" s="3" t="s">
        <v>37</v>
      </c>
      <c r="E284" s="3" t="s">
        <v>2417</v>
      </c>
      <c r="F284" s="3" t="s">
        <v>2510</v>
      </c>
      <c r="G284" s="3" t="s">
        <v>3295</v>
      </c>
      <c r="H284" s="3" t="str">
        <f>HYPERLINK("http://www.jccm.es/sede/tramite/JFH","DECLARACION DE ASOCIACIONES DE PESCADORES COMO SOCIEDADES COLABORADORAS")</f>
        <v>DECLARACION DE ASOCIACIONES DE PESCADORES COMO SOCIEDADES COLABORADORAS</v>
      </c>
      <c r="I284" s="3" t="s">
        <v>41</v>
      </c>
      <c r="J284" s="3" t="s">
        <v>41</v>
      </c>
      <c r="K284" s="3" t="s">
        <v>42</v>
      </c>
      <c r="L284" s="3" t="s">
        <v>41</v>
      </c>
    </row>
    <row r="285" spans="1:12" ht="57.6">
      <c r="A285" s="3" t="s">
        <v>3296</v>
      </c>
      <c r="B285" s="3" t="s">
        <v>3297</v>
      </c>
      <c r="C285" s="3" t="s">
        <v>1727</v>
      </c>
      <c r="D285" s="3" t="s">
        <v>46</v>
      </c>
      <c r="E285" s="3" t="s">
        <v>2417</v>
      </c>
      <c r="F285" s="3" t="s">
        <v>2510</v>
      </c>
      <c r="G285" s="3" t="s">
        <v>3298</v>
      </c>
      <c r="H285" s="3" t="str">
        <f>HYPERLINK("http://www.jccm.es/sede/tramite/062","APROBACION DE DESLINDES DE MONTES INCLUIDOS EN CATALOGO DE UTILIDAD PUBLICA.")</f>
        <v>APROBACION DE DESLINDES DE MONTES INCLUIDOS EN CATALOGO DE UTILIDAD PUBLICA.</v>
      </c>
      <c r="I285" s="3" t="s">
        <v>42</v>
      </c>
      <c r="J285" s="3" t="s">
        <v>41</v>
      </c>
      <c r="K285" s="3" t="s">
        <v>42</v>
      </c>
      <c r="L285" s="3" t="s">
        <v>41</v>
      </c>
    </row>
    <row r="286" spans="1:12" ht="57.6">
      <c r="A286" s="3" t="s">
        <v>3299</v>
      </c>
      <c r="B286" s="3" t="s">
        <v>3300</v>
      </c>
      <c r="C286" s="3" t="s">
        <v>327</v>
      </c>
      <c r="D286" s="3" t="s">
        <v>46</v>
      </c>
      <c r="E286" s="3" t="s">
        <v>2417</v>
      </c>
      <c r="F286" s="3" t="s">
        <v>2510</v>
      </c>
      <c r="G286" s="3" t="s">
        <v>3301</v>
      </c>
      <c r="H286" s="3" t="str">
        <f>HYPERLINK("http://www.jccm.es/sede/tramite/JFP","AMOJONAMIENTO DE MONTES DEMANIALES")</f>
        <v>AMOJONAMIENTO DE MONTES DEMANIALES</v>
      </c>
      <c r="I286" s="3" t="s">
        <v>42</v>
      </c>
      <c r="J286" s="3" t="s">
        <v>41</v>
      </c>
      <c r="K286" s="3" t="s">
        <v>42</v>
      </c>
      <c r="L286" s="3" t="s">
        <v>41</v>
      </c>
    </row>
    <row r="287" spans="1:12" ht="57.6">
      <c r="A287" s="3" t="s">
        <v>3302</v>
      </c>
      <c r="B287" s="3" t="s">
        <v>3303</v>
      </c>
      <c r="C287" s="3" t="s">
        <v>327</v>
      </c>
      <c r="D287" s="3" t="s">
        <v>46</v>
      </c>
      <c r="E287" s="3" t="s">
        <v>2417</v>
      </c>
      <c r="F287" s="3" t="s">
        <v>2510</v>
      </c>
      <c r="G287" s="3" t="s">
        <v>3304</v>
      </c>
      <c r="H287" s="3" t="str">
        <f>HYPERLINK("http://www.jccm.es/sede/tramite/JMR","CATALOGACION DE MONTES PUBLICOS")</f>
        <v>CATALOGACION DE MONTES PUBLICOS</v>
      </c>
      <c r="I287" s="3" t="s">
        <v>42</v>
      </c>
      <c r="J287" s="3" t="s">
        <v>41</v>
      </c>
      <c r="K287" s="3" t="s">
        <v>42</v>
      </c>
      <c r="L287" s="3" t="s">
        <v>41</v>
      </c>
    </row>
    <row r="288" spans="1:12" ht="57.6">
      <c r="A288" s="3" t="s">
        <v>3305</v>
      </c>
      <c r="B288" s="3" t="s">
        <v>3306</v>
      </c>
      <c r="C288" s="3" t="s">
        <v>45</v>
      </c>
      <c r="D288" s="3" t="s">
        <v>46</v>
      </c>
      <c r="E288" s="3" t="s">
        <v>2417</v>
      </c>
      <c r="F288" s="3" t="s">
        <v>2510</v>
      </c>
      <c r="G288" s="3" t="s">
        <v>3307</v>
      </c>
      <c r="H288" s="3" t="str">
        <f>HYPERLINK("http://www.jccm.es/sede/tramite/JMN","DESAFECTACION/DESCATALOGACION DE MONTES DEMANIALES")</f>
        <v>DESAFECTACION/DESCATALOGACION DE MONTES DEMANIALES</v>
      </c>
      <c r="I288" s="3" t="s">
        <v>42</v>
      </c>
      <c r="J288" s="3" t="s">
        <v>41</v>
      </c>
      <c r="K288" s="3" t="s">
        <v>42</v>
      </c>
      <c r="L288" s="3" t="s">
        <v>41</v>
      </c>
    </row>
    <row r="289" spans="1:12" ht="57.6">
      <c r="A289" s="3" t="s">
        <v>3308</v>
      </c>
      <c r="B289" s="3" t="s">
        <v>3309</v>
      </c>
      <c r="C289" s="3" t="s">
        <v>45</v>
      </c>
      <c r="D289" s="3" t="s">
        <v>46</v>
      </c>
      <c r="E289" s="3" t="s">
        <v>2417</v>
      </c>
      <c r="F289" s="3" t="s">
        <v>2510</v>
      </c>
      <c r="G289" s="3" t="s">
        <v>3310</v>
      </c>
      <c r="H289" s="3" t="str">
        <f>HYPERLINK("http://www.jccm.es/sede/tramite/JKS","NOTIFICACION PARA EJERCICIO DE LA ACCION DE ADQUISICION PREFERENTE DE MONTES")</f>
        <v>NOTIFICACION PARA EJERCICIO DE LA ACCION DE ADQUISICION PREFERENTE DE MONTES</v>
      </c>
      <c r="I289" s="3" t="s">
        <v>42</v>
      </c>
      <c r="J289" s="3" t="s">
        <v>41</v>
      </c>
      <c r="K289" s="3" t="s">
        <v>42</v>
      </c>
      <c r="L289" s="3" t="s">
        <v>41</v>
      </c>
    </row>
    <row r="290" spans="1:12" ht="57.6">
      <c r="A290" s="3" t="s">
        <v>3311</v>
      </c>
      <c r="B290" s="3" t="s">
        <v>3312</v>
      </c>
      <c r="C290" s="3" t="s">
        <v>45</v>
      </c>
      <c r="D290" s="3" t="s">
        <v>46</v>
      </c>
      <c r="E290" s="3" t="s">
        <v>2417</v>
      </c>
      <c r="F290" s="3" t="s">
        <v>2510</v>
      </c>
      <c r="G290" s="3" t="s">
        <v>3313</v>
      </c>
      <c r="H290" s="3" t="str">
        <f>HYPERLINK("http://www.jccm.es/sede/tramite/JMO","DECLARACION DE PREVALENCIA DE UTILIDAD PUBLICA")</f>
        <v>DECLARACION DE PREVALENCIA DE UTILIDAD PUBLICA</v>
      </c>
      <c r="I290" s="3" t="s">
        <v>42</v>
      </c>
      <c r="J290" s="3" t="s">
        <v>41</v>
      </c>
      <c r="K290" s="3" t="s">
        <v>42</v>
      </c>
      <c r="L290" s="3" t="s">
        <v>41</v>
      </c>
    </row>
    <row r="291" spans="1:12" ht="57.6">
      <c r="A291" s="3" t="s">
        <v>3314</v>
      </c>
      <c r="B291" s="3" t="s">
        <v>3315</v>
      </c>
      <c r="C291" s="3" t="s">
        <v>2016</v>
      </c>
      <c r="D291" s="3" t="s">
        <v>46</v>
      </c>
      <c r="E291" s="3" t="s">
        <v>2417</v>
      </c>
      <c r="F291" s="3" t="s">
        <v>2510</v>
      </c>
      <c r="G291" s="3" t="s">
        <v>3316</v>
      </c>
      <c r="H291" s="3" t="str">
        <f>HYPERLINK("http://www.jccm.es/sede/tramite/JNF","DESLINDE/DELIMITACION DE VIAS PECUARIAS")</f>
        <v>DESLINDE/DELIMITACION DE VIAS PECUARIAS</v>
      </c>
      <c r="I291" s="3" t="s">
        <v>42</v>
      </c>
      <c r="J291" s="3" t="s">
        <v>41</v>
      </c>
      <c r="K291" s="3" t="s">
        <v>42</v>
      </c>
      <c r="L291" s="3" t="s">
        <v>41</v>
      </c>
    </row>
    <row r="292" spans="1:12" ht="57.6">
      <c r="A292" s="3" t="s">
        <v>3317</v>
      </c>
      <c r="B292" s="3" t="s">
        <v>3318</v>
      </c>
      <c r="C292" s="3" t="s">
        <v>2016</v>
      </c>
      <c r="D292" s="3" t="s">
        <v>46</v>
      </c>
      <c r="E292" s="3" t="s">
        <v>2417</v>
      </c>
      <c r="F292" s="3" t="s">
        <v>2510</v>
      </c>
      <c r="G292" s="3" t="s">
        <v>3319</v>
      </c>
      <c r="H292" s="3" t="str">
        <f>HYPERLINK("http://www.jccm.es/sede/tramite/JNG","AMOJONAMIENTO DE VIAS PECUARIAS")</f>
        <v>AMOJONAMIENTO DE VIAS PECUARIAS</v>
      </c>
      <c r="I292" s="3" t="s">
        <v>42</v>
      </c>
      <c r="J292" s="3" t="s">
        <v>41</v>
      </c>
      <c r="K292" s="3" t="s">
        <v>42</v>
      </c>
      <c r="L292" s="3" t="s">
        <v>41</v>
      </c>
    </row>
    <row r="293" spans="1:12" ht="57.6">
      <c r="A293" s="3" t="s">
        <v>3320</v>
      </c>
      <c r="B293" s="3" t="s">
        <v>3321</v>
      </c>
      <c r="C293" s="3" t="s">
        <v>45</v>
      </c>
      <c r="D293" s="3" t="s">
        <v>46</v>
      </c>
      <c r="E293" s="3" t="s">
        <v>2417</v>
      </c>
      <c r="F293" s="3" t="s">
        <v>2510</v>
      </c>
      <c r="G293" s="3" t="s">
        <v>3322</v>
      </c>
      <c r="H293" s="3" t="str">
        <f>HYPERLINK("http://www.jccm.es/sede/tramite/JNI","AUTORIZACION PARA EL ACONDICIONAMIENTO, MANTENIMIENTO Y MEJORA DE VIAS PECUARIAS")</f>
        <v>AUTORIZACION PARA EL ACONDICIONAMIENTO, MANTENIMIENTO Y MEJORA DE VIAS PECUARIAS</v>
      </c>
      <c r="I293" s="3" t="s">
        <v>42</v>
      </c>
      <c r="J293" s="3" t="s">
        <v>41</v>
      </c>
      <c r="K293" s="3" t="s">
        <v>42</v>
      </c>
      <c r="L293" s="3" t="s">
        <v>41</v>
      </c>
    </row>
    <row r="294" spans="1:12" ht="57.6">
      <c r="A294" s="3" t="s">
        <v>3323</v>
      </c>
      <c r="B294" s="3" t="s">
        <v>3324</v>
      </c>
      <c r="C294" s="3" t="s">
        <v>45</v>
      </c>
      <c r="D294" s="3" t="s">
        <v>46</v>
      </c>
      <c r="E294" s="3" t="s">
        <v>2417</v>
      </c>
      <c r="F294" s="3" t="s">
        <v>2510</v>
      </c>
      <c r="G294" s="3" t="s">
        <v>3325</v>
      </c>
      <c r="H294" s="3" t="str">
        <f>HYPERLINK("http://www.jccm.es/sede/tramite/JNK","AUTORIZACION/DECLARACION RESPONSABLE DE USOS COMPATIBLES/COMPLEMENTARIOS EN VIAS PECUARIAS")</f>
        <v>AUTORIZACION/DECLARACION RESPONSABLE DE USOS COMPATIBLES/COMPLEMENTARIOS EN VIAS PECUARIAS</v>
      </c>
      <c r="I294" s="3" t="s">
        <v>42</v>
      </c>
      <c r="J294" s="3" t="s">
        <v>41</v>
      </c>
      <c r="K294" s="3" t="s">
        <v>42</v>
      </c>
      <c r="L294" s="3" t="s">
        <v>41</v>
      </c>
    </row>
    <row r="295" spans="1:12" ht="57.6">
      <c r="A295" s="3" t="s">
        <v>3326</v>
      </c>
      <c r="B295" s="3" t="s">
        <v>3327</v>
      </c>
      <c r="C295" s="3" t="s">
        <v>45</v>
      </c>
      <c r="D295" s="3" t="s">
        <v>46</v>
      </c>
      <c r="E295" s="3" t="s">
        <v>2417</v>
      </c>
      <c r="F295" s="3" t="s">
        <v>2510</v>
      </c>
      <c r="G295" s="3" t="s">
        <v>3328</v>
      </c>
      <c r="H295" s="3" t="str">
        <f>HYPERLINK("http://www.jccm.es/sede/tramite/JNL","AUTORIZACION DE APROVECHAMIENTOS SOBRANTES EN VIAS PECUARIAS")</f>
        <v>AUTORIZACION DE APROVECHAMIENTOS SOBRANTES EN VIAS PECUARIAS</v>
      </c>
      <c r="I295" s="3" t="s">
        <v>42</v>
      </c>
      <c r="J295" s="3" t="s">
        <v>41</v>
      </c>
      <c r="K295" s="3" t="s">
        <v>42</v>
      </c>
      <c r="L295" s="3" t="s">
        <v>41</v>
      </c>
    </row>
    <row r="296" spans="1:12" ht="45.95">
      <c r="A296" s="3" t="s">
        <v>3329</v>
      </c>
      <c r="B296" s="3" t="s">
        <v>3330</v>
      </c>
      <c r="C296" s="3" t="s">
        <v>1727</v>
      </c>
      <c r="D296" s="3" t="s">
        <v>95</v>
      </c>
      <c r="E296" s="3" t="s">
        <v>2417</v>
      </c>
      <c r="F296" s="3" t="s">
        <v>2570</v>
      </c>
      <c r="G296" s="3" t="s">
        <v>3331</v>
      </c>
      <c r="H296" s="3" t="str">
        <f>HYPERLINK("http://www.jccm.es/sede/tramite/JLD","MEMORIAS DE RESIDUOS")</f>
        <v>MEMORIAS DE RESIDUOS</v>
      </c>
      <c r="I296" s="3" t="s">
        <v>41</v>
      </c>
      <c r="J296" s="3" t="s">
        <v>41</v>
      </c>
      <c r="K296" s="3" t="s">
        <v>42</v>
      </c>
      <c r="L296" s="3" t="s">
        <v>41</v>
      </c>
    </row>
    <row r="297" spans="1:12" ht="45.95">
      <c r="A297" s="3" t="s">
        <v>3332</v>
      </c>
      <c r="B297" s="3" t="s">
        <v>3333</v>
      </c>
      <c r="C297" s="3" t="s">
        <v>45</v>
      </c>
      <c r="D297" s="3" t="s">
        <v>46</v>
      </c>
      <c r="E297" s="3" t="s">
        <v>2417</v>
      </c>
      <c r="F297" s="3" t="s">
        <v>2581</v>
      </c>
      <c r="G297" s="3" t="s">
        <v>3334</v>
      </c>
      <c r="H297" s="3" t="str">
        <f>HYPERLINK("http://www.jccm.es/sede/tramite/I84","CERTIFICADO DE CONVALIDACION DE INVERSIONES DESTINADAS A LA PROTECCION DEL MEDIO AMBIENTE")</f>
        <v>CERTIFICADO DE CONVALIDACION DE INVERSIONES DESTINADAS A LA PROTECCION DEL MEDIO AMBIENTE</v>
      </c>
      <c r="I297" s="3" t="s">
        <v>41</v>
      </c>
      <c r="J297" s="3" t="s">
        <v>41</v>
      </c>
      <c r="K297" s="3" t="s">
        <v>42</v>
      </c>
      <c r="L297" s="3" t="s">
        <v>41</v>
      </c>
    </row>
    <row r="298" spans="1:12" ht="69">
      <c r="A298" s="3" t="s">
        <v>3335</v>
      </c>
      <c r="B298" s="3" t="s">
        <v>3336</v>
      </c>
      <c r="C298" s="3" t="s">
        <v>1401</v>
      </c>
      <c r="D298" s="3" t="s">
        <v>46</v>
      </c>
      <c r="E298" s="3" t="s">
        <v>2417</v>
      </c>
      <c r="F298" s="3" t="s">
        <v>2570</v>
      </c>
      <c r="G298" s="3" t="s">
        <v>3337</v>
      </c>
      <c r="H298" s="3" t="str">
        <f>HYPERLINK("http://www.jccm.es/sede/tramite/JBD","AUTORIZACION ADMINISTRATIVA DE ACTIVIDADES POTENCIALMENTE CONTAMINADORAS DE LA ATMOSFERA.")</f>
        <v>AUTORIZACION ADMINISTRATIVA DE ACTIVIDADES POTENCIALMENTE CONTAMINADORAS DE LA ATMOSFERA.</v>
      </c>
      <c r="I298" s="3" t="s">
        <v>42</v>
      </c>
      <c r="J298" s="3" t="s">
        <v>41</v>
      </c>
      <c r="K298" s="3" t="s">
        <v>42</v>
      </c>
      <c r="L298" s="3" t="s">
        <v>41</v>
      </c>
    </row>
    <row r="299" spans="1:12" ht="45.95">
      <c r="A299" s="3" t="s">
        <v>3338</v>
      </c>
      <c r="B299" s="3" t="s">
        <v>3339</v>
      </c>
      <c r="C299" s="3" t="s">
        <v>3340</v>
      </c>
      <c r="D299" s="3" t="s">
        <v>46</v>
      </c>
      <c r="E299" s="3" t="s">
        <v>2417</v>
      </c>
      <c r="F299" s="3" t="s">
        <v>2570</v>
      </c>
      <c r="G299" s="3" t="s">
        <v>3341</v>
      </c>
      <c r="H299" s="3" t="str">
        <f>HYPERLINK("http://www.jccm.es/sede/tramite/IY3","EVALUACION AMBIENTAL ESTRATEGICA DE PLANES Y PROGRAMAS")</f>
        <v>EVALUACION AMBIENTAL ESTRATEGICA DE PLANES Y PROGRAMAS</v>
      </c>
      <c r="I299" s="3" t="s">
        <v>41</v>
      </c>
      <c r="J299" s="3" t="s">
        <v>41</v>
      </c>
      <c r="K299" s="3" t="s">
        <v>42</v>
      </c>
      <c r="L299" s="3" t="s">
        <v>41</v>
      </c>
    </row>
    <row r="300" spans="1:12" ht="45.95">
      <c r="A300" s="3" t="s">
        <v>3342</v>
      </c>
      <c r="B300" s="3" t="s">
        <v>3343</v>
      </c>
      <c r="C300" s="3" t="s">
        <v>3344</v>
      </c>
      <c r="D300" s="3" t="s">
        <v>46</v>
      </c>
      <c r="E300" s="3" t="s">
        <v>2417</v>
      </c>
      <c r="F300" s="3" t="s">
        <v>2570</v>
      </c>
      <c r="G300" s="3" t="s">
        <v>3345</v>
      </c>
      <c r="H300" s="3" t="str">
        <f>HYPERLINK("http://www.jccm.es/sede/tramite/478","EVALUACION  DE IMPACTO AMBIENTAL DE PROYECTOS")</f>
        <v>EVALUACION  DE IMPACTO AMBIENTAL DE PROYECTOS</v>
      </c>
      <c r="I300" s="3" t="s">
        <v>42</v>
      </c>
      <c r="J300" s="3" t="s">
        <v>41</v>
      </c>
      <c r="K300" s="3" t="s">
        <v>42</v>
      </c>
      <c r="L300" s="3" t="s">
        <v>42</v>
      </c>
    </row>
    <row r="301" spans="1:12" ht="45.95">
      <c r="A301" s="3" t="s">
        <v>3346</v>
      </c>
      <c r="B301" s="3" t="s">
        <v>3347</v>
      </c>
      <c r="C301" s="3" t="s">
        <v>1535</v>
      </c>
      <c r="D301" s="3" t="s">
        <v>46</v>
      </c>
      <c r="E301" s="3" t="s">
        <v>2417</v>
      </c>
      <c r="F301" s="3" t="s">
        <v>2418</v>
      </c>
      <c r="G301" s="3" t="s">
        <v>3348</v>
      </c>
      <c r="H301" s="3" t="str">
        <f>HYPERLINK("http://www.jccm.es/sede/tramite/J8X","DECLARACION DE AGUA MINERAL, MODIFICACION O AMPLIACION DE UNA DECLARACION")</f>
        <v>DECLARACION DE AGUA MINERAL, MODIFICACION O AMPLIACION DE UNA DECLARACION</v>
      </c>
      <c r="I301" s="3" t="s">
        <v>42</v>
      </c>
      <c r="J301" s="3" t="s">
        <v>41</v>
      </c>
      <c r="K301" s="3" t="s">
        <v>42</v>
      </c>
      <c r="L301" s="3" t="s">
        <v>41</v>
      </c>
    </row>
    <row r="302" spans="1:12" ht="45.95">
      <c r="A302" s="3" t="s">
        <v>3349</v>
      </c>
      <c r="B302" s="3" t="s">
        <v>3350</v>
      </c>
      <c r="C302" s="3" t="s">
        <v>95</v>
      </c>
      <c r="D302" s="3" t="s">
        <v>95</v>
      </c>
      <c r="E302" s="3" t="s">
        <v>2417</v>
      </c>
      <c r="F302" s="3" t="s">
        <v>2418</v>
      </c>
      <c r="G302" s="3" t="s">
        <v>3351</v>
      </c>
      <c r="H302" s="3" t="str">
        <f>HYPERLINK("http://www.jccm.es/sede/tramite/JNT","CERTIFICADO DE EMPRESA PARA LA MANIPULACION DE GASES FLUORADOS")</f>
        <v>CERTIFICADO DE EMPRESA PARA LA MANIPULACION DE GASES FLUORADOS</v>
      </c>
      <c r="I302" s="3" t="s">
        <v>42</v>
      </c>
      <c r="J302" s="3" t="s">
        <v>41</v>
      </c>
      <c r="K302" s="3" t="s">
        <v>42</v>
      </c>
      <c r="L302" s="3" t="s">
        <v>41</v>
      </c>
    </row>
    <row r="303" spans="1:12" ht="45.95">
      <c r="A303" s="3" t="s">
        <v>3352</v>
      </c>
      <c r="B303" s="3" t="s">
        <v>3353</v>
      </c>
      <c r="C303" s="3" t="s">
        <v>62</v>
      </c>
      <c r="D303" s="3" t="s">
        <v>46</v>
      </c>
      <c r="E303" s="3" t="s">
        <v>2417</v>
      </c>
      <c r="F303" s="3" t="s">
        <v>2418</v>
      </c>
      <c r="G303" s="3" t="s">
        <v>3354</v>
      </c>
      <c r="H303" s="3" t="str">
        <f>HYPERLINK("http://www.jccm.es/sede/tramite/JNU","CERTIFICADO PERSONAL PARA LA MANIPULACION DE GASES FLUORADOS.")</f>
        <v>CERTIFICADO PERSONAL PARA LA MANIPULACION DE GASES FLUORADOS.</v>
      </c>
      <c r="I303" s="3" t="s">
        <v>42</v>
      </c>
      <c r="J303" s="3" t="s">
        <v>41</v>
      </c>
      <c r="K303" s="3" t="s">
        <v>42</v>
      </c>
      <c r="L303" s="3" t="s">
        <v>41</v>
      </c>
    </row>
    <row r="304" spans="1:12" ht="57.6">
      <c r="A304" s="3" t="s">
        <v>3355</v>
      </c>
      <c r="B304" s="3" t="s">
        <v>3356</v>
      </c>
      <c r="C304" s="3" t="s">
        <v>45</v>
      </c>
      <c r="D304" s="3" t="s">
        <v>46</v>
      </c>
      <c r="E304" s="3" t="s">
        <v>2417</v>
      </c>
      <c r="F304" s="3" t="s">
        <v>2510</v>
      </c>
      <c r="G304" s="3" t="s">
        <v>3357</v>
      </c>
      <c r="H304" s="3" t="str">
        <f>HYPERLINK("http://www.jccm.es/sede/tramite/JX9","HOMOLOGACION DE TROFEOS DE CAZA")</f>
        <v>HOMOLOGACION DE TROFEOS DE CAZA</v>
      </c>
      <c r="I304" s="3" t="s">
        <v>42</v>
      </c>
      <c r="J304" s="3" t="s">
        <v>41</v>
      </c>
      <c r="K304" s="3" t="s">
        <v>42</v>
      </c>
      <c r="L304" s="3" t="s">
        <v>41</v>
      </c>
    </row>
    <row r="305" spans="1:12" ht="103.5">
      <c r="A305" s="3" t="s">
        <v>3358</v>
      </c>
      <c r="B305" s="3" t="s">
        <v>3359</v>
      </c>
      <c r="C305" s="3" t="s">
        <v>95</v>
      </c>
      <c r="D305" s="3" t="s">
        <v>37</v>
      </c>
      <c r="E305" s="3" t="s">
        <v>2417</v>
      </c>
      <c r="F305" s="3" t="s">
        <v>2418</v>
      </c>
      <c r="G305" s="3" t="s">
        <v>3360</v>
      </c>
      <c r="H305" s="3" t="str">
        <f>HYPERLINK("http://www.jccm.es/sede/tramite/JYR","COMUNICACION DE APORTACION DE ACTAS O CERTIFICADOS DE INSPECCION, REVISION O CONTROL, DE INSTALACIONES O ESTABLECIMIENTOS SOMETIDOS A REGLAMENTACION DE SEGURIDAD INDUSTRIAL")</f>
        <v>COMUNICACION DE APORTACION DE ACTAS O CERTIFICADOS DE INSPECCION, REVISION O CONTROL, DE INSTALACIONES O ESTABLECIMIENTOS SOMETIDOS A REGLAMENTACION DE SEGURIDAD INDUSTRIAL</v>
      </c>
      <c r="I305" s="3" t="s">
        <v>42</v>
      </c>
      <c r="J305" s="3" t="s">
        <v>41</v>
      </c>
      <c r="K305" s="3" t="s">
        <v>42</v>
      </c>
      <c r="L305" s="3" t="s">
        <v>41</v>
      </c>
    </row>
    <row r="306" spans="1:12" ht="45.95">
      <c r="A306" s="3" t="s">
        <v>3361</v>
      </c>
      <c r="B306" s="3" t="s">
        <v>3362</v>
      </c>
      <c r="C306" s="3" t="s">
        <v>95</v>
      </c>
      <c r="D306" s="3" t="s">
        <v>95</v>
      </c>
      <c r="E306" s="3" t="s">
        <v>2417</v>
      </c>
      <c r="F306" s="3" t="s">
        <v>2570</v>
      </c>
      <c r="G306" s="3" t="s">
        <v>3363</v>
      </c>
      <c r="H306" s="3" t="str">
        <f>HYPERLINK("http://www.jccm.es/sede/tramite/K2C","VALIDACION DE INFORMES ANUALES DE EMISION DE GASES DE GASES DE EFECTO INVERNADERO")</f>
        <v>VALIDACION DE INFORMES ANUALES DE EMISION DE GASES DE GASES DE EFECTO INVERNADERO</v>
      </c>
      <c r="I306" s="3" t="s">
        <v>41</v>
      </c>
      <c r="J306" s="3" t="s">
        <v>41</v>
      </c>
      <c r="K306" s="3" t="s">
        <v>42</v>
      </c>
      <c r="L306" s="3" t="s">
        <v>41</v>
      </c>
    </row>
    <row r="307" spans="1:12" ht="57.6">
      <c r="A307" s="3" t="s">
        <v>3364</v>
      </c>
      <c r="B307" s="3" t="s">
        <v>3365</v>
      </c>
      <c r="C307" s="3" t="s">
        <v>45</v>
      </c>
      <c r="D307" s="3" t="s">
        <v>46</v>
      </c>
      <c r="E307" s="3" t="s">
        <v>2417</v>
      </c>
      <c r="F307" s="3" t="s">
        <v>2510</v>
      </c>
      <c r="G307" s="3" t="s">
        <v>3366</v>
      </c>
      <c r="H307" s="3" t="str">
        <f>HYPERLINK("http://www.jccm.es/sede/tramite/KBO","DESIGNACION COMO VOCAL DEL CONSEJO REGIONAL Y DE LOS CONSEJOS PROVINCIALES DE PESCA")</f>
        <v>DESIGNACION COMO VOCAL DEL CONSEJO REGIONAL Y DE LOS CONSEJOS PROVINCIALES DE PESCA</v>
      </c>
      <c r="I307" s="3" t="s">
        <v>42</v>
      </c>
      <c r="J307" s="3" t="s">
        <v>41</v>
      </c>
      <c r="K307" s="3" t="s">
        <v>42</v>
      </c>
      <c r="L307" s="3" t="s">
        <v>41</v>
      </c>
    </row>
    <row r="308" spans="1:12" ht="57.6">
      <c r="A308" s="3" t="s">
        <v>3367</v>
      </c>
      <c r="B308" s="3" t="s">
        <v>3368</v>
      </c>
      <c r="C308" s="3" t="s">
        <v>45</v>
      </c>
      <c r="D308" s="3" t="s">
        <v>37</v>
      </c>
      <c r="E308" s="3" t="s">
        <v>2417</v>
      </c>
      <c r="F308" s="3" t="s">
        <v>2570</v>
      </c>
      <c r="G308" s="3" t="s">
        <v>3369</v>
      </c>
      <c r="H308" s="3" t="str">
        <f>HYPERLINK("http://www.jccm.es/sede/tramite/KD7","APROBACION DE INFORME DE MEJORAS DE INSTALACIONES INCLUIDAS EN EL REGIMEN DE COMERCIO DE GASES DE EFECTO INVERNADERO")</f>
        <v>APROBACION DE INFORME DE MEJORAS DE INSTALACIONES INCLUIDAS EN EL REGIMEN DE COMERCIO DE GASES DE EFECTO INVERNADERO</v>
      </c>
      <c r="I308" s="3" t="s">
        <v>41</v>
      </c>
      <c r="J308" s="3" t="s">
        <v>41</v>
      </c>
      <c r="K308" s="3" t="s">
        <v>42</v>
      </c>
      <c r="L308" s="3" t="s">
        <v>41</v>
      </c>
    </row>
    <row r="309" spans="1:12" ht="57.6">
      <c r="A309" s="3" t="s">
        <v>3370</v>
      </c>
      <c r="B309" s="3" t="s">
        <v>3371</v>
      </c>
      <c r="C309" s="3" t="s">
        <v>95</v>
      </c>
      <c r="D309" s="3" t="s">
        <v>95</v>
      </c>
      <c r="E309" s="3" t="s">
        <v>2417</v>
      </c>
      <c r="F309" s="3" t="s">
        <v>2418</v>
      </c>
      <c r="G309" s="3" t="s">
        <v>3372</v>
      </c>
      <c r="H309" s="3" t="str">
        <f>HYPERLINK("http://www.jccm.es/sede/tramite/KE6","REMISION DE INFORMACION DE INSTALACIONES DE PRODUCCION DE ENERGIA ELECTRICA CON REGIMEN RETRIBUTIVO ESPECIFICO")</f>
        <v>REMISION DE INFORMACION DE INSTALACIONES DE PRODUCCION DE ENERGIA ELECTRICA CON REGIMEN RETRIBUTIVO ESPECIFICO</v>
      </c>
      <c r="I309" s="3" t="s">
        <v>42</v>
      </c>
      <c r="J309" s="3" t="s">
        <v>41</v>
      </c>
      <c r="K309" s="3" t="s">
        <v>42</v>
      </c>
      <c r="L309" s="3" t="s">
        <v>41</v>
      </c>
    </row>
    <row r="310" spans="1:12" ht="57.6">
      <c r="A310" s="3" t="s">
        <v>3373</v>
      </c>
      <c r="B310" s="3" t="s">
        <v>3374</v>
      </c>
      <c r="C310" s="3" t="s">
        <v>45</v>
      </c>
      <c r="D310" s="3" t="s">
        <v>46</v>
      </c>
      <c r="E310" s="3" t="s">
        <v>2417</v>
      </c>
      <c r="F310" s="3" t="s">
        <v>2510</v>
      </c>
      <c r="G310" s="3" t="s">
        <v>3375</v>
      </c>
      <c r="H310" s="3" t="str">
        <f>HYPERLINK("http://www.jccm.es/sede/tramite/KFR","PRUEBAS DE APTITUD PARA OBTENER POR PRIMERA VEZ LA LICENCIA DE CAZA DE CASTILLA-LA MANCHA")</f>
        <v>PRUEBAS DE APTITUD PARA OBTENER POR PRIMERA VEZ LA LICENCIA DE CAZA DE CASTILLA-LA MANCHA</v>
      </c>
      <c r="I310" s="3" t="s">
        <v>42</v>
      </c>
      <c r="J310" s="3" t="s">
        <v>41</v>
      </c>
      <c r="K310" s="3" t="s">
        <v>42</v>
      </c>
      <c r="L310" s="3" t="s">
        <v>41</v>
      </c>
    </row>
    <row r="311" spans="1:12" ht="57.6">
      <c r="A311" s="3" t="s">
        <v>3376</v>
      </c>
      <c r="B311" s="3" t="s">
        <v>3377</v>
      </c>
      <c r="C311" s="3" t="s">
        <v>95</v>
      </c>
      <c r="D311" s="3" t="s">
        <v>95</v>
      </c>
      <c r="E311" s="3" t="s">
        <v>2417</v>
      </c>
      <c r="F311" s="3" t="s">
        <v>2418</v>
      </c>
      <c r="G311" s="3" t="s">
        <v>3378</v>
      </c>
      <c r="H311" s="3" t="str">
        <f>HYPERLINK("http://www.jccm.es/sede/tramite/KG5","DECLARACION RESPONSABLE DEL NUMERO DE INSPECCIONES ITV REALIZADAS Y LIQUIDACION DE LA TASA CORRESPONDIENTE")</f>
        <v>DECLARACION RESPONSABLE DEL NUMERO DE INSPECCIONES ITV REALIZADAS Y LIQUIDACION DE LA TASA CORRESPONDIENTE</v>
      </c>
      <c r="I311" s="3" t="s">
        <v>41</v>
      </c>
      <c r="J311" s="3" t="s">
        <v>41</v>
      </c>
      <c r="K311" s="3" t="s">
        <v>42</v>
      </c>
      <c r="L311" s="3" t="s">
        <v>41</v>
      </c>
    </row>
    <row r="312" spans="1:12" ht="45.95">
      <c r="A312" s="3" t="s">
        <v>3379</v>
      </c>
      <c r="B312" s="3" t="s">
        <v>3380</v>
      </c>
      <c r="C312" s="3" t="s">
        <v>45</v>
      </c>
      <c r="D312" s="3" t="s">
        <v>37</v>
      </c>
      <c r="E312" s="3" t="s">
        <v>2417</v>
      </c>
      <c r="F312" s="3" t="s">
        <v>2418</v>
      </c>
      <c r="G312" s="3" t="s">
        <v>3381</v>
      </c>
      <c r="H312" s="3" t="str">
        <f>HYPERLINK("http://www.jccm.es/sede/tramite/KGQ","DECLARACION DE ACTIVIDADES LABORALES EN LAS QUE EXISTAN FUENTES NATURALES DE RADIACION.")</f>
        <v>DECLARACION DE ACTIVIDADES LABORALES EN LAS QUE EXISTAN FUENTES NATURALES DE RADIACION.</v>
      </c>
      <c r="I312" s="3" t="s">
        <v>42</v>
      </c>
      <c r="J312" s="3" t="s">
        <v>41</v>
      </c>
      <c r="K312" s="3" t="s">
        <v>42</v>
      </c>
      <c r="L312" s="3" t="s">
        <v>41</v>
      </c>
    </row>
    <row r="313" spans="1:12" ht="57.6">
      <c r="A313" s="3" t="s">
        <v>3382</v>
      </c>
      <c r="B313" s="3" t="s">
        <v>3383</v>
      </c>
      <c r="C313" s="3" t="s">
        <v>95</v>
      </c>
      <c r="D313" s="3" t="s">
        <v>95</v>
      </c>
      <c r="E313" s="3" t="s">
        <v>2417</v>
      </c>
      <c r="F313" s="3" t="s">
        <v>2510</v>
      </c>
      <c r="G313" s="3" t="s">
        <v>3384</v>
      </c>
      <c r="H313" s="3" t="str">
        <f>HYPERLINK("http://www.jccm.es/sede/tramite/A88","DECLARACION RESPONSABLE PARA TALLERES DE TAXIDERMIA QUE TRABAJEN CON ESPECIES CINEGETICAS")</f>
        <v>DECLARACION RESPONSABLE PARA TALLERES DE TAXIDERMIA QUE TRABAJEN CON ESPECIES CINEGETICAS</v>
      </c>
      <c r="I313" s="3" t="s">
        <v>42</v>
      </c>
      <c r="J313" s="3" t="s">
        <v>41</v>
      </c>
      <c r="K313" s="3" t="s">
        <v>42</v>
      </c>
      <c r="L313" s="3" t="s">
        <v>41</v>
      </c>
    </row>
    <row r="314" spans="1:12" ht="92.1">
      <c r="A314" s="3" t="s">
        <v>3385</v>
      </c>
      <c r="B314" s="3" t="s">
        <v>3386</v>
      </c>
      <c r="C314" s="3" t="s">
        <v>95</v>
      </c>
      <c r="D314" s="3" t="s">
        <v>95</v>
      </c>
      <c r="E314" s="3" t="s">
        <v>2417</v>
      </c>
      <c r="F314" s="3" t="s">
        <v>2510</v>
      </c>
      <c r="G314" s="3" t="s">
        <v>3387</v>
      </c>
      <c r="H314" s="3" t="str">
        <f>HYPERLINK("http://www.jccm.es/sede/tramite/KKP","DECLARACION RESPONSABLE PARA AGENTES DE LOS SECTORES INDUSTRIAL Y COMERCIAL DE LA MADERA O LOS PRODUCTOS DE MADERA QUE ACTUAN COMO AGENTES A LOS EFECTOS EL REGLAMENTO (UE) Nº 995/2010")</f>
        <v>DECLARACION RESPONSABLE PARA AGENTES DE LOS SECTORES INDUSTRIAL Y COMERCIAL DE LA MADERA O LOS PRODUCTOS DE MADERA QUE ACTUAN COMO AGENTES A LOS EFECTOS EL REGLAMENTO (UE) Nº 995/2010</v>
      </c>
      <c r="I314" s="3" t="s">
        <v>42</v>
      </c>
      <c r="J314" s="3" t="s">
        <v>41</v>
      </c>
      <c r="K314" s="3" t="s">
        <v>42</v>
      </c>
      <c r="L314" s="3" t="s">
        <v>41</v>
      </c>
    </row>
    <row r="315" spans="1:12" ht="80.45">
      <c r="A315" s="3" t="s">
        <v>3388</v>
      </c>
      <c r="B315" s="3" t="s">
        <v>3389</v>
      </c>
      <c r="C315" s="3" t="s">
        <v>45</v>
      </c>
      <c r="D315" s="3" t="s">
        <v>37</v>
      </c>
      <c r="E315" s="3" t="s">
        <v>2417</v>
      </c>
      <c r="F315" s="3" t="s">
        <v>2418</v>
      </c>
      <c r="G315" s="3" t="s">
        <v>3390</v>
      </c>
      <c r="H315" s="3" t="str">
        <f>HYPERLINK("http://www.jccm.es/sede/tramite/KWE","CERTIFICACION ACREDITATIVA DE LA CUALIFICACION COMO OPERARIO CUALIFICADO EN LA INSTALACION Y/O MANTENIMIENTO DE SISTEMAS DE PROTECCION CONTRA INCENDIOS")</f>
        <v>CERTIFICACION ACREDITATIVA DE LA CUALIFICACION COMO OPERARIO CUALIFICADO EN LA INSTALACION Y/O MANTENIMIENTO DE SISTEMAS DE PROTECCION CONTRA INCENDIOS</v>
      </c>
      <c r="I315" s="3" t="s">
        <v>42</v>
      </c>
      <c r="J315" s="3" t="s">
        <v>41</v>
      </c>
      <c r="K315" s="3" t="s">
        <v>42</v>
      </c>
      <c r="L315" s="3" t="s">
        <v>41</v>
      </c>
    </row>
    <row r="316" spans="1:12" ht="80.45">
      <c r="A316" s="3" t="s">
        <v>3391</v>
      </c>
      <c r="B316" s="3" t="s">
        <v>3392</v>
      </c>
      <c r="C316" s="3" t="s">
        <v>51</v>
      </c>
      <c r="D316" s="3" t="s">
        <v>37</v>
      </c>
      <c r="E316" s="3" t="s">
        <v>2417</v>
      </c>
      <c r="F316" s="3" t="s">
        <v>2836</v>
      </c>
      <c r="G316" s="3" t="s">
        <v>3393</v>
      </c>
      <c r="H316" s="3" t="str">
        <f>HYPERLINK("http://www.jccm.es/sede/tramite/JSH","INFORME EN RELACION A LOS PRECIOS DE LOS SERVICIOS PUBLICOS MUNICIPALES  SUJETOS A INTERVENCION POR PARTE DE LA JUNTA DE COMUNIDADES DE CASTILLA-LA MANCHA")</f>
        <v>INFORME EN RELACION A LOS PRECIOS DE LOS SERVICIOS PUBLICOS MUNICIPALES  SUJETOS A INTERVENCION POR PARTE DE LA JUNTA DE COMUNIDADES DE CASTILLA-LA MANCHA</v>
      </c>
      <c r="I316" s="3" t="s">
        <v>41</v>
      </c>
      <c r="J316" s="3" t="s">
        <v>41</v>
      </c>
      <c r="K316" s="3" t="s">
        <v>42</v>
      </c>
      <c r="L316" s="3" t="s">
        <v>41</v>
      </c>
    </row>
    <row r="317" spans="1:12" ht="69">
      <c r="A317" s="3" t="s">
        <v>3394</v>
      </c>
      <c r="B317" s="3" t="s">
        <v>3395</v>
      </c>
      <c r="C317" s="3" t="s">
        <v>95</v>
      </c>
      <c r="D317" s="3" t="s">
        <v>95</v>
      </c>
      <c r="E317" s="3" t="s">
        <v>2417</v>
      </c>
      <c r="F317" s="3" t="s">
        <v>2570</v>
      </c>
      <c r="G317" s="3" t="s">
        <v>3396</v>
      </c>
      <c r="H317" s="3" t="str">
        <f>HYPERLINK("http://www.jccm.es/sede/tramite/L3T","DECLARACION RESPONSABLE DE HABER CONSTITUIDO LA GARANTIA FINANCIERA OBLIGATORIA O, EN SU CASO, DE QUEDAR EXENTOS DE SU CONSTITUCION")</f>
        <v>DECLARACION RESPONSABLE DE HABER CONSTITUIDO LA GARANTIA FINANCIERA OBLIGATORIA O, EN SU CASO, DE QUEDAR EXENTOS DE SU CONSTITUCION</v>
      </c>
      <c r="I317" s="3" t="s">
        <v>42</v>
      </c>
      <c r="J317" s="3" t="s">
        <v>41</v>
      </c>
      <c r="K317" s="3" t="s">
        <v>42</v>
      </c>
      <c r="L317" s="3" t="s">
        <v>41</v>
      </c>
    </row>
    <row r="318" spans="1:12" ht="92.1">
      <c r="A318" s="3" t="s">
        <v>3397</v>
      </c>
      <c r="B318" s="3" t="s">
        <v>3398</v>
      </c>
      <c r="C318" s="3" t="s">
        <v>3399</v>
      </c>
      <c r="D318" s="3" t="s">
        <v>95</v>
      </c>
      <c r="E318" s="3" t="s">
        <v>2417</v>
      </c>
      <c r="F318" s="3" t="s">
        <v>2510</v>
      </c>
      <c r="G318" s="3" t="s">
        <v>3400</v>
      </c>
      <c r="H318" s="3" t="str">
        <f>HYPERLINK("http://www.jccm.es/sede/tramite/L54","INFORMACION SOBRE EL CARACTER AGRICOLA O FORESTAL DE UN TERRENO.")</f>
        <v>INFORMACION SOBRE EL CARACTER AGRICOLA O FORESTAL DE UN TERRENO.</v>
      </c>
      <c r="I318" s="3" t="s">
        <v>42</v>
      </c>
      <c r="J318" s="3" t="s">
        <v>41</v>
      </c>
      <c r="K318" s="3" t="s">
        <v>42</v>
      </c>
      <c r="L318" s="3" t="s">
        <v>41</v>
      </c>
    </row>
    <row r="319" spans="1:12" ht="57.6">
      <c r="A319" s="3" t="s">
        <v>3401</v>
      </c>
      <c r="B319" s="3" t="s">
        <v>3402</v>
      </c>
      <c r="C319" s="3" t="s">
        <v>327</v>
      </c>
      <c r="D319" s="3" t="s">
        <v>46</v>
      </c>
      <c r="E319" s="3" t="s">
        <v>2417</v>
      </c>
      <c r="F319" s="3" t="s">
        <v>2510</v>
      </c>
      <c r="G319" s="3" t="s">
        <v>3403</v>
      </c>
      <c r="H319" s="3" t="str">
        <f>HYPERLINK("http://www.jccm.es/sede/tramite/L5L","AUTORIZACION DE INSTRUMENTOS DE GESTION FORESTAL  SOSTENIBLE")</f>
        <v>AUTORIZACION DE INSTRUMENTOS DE GESTION FORESTAL  SOSTENIBLE</v>
      </c>
      <c r="I319" s="3" t="s">
        <v>42</v>
      </c>
      <c r="J319" s="3" t="s">
        <v>41</v>
      </c>
      <c r="K319" s="3" t="s">
        <v>42</v>
      </c>
      <c r="L319" s="3" t="s">
        <v>41</v>
      </c>
    </row>
    <row r="320" spans="1:12" ht="69">
      <c r="A320" s="3" t="s">
        <v>3404</v>
      </c>
      <c r="B320" s="3" t="s">
        <v>3405</v>
      </c>
      <c r="C320" s="3" t="s">
        <v>95</v>
      </c>
      <c r="D320" s="3" t="s">
        <v>95</v>
      </c>
      <c r="E320" s="3" t="s">
        <v>2417</v>
      </c>
      <c r="F320" s="3" t="s">
        <v>2418</v>
      </c>
      <c r="G320" s="3" t="s">
        <v>3406</v>
      </c>
      <c r="H320" s="3" t="str">
        <f>HYPERLINK("http://www.jccm.es/sede/tramite/LCU","ACTUALIZACION DEL INVENTARIO DE LINEAS ELECTRICAS DE ALTA TENSION EN ZONAS DE PROTECCION QUE NO SE AJUSTAN AL REAL DECRETO 1432/2008")</f>
        <v>ACTUALIZACION DEL INVENTARIO DE LINEAS ELECTRICAS DE ALTA TENSION EN ZONAS DE PROTECCION QUE NO SE AJUSTAN AL REAL DECRETO 1432/2008</v>
      </c>
      <c r="I320" s="3" t="s">
        <v>42</v>
      </c>
      <c r="J320" s="3" t="s">
        <v>41</v>
      </c>
      <c r="K320" s="3" t="s">
        <v>42</v>
      </c>
      <c r="L320" s="3" t="s">
        <v>41</v>
      </c>
    </row>
    <row r="321" spans="1:12" ht="149.44999999999999">
      <c r="A321" s="3" t="s">
        <v>3407</v>
      </c>
      <c r="B321" s="3" t="s">
        <v>3408</v>
      </c>
      <c r="C321" s="3" t="s">
        <v>3409</v>
      </c>
      <c r="D321" s="3" t="s">
        <v>95</v>
      </c>
      <c r="E321" s="3" t="s">
        <v>2417</v>
      </c>
      <c r="F321" s="3" t="s">
        <v>2418</v>
      </c>
      <c r="G321" s="3" t="s">
        <v>3410</v>
      </c>
      <c r="H321" s="3" t="str">
        <f>HYPERLINK("http://www.jccm.es/sede/tramite/LD4","SOLICITUD DE INFORME FAVORABLE DE PLANES DE INVERSION DE EMPRESAS DISTRIBUIDORAS DE ENERGIA ELECTRICA")</f>
        <v>SOLICITUD DE INFORME FAVORABLE DE PLANES DE INVERSION DE EMPRESAS DISTRIBUIDORAS DE ENERGIA ELECTRICA</v>
      </c>
      <c r="I321" s="3" t="s">
        <v>41</v>
      </c>
      <c r="J321" s="3" t="s">
        <v>41</v>
      </c>
      <c r="K321" s="3" t="s">
        <v>42</v>
      </c>
      <c r="L321" s="3" t="s">
        <v>41</v>
      </c>
    </row>
    <row r="322" spans="1:12" ht="57.6">
      <c r="A322" s="3" t="s">
        <v>3411</v>
      </c>
      <c r="B322" s="3" t="s">
        <v>3412</v>
      </c>
      <c r="C322" s="3" t="s">
        <v>70</v>
      </c>
      <c r="D322" s="3" t="s">
        <v>46</v>
      </c>
      <c r="E322" s="3" t="s">
        <v>2417</v>
      </c>
      <c r="F322" s="3" t="s">
        <v>2510</v>
      </c>
      <c r="G322" s="3" t="s">
        <v>3413</v>
      </c>
      <c r="H322" s="3" t="str">
        <f>HYPERLINK("http://www.jccm.es/sede/tramite/LNS","DESIGNACION COMO VOCAL DEL CONSEJO PROVINCIAL DE CAZA DE GUADALAJARA")</f>
        <v>DESIGNACION COMO VOCAL DEL CONSEJO PROVINCIAL DE CAZA DE GUADALAJARA</v>
      </c>
      <c r="I322" s="3" t="s">
        <v>42</v>
      </c>
      <c r="J322" s="3" t="s">
        <v>41</v>
      </c>
      <c r="K322" s="3" t="s">
        <v>42</v>
      </c>
      <c r="L322" s="3" t="s">
        <v>41</v>
      </c>
    </row>
    <row r="323" spans="1:12" ht="80.45">
      <c r="A323" s="3" t="s">
        <v>3414</v>
      </c>
      <c r="B323" s="3" t="s">
        <v>3415</v>
      </c>
      <c r="C323" s="3" t="s">
        <v>95</v>
      </c>
      <c r="D323" s="3" t="s">
        <v>95</v>
      </c>
      <c r="E323" s="3" t="s">
        <v>2417</v>
      </c>
      <c r="F323" s="3" t="s">
        <v>2836</v>
      </c>
      <c r="G323" s="3" t="s">
        <v>3416</v>
      </c>
      <c r="H323" s="3" t="str">
        <f>HYPERLINK("http://www.jccm.es/sede/tramite/LOJ","BONO SOCIAL TERMICO. APORTACION DE DATOS PARA EL ABONO DEL BONO SOCIAL TERMICO O RENUNCIA A LA CONDICION DE PERSONA BENEFICIARIA DEL BONO SOCIAL TERMICO")</f>
        <v>BONO SOCIAL TERMICO. APORTACION DE DATOS PARA EL ABONO DEL BONO SOCIAL TERMICO O RENUNCIA A LA CONDICION DE PERSONA BENEFICIARIA DEL BONO SOCIAL TERMICO</v>
      </c>
      <c r="I323" s="3" t="s">
        <v>42</v>
      </c>
      <c r="J323" s="3" t="s">
        <v>41</v>
      </c>
      <c r="K323" s="3" t="s">
        <v>42</v>
      </c>
      <c r="L323" s="3" t="s">
        <v>41</v>
      </c>
    </row>
    <row r="324" spans="1:12" ht="45.95">
      <c r="A324" s="3" t="s">
        <v>3417</v>
      </c>
      <c r="B324" s="3" t="s">
        <v>3418</v>
      </c>
      <c r="C324" s="3" t="s">
        <v>45</v>
      </c>
      <c r="D324" s="3" t="s">
        <v>37</v>
      </c>
      <c r="E324" s="3" t="s">
        <v>2417</v>
      </c>
      <c r="F324" s="3" t="s">
        <v>2418</v>
      </c>
      <c r="G324" s="3" t="s">
        <v>3419</v>
      </c>
      <c r="H324" s="3" t="str">
        <f>HYPERLINK("http://www.jccm.es/sede/tramite/LQD","OBTENCION O RENOVACION DEL CERTIFICADO DE APTITUD DE PERSONA OPERADORA DE MAQUINARIA MOVIL MINERA")</f>
        <v>OBTENCION O RENOVACION DEL CERTIFICADO DE APTITUD DE PERSONA OPERADORA DE MAQUINARIA MOVIL MINERA</v>
      </c>
      <c r="I324" s="3" t="s">
        <v>42</v>
      </c>
      <c r="J324" s="3" t="s">
        <v>41</v>
      </c>
      <c r="K324" s="3" t="s">
        <v>42</v>
      </c>
      <c r="L324" s="3" t="s">
        <v>41</v>
      </c>
    </row>
    <row r="325" spans="1:12" ht="45.95">
      <c r="A325" s="3" t="s">
        <v>3420</v>
      </c>
      <c r="B325" s="3" t="s">
        <v>3421</v>
      </c>
      <c r="C325" s="3" t="s">
        <v>45</v>
      </c>
      <c r="D325" s="3" t="s">
        <v>46</v>
      </c>
      <c r="E325" s="3" t="s">
        <v>2417</v>
      </c>
      <c r="F325" s="3" t="s">
        <v>2417</v>
      </c>
      <c r="G325" s="3" t="s">
        <v>3422</v>
      </c>
      <c r="H325" s="3" t="str">
        <f>HYPERLINK("http://www.jccm.es/sede/tramite/LRL","PRUEBAS DE CONOCIMIENTOS ESPECIFICOS PARA OBTENER LA ACREDITACION DE VIGILANTE DE PESCA")</f>
        <v>PRUEBAS DE CONOCIMIENTOS ESPECIFICOS PARA OBTENER LA ACREDITACION DE VIGILANTE DE PESCA</v>
      </c>
      <c r="I325" s="3" t="s">
        <v>42</v>
      </c>
      <c r="J325" s="3" t="s">
        <v>41</v>
      </c>
      <c r="K325" s="3" t="s">
        <v>42</v>
      </c>
      <c r="L325" s="3" t="s">
        <v>41</v>
      </c>
    </row>
    <row r="326" spans="1:12" ht="69">
      <c r="A326" s="3" t="s">
        <v>3423</v>
      </c>
      <c r="B326" s="3" t="s">
        <v>3424</v>
      </c>
      <c r="C326" s="3" t="s">
        <v>3425</v>
      </c>
      <c r="D326" s="3" t="s">
        <v>37</v>
      </c>
      <c r="E326" s="3" t="s">
        <v>2417</v>
      </c>
      <c r="F326" s="3" t="s">
        <v>2604</v>
      </c>
      <c r="G326" s="3" t="s">
        <v>3426</v>
      </c>
      <c r="H326" s="3" t="str">
        <f>HYPERLINK("http://www.jccm.es/sede/tramite/JQU","APROBACION DE PLANES TERRITORIALES PARA EL DESPLIEGUE DE REDES E INSTALACIONES DE RADIOCOMUNICACION DE OPERADORES.")</f>
        <v>APROBACION DE PLANES TERRITORIALES PARA EL DESPLIEGUE DE REDES E INSTALACIONES DE RADIOCOMUNICACION DE OPERADORES.</v>
      </c>
      <c r="I326" s="3" t="s">
        <v>41</v>
      </c>
      <c r="J326" s="3" t="s">
        <v>41</v>
      </c>
      <c r="K326" s="3" t="s">
        <v>42</v>
      </c>
      <c r="L326" s="3" t="s">
        <v>41</v>
      </c>
    </row>
    <row r="327" spans="1:12" ht="80.45">
      <c r="A327" s="3" t="s">
        <v>3427</v>
      </c>
      <c r="B327" s="3" t="s">
        <v>3428</v>
      </c>
      <c r="C327" s="3" t="s">
        <v>3425</v>
      </c>
      <c r="D327" s="3" t="s">
        <v>37</v>
      </c>
      <c r="E327" s="3" t="s">
        <v>2417</v>
      </c>
      <c r="F327" s="3" t="s">
        <v>2604</v>
      </c>
      <c r="G327" s="3" t="s">
        <v>3429</v>
      </c>
      <c r="H327" s="3" t="str">
        <f>HYPERLINK("http://www.jccm.es/sede/tramite/JQV","COMUNICACION DE MODIFICACION DE PLANES TERRITORIALES PARA EL DESPLIEGUE DE REDES E INSTALACIONES DE RADIOCOMUNICACION DE OPERADORES.")</f>
        <v>COMUNICACION DE MODIFICACION DE PLANES TERRITORIALES PARA EL DESPLIEGUE DE REDES E INSTALACIONES DE RADIOCOMUNICACION DE OPERADORES.</v>
      </c>
      <c r="I327" s="3" t="s">
        <v>41</v>
      </c>
      <c r="J327" s="3" t="s">
        <v>41</v>
      </c>
      <c r="K327" s="3" t="s">
        <v>42</v>
      </c>
      <c r="L327" s="3" t="s">
        <v>41</v>
      </c>
    </row>
    <row r="328" spans="1:12" ht="57.6">
      <c r="A328" s="3" t="s">
        <v>3430</v>
      </c>
      <c r="B328" s="3" t="s">
        <v>3431</v>
      </c>
      <c r="C328" s="3" t="s">
        <v>70</v>
      </c>
      <c r="D328" s="3" t="s">
        <v>46</v>
      </c>
      <c r="E328" s="3" t="s">
        <v>2417</v>
      </c>
      <c r="F328" s="3" t="s">
        <v>2510</v>
      </c>
      <c r="G328" s="3" t="s">
        <v>3432</v>
      </c>
      <c r="H328" s="3" t="str">
        <f>HYPERLINK("http://www.jccm.es/sede/tramite/A82","SOLICITUD DE CONSTITUCION DE COTO DE CAZA O ZONA COLECTIVA DE CAZA.")</f>
        <v>SOLICITUD DE CONSTITUCION DE COTO DE CAZA O ZONA COLECTIVA DE CAZA.</v>
      </c>
      <c r="I328" s="3" t="s">
        <v>41</v>
      </c>
      <c r="J328" s="3" t="s">
        <v>41</v>
      </c>
      <c r="K328" s="3" t="s">
        <v>42</v>
      </c>
      <c r="L328" s="3" t="s">
        <v>42</v>
      </c>
    </row>
    <row r="329" spans="1:12" ht="57.6">
      <c r="A329" s="3" t="s">
        <v>3433</v>
      </c>
      <c r="B329" s="3" t="s">
        <v>3434</v>
      </c>
      <c r="C329" s="3" t="s">
        <v>70</v>
      </c>
      <c r="D329" s="3" t="s">
        <v>46</v>
      </c>
      <c r="E329" s="3" t="s">
        <v>2417</v>
      </c>
      <c r="F329" s="3" t="s">
        <v>2510</v>
      </c>
      <c r="G329" s="3" t="s">
        <v>3435</v>
      </c>
      <c r="H329" s="3" t="str">
        <f>HYPERLINK("http://www.jccm.es/sede/tramite/KT8","SOLICITUD DE MODIFICACION DE COTO DE CAZA O ZONA COLECTIVA DE CAZA.")</f>
        <v>SOLICITUD DE MODIFICACION DE COTO DE CAZA O ZONA COLECTIVA DE CAZA.</v>
      </c>
      <c r="I329" s="3" t="s">
        <v>41</v>
      </c>
      <c r="J329" s="3" t="s">
        <v>41</v>
      </c>
      <c r="K329" s="3" t="s">
        <v>42</v>
      </c>
      <c r="L329" s="3" t="s">
        <v>41</v>
      </c>
    </row>
    <row r="330" spans="1:12" ht="57.6">
      <c r="A330" s="3" t="s">
        <v>3436</v>
      </c>
      <c r="B330" s="3" t="s">
        <v>3437</v>
      </c>
      <c r="C330" s="3" t="s">
        <v>70</v>
      </c>
      <c r="D330" s="3" t="s">
        <v>46</v>
      </c>
      <c r="E330" s="3" t="s">
        <v>2417</v>
      </c>
      <c r="F330" s="3" t="s">
        <v>2510</v>
      </c>
      <c r="G330" s="3" t="s">
        <v>3438</v>
      </c>
      <c r="H330" s="3" t="str">
        <f>HYPERLINK("http://www.jccm.es/sede/tramite/KT7","SOLICITUD DE CAMBIO DE TITULAR DE COTO DE CAZA O ZONA COLECTIVA DE CAZA")</f>
        <v>SOLICITUD DE CAMBIO DE TITULAR DE COTO DE CAZA O ZONA COLECTIVA DE CAZA</v>
      </c>
      <c r="I330" s="3" t="s">
        <v>41</v>
      </c>
      <c r="J330" s="3" t="s">
        <v>41</v>
      </c>
      <c r="K330" s="3" t="s">
        <v>42</v>
      </c>
      <c r="L330" s="3" t="s">
        <v>41</v>
      </c>
    </row>
    <row r="331" spans="1:12" ht="80.45">
      <c r="A331" s="3" t="s">
        <v>3439</v>
      </c>
      <c r="B331" s="3" t="s">
        <v>3440</v>
      </c>
      <c r="C331" s="3" t="s">
        <v>45</v>
      </c>
      <c r="D331" s="3" t="s">
        <v>46</v>
      </c>
      <c r="E331" s="3" t="s">
        <v>2417</v>
      </c>
      <c r="F331" s="3" t="s">
        <v>2510</v>
      </c>
      <c r="G331" s="3" t="s">
        <v>3441</v>
      </c>
      <c r="H331" s="3" t="str">
        <f>HYPERLINK("http://www.jccm.es/sede/tramite/K8Q","DECLARACION PARA OBTENER LA CUALIFICACION DE ESPECIALISTA ACREDITADO/A PARA LA UTILIZACION DE METODOS DE CAPTURA DE DEPREDADORES EN CASTILLA-LA MANCHA")</f>
        <v>DECLARACION PARA OBTENER LA CUALIFICACION DE ESPECIALISTA ACREDITADO/A PARA LA UTILIZACION DE METODOS DE CAPTURA DE DEPREDADORES EN CASTILLA-LA MANCHA</v>
      </c>
      <c r="I331" s="3" t="s">
        <v>42</v>
      </c>
      <c r="J331" s="3" t="s">
        <v>41</v>
      </c>
      <c r="K331" s="3" t="s">
        <v>42</v>
      </c>
      <c r="L331" s="3" t="s">
        <v>41</v>
      </c>
    </row>
    <row r="332" spans="1:12" ht="80.45">
      <c r="A332" s="3" t="s">
        <v>3442</v>
      </c>
      <c r="B332" s="3" t="s">
        <v>3443</v>
      </c>
      <c r="C332" s="3" t="s">
        <v>45</v>
      </c>
      <c r="D332" s="3" t="s">
        <v>46</v>
      </c>
      <c r="E332" s="3" t="s">
        <v>2417</v>
      </c>
      <c r="F332" s="3" t="s">
        <v>2510</v>
      </c>
      <c r="G332" s="3" t="s">
        <v>3444</v>
      </c>
      <c r="H332" s="3" t="str">
        <f>HYPERLINK("http://www.jccm.es/sede/tramite/K8P","PRUEBAS DE CONOCIMIENTOS ESPECIFICOS PARA ACCEDER A LA CUALIFICACION DE ESPECIALISTA ACREDITADO/A PARA EL USO DE METODOS HOMOLOGADOS DE CAPTURA DE DEPREDADORES")</f>
        <v>PRUEBAS DE CONOCIMIENTOS ESPECIFICOS PARA ACCEDER A LA CUALIFICACION DE ESPECIALISTA ACREDITADO/A PARA EL USO DE METODOS HOMOLOGADOS DE CAPTURA DE DEPREDADORES</v>
      </c>
      <c r="I332" s="3" t="s">
        <v>42</v>
      </c>
      <c r="J332" s="3" t="s">
        <v>41</v>
      </c>
      <c r="K332" s="3" t="s">
        <v>42</v>
      </c>
      <c r="L332" s="3" t="s">
        <v>41</v>
      </c>
    </row>
    <row r="333" spans="1:12" ht="92.1">
      <c r="A333" s="3" t="s">
        <v>3445</v>
      </c>
      <c r="B333" s="3" t="s">
        <v>3446</v>
      </c>
      <c r="C333" s="3" t="s">
        <v>45</v>
      </c>
      <c r="D333" s="3" t="s">
        <v>46</v>
      </c>
      <c r="E333" s="3" t="s">
        <v>2417</v>
      </c>
      <c r="F333" s="3" t="s">
        <v>2418</v>
      </c>
      <c r="G333" s="3" t="s">
        <v>3447</v>
      </c>
      <c r="H333" s="3" t="str">
        <f>HYPERLINK("http://www.jccm.es/sede/tramite/LR5","EXPROPIACION FORZOSA PARA EL ESTABLECIMIENTO DE INSTALACIONES Y LA IMPOSICION DE SERVIDUMBRES DE PASO POR INSTALACIONES ENERGETICAS DECLARADAS DE UTILIDAD PUBLICA")</f>
        <v>EXPROPIACION FORZOSA PARA EL ESTABLECIMIENTO DE INSTALACIONES Y LA IMPOSICION DE SERVIDUMBRES DE PASO POR INSTALACIONES ENERGETICAS DECLARADAS DE UTILIDAD PUBLICA</v>
      </c>
      <c r="I333" s="3" t="s">
        <v>42</v>
      </c>
      <c r="J333" s="3" t="s">
        <v>41</v>
      </c>
      <c r="K333" s="3" t="s">
        <v>42</v>
      </c>
      <c r="L333" s="3" t="s">
        <v>41</v>
      </c>
    </row>
    <row r="334" spans="1:12" ht="45.95">
      <c r="A334" s="3" t="s">
        <v>3448</v>
      </c>
      <c r="B334" s="3" t="s">
        <v>3449</v>
      </c>
      <c r="C334" s="3" t="s">
        <v>3450</v>
      </c>
      <c r="D334" s="3" t="s">
        <v>1368</v>
      </c>
      <c r="E334" s="3" t="s">
        <v>2417</v>
      </c>
      <c r="F334" s="3" t="s">
        <v>2417</v>
      </c>
      <c r="G334" s="3" t="s">
        <v>3451</v>
      </c>
      <c r="H334" s="3" t="str">
        <f>HYPERLINK("http://www.jccm.es/sede/tramite/LE6","PRESENTACION DE ALEGACIONES AL PROCEDIMIENTO SANCIONADOR DE LA CONSEJERIA DE DESARROLLO SOSTENIBLE")</f>
        <v>PRESENTACION DE ALEGACIONES AL PROCEDIMIENTO SANCIONADOR DE LA CONSEJERIA DE DESARROLLO SOSTENIBLE</v>
      </c>
      <c r="I334" s="3" t="s">
        <v>42</v>
      </c>
      <c r="J334" s="3" t="s">
        <v>41</v>
      </c>
      <c r="K334" s="3" t="s">
        <v>42</v>
      </c>
      <c r="L334" s="3" t="s">
        <v>41</v>
      </c>
    </row>
    <row r="335" spans="1:12" ht="45.95">
      <c r="A335" s="3" t="s">
        <v>3452</v>
      </c>
      <c r="B335" s="3" t="s">
        <v>3453</v>
      </c>
      <c r="C335" s="3" t="s">
        <v>3450</v>
      </c>
      <c r="D335" s="3" t="s">
        <v>1368</v>
      </c>
      <c r="E335" s="3" t="s">
        <v>2417</v>
      </c>
      <c r="F335" s="3" t="s">
        <v>2836</v>
      </c>
      <c r="G335" s="3" t="s">
        <v>3454</v>
      </c>
      <c r="H335" s="3" t="str">
        <f>HYPERLINK("http://www.jccm.es/sede/tramite/LHP","ACTUACIONES DE INSPECCION Y CONTROL EN MATERIA DE CONSUMO")</f>
        <v>ACTUACIONES DE INSPECCION Y CONTROL EN MATERIA DE CONSUMO</v>
      </c>
      <c r="I335" s="3" t="s">
        <v>42</v>
      </c>
      <c r="J335" s="3" t="s">
        <v>41</v>
      </c>
      <c r="K335" s="3" t="s">
        <v>42</v>
      </c>
      <c r="L335" s="3" t="s">
        <v>41</v>
      </c>
    </row>
    <row r="336" spans="1:12" ht="45.95">
      <c r="A336" s="3" t="s">
        <v>3455</v>
      </c>
      <c r="B336" s="3" t="s">
        <v>3456</v>
      </c>
      <c r="C336" s="3" t="s">
        <v>327</v>
      </c>
      <c r="D336" s="3" t="s">
        <v>46</v>
      </c>
      <c r="E336" s="3" t="s">
        <v>2417</v>
      </c>
      <c r="F336" s="3" t="s">
        <v>2836</v>
      </c>
      <c r="G336" s="3" t="s">
        <v>3457</v>
      </c>
      <c r="H336" s="3" t="str">
        <f>HYPERLINK("http://www.jccm.es/sede/tramite/610","ADHESION AL SISTEMA ARBITRAL DE CONSUMO")</f>
        <v>ADHESION AL SISTEMA ARBITRAL DE CONSUMO</v>
      </c>
      <c r="I336" s="3" t="s">
        <v>42</v>
      </c>
      <c r="J336" s="3" t="s">
        <v>41</v>
      </c>
      <c r="K336" s="3" t="s">
        <v>42</v>
      </c>
      <c r="L336" s="3" t="s">
        <v>41</v>
      </c>
    </row>
    <row r="337" spans="1:12" ht="45.95">
      <c r="A337" s="3" t="s">
        <v>3458</v>
      </c>
      <c r="B337" s="3" t="s">
        <v>3459</v>
      </c>
      <c r="C337" s="3" t="s">
        <v>1401</v>
      </c>
      <c r="D337" s="3" t="s">
        <v>46</v>
      </c>
      <c r="E337" s="3" t="s">
        <v>2417</v>
      </c>
      <c r="F337" s="3" t="s">
        <v>2836</v>
      </c>
      <c r="G337" s="3" t="s">
        <v>3460</v>
      </c>
      <c r="H337" s="3" t="str">
        <f>HYPERLINK("http://www.jccm.es/sede/tramite/735","RESOLUCION ARBITRAL DE CONFLICTOS EN MATERIA DE CONSUMO")</f>
        <v>RESOLUCION ARBITRAL DE CONFLICTOS EN MATERIA DE CONSUMO</v>
      </c>
      <c r="I337" s="3" t="s">
        <v>42</v>
      </c>
      <c r="J337" s="3" t="s">
        <v>41</v>
      </c>
      <c r="K337" s="3" t="s">
        <v>42</v>
      </c>
      <c r="L337" s="3" t="s">
        <v>41</v>
      </c>
    </row>
    <row r="338" spans="1:12" ht="45.95">
      <c r="A338" s="3" t="s">
        <v>3461</v>
      </c>
      <c r="B338" s="3" t="s">
        <v>3462</v>
      </c>
      <c r="C338" s="3" t="s">
        <v>327</v>
      </c>
      <c r="D338" s="3" t="s">
        <v>46</v>
      </c>
      <c r="E338" s="3" t="s">
        <v>2417</v>
      </c>
      <c r="F338" s="3" t="s">
        <v>2836</v>
      </c>
      <c r="G338" s="3" t="s">
        <v>3463</v>
      </c>
      <c r="H338" s="3" t="str">
        <f>HYPERLINK("http://www.jccm.es/sede/tramite/LRI","RESOLUCION EXTRAJUDICIAL DE CONFLICTOS EN MATERIA DE TRANSPORTES TERRESTRES")</f>
        <v>RESOLUCION EXTRAJUDICIAL DE CONFLICTOS EN MATERIA DE TRANSPORTES TERRESTRES</v>
      </c>
      <c r="I338" s="3" t="s">
        <v>42</v>
      </c>
      <c r="J338" s="3" t="s">
        <v>41</v>
      </c>
      <c r="K338" s="3" t="s">
        <v>42</v>
      </c>
      <c r="L338" s="3" t="s">
        <v>41</v>
      </c>
    </row>
    <row r="339" spans="1:12" ht="45.95">
      <c r="A339" s="3" t="s">
        <v>3464</v>
      </c>
      <c r="B339" s="3" t="s">
        <v>3465</v>
      </c>
      <c r="C339" s="3" t="s">
        <v>45</v>
      </c>
      <c r="D339" s="3" t="s">
        <v>46</v>
      </c>
      <c r="E339" s="3" t="s">
        <v>2417</v>
      </c>
      <c r="F339" s="3" t="s">
        <v>2836</v>
      </c>
      <c r="G339" s="3" t="s">
        <v>3466</v>
      </c>
      <c r="H339" s="3" t="str">
        <f>HYPERLINK("http://www.jccm.es/sede/tramite/653","HOJAS DE RECLAMACIONES DE ESTABLECIMIENTOS O CENTROS")</f>
        <v>HOJAS DE RECLAMACIONES DE ESTABLECIMIENTOS O CENTROS</v>
      </c>
      <c r="I339" s="3" t="s">
        <v>42</v>
      </c>
      <c r="J339" s="3" t="s">
        <v>41</v>
      </c>
      <c r="K339" s="3" t="s">
        <v>42</v>
      </c>
      <c r="L339" s="3" t="s">
        <v>42</v>
      </c>
    </row>
    <row r="340" spans="1:12" ht="45.95">
      <c r="A340" s="3" t="s">
        <v>3467</v>
      </c>
      <c r="B340" s="3" t="s">
        <v>3468</v>
      </c>
      <c r="C340" s="3" t="s">
        <v>95</v>
      </c>
      <c r="D340" s="3" t="s">
        <v>95</v>
      </c>
      <c r="E340" s="3" t="s">
        <v>2417</v>
      </c>
      <c r="F340" s="3" t="s">
        <v>2570</v>
      </c>
      <c r="G340" s="3" t="s">
        <v>3469</v>
      </c>
      <c r="H340" s="3" t="str">
        <f>HYPERLINK("http://www.jccm.es/sede/tramite/LEE","INFORMACION SOBRE EL SOMETIMIENTO AL PROCEDIMIENTO DE EVALUACION AMBIENTAL")</f>
        <v>INFORMACION SOBRE EL SOMETIMIENTO AL PROCEDIMIENTO DE EVALUACION AMBIENTAL</v>
      </c>
      <c r="I340" s="3" t="s">
        <v>42</v>
      </c>
      <c r="J340" s="3" t="s">
        <v>41</v>
      </c>
      <c r="K340" s="3" t="s">
        <v>42</v>
      </c>
      <c r="L340" s="3" t="s">
        <v>41</v>
      </c>
    </row>
    <row r="341" spans="1:12" ht="45.95">
      <c r="A341" s="3" t="s">
        <v>3470</v>
      </c>
      <c r="B341" s="3" t="s">
        <v>3471</v>
      </c>
      <c r="C341" s="3" t="s">
        <v>45</v>
      </c>
      <c r="D341" s="3" t="s">
        <v>46</v>
      </c>
      <c r="E341" s="3" t="s">
        <v>2417</v>
      </c>
      <c r="F341" s="3" t="s">
        <v>2836</v>
      </c>
      <c r="G341" s="3" t="s">
        <v>3472</v>
      </c>
      <c r="H341" s="3" t="str">
        <f>HYPERLINK("http://www.jccm.es/sede/tramite/LHU","CONSULTAS EN MATERIA DE CONSUMO")</f>
        <v>CONSULTAS EN MATERIA DE CONSUMO</v>
      </c>
      <c r="I341" s="3" t="s">
        <v>42</v>
      </c>
      <c r="J341" s="3" t="s">
        <v>41</v>
      </c>
      <c r="K341" s="3" t="s">
        <v>42</v>
      </c>
      <c r="L341" s="3" t="s">
        <v>41</v>
      </c>
    </row>
    <row r="342" spans="1:12" ht="45.95">
      <c r="A342" s="3" t="s">
        <v>3473</v>
      </c>
      <c r="B342" s="3" t="s">
        <v>3474</v>
      </c>
      <c r="C342" s="3" t="s">
        <v>45</v>
      </c>
      <c r="D342" s="3" t="s">
        <v>46</v>
      </c>
      <c r="E342" s="3" t="s">
        <v>2417</v>
      </c>
      <c r="F342" s="3" t="s">
        <v>2836</v>
      </c>
      <c r="G342" s="3" t="s">
        <v>3475</v>
      </c>
      <c r="H342" s="3" t="str">
        <f>HYPERLINK("http://www.jccm.es/sede/tramite/LHV","QUEJAS, RECLAMACIONES Y DENUNCIAS EN MATERIA DE CONSUMO")</f>
        <v>QUEJAS, RECLAMACIONES Y DENUNCIAS EN MATERIA DE CONSUMO</v>
      </c>
      <c r="I342" s="3" t="s">
        <v>42</v>
      </c>
      <c r="J342" s="3" t="s">
        <v>41</v>
      </c>
      <c r="K342" s="3" t="s">
        <v>42</v>
      </c>
      <c r="L342" s="3" t="s">
        <v>41</v>
      </c>
    </row>
    <row r="343" spans="1:12" ht="69">
      <c r="A343" s="3" t="s">
        <v>3476</v>
      </c>
      <c r="B343" s="3" t="s">
        <v>3477</v>
      </c>
      <c r="C343" s="3" t="s">
        <v>1571</v>
      </c>
      <c r="D343" s="3" t="s">
        <v>46</v>
      </c>
      <c r="E343" s="3" t="s">
        <v>2417</v>
      </c>
      <c r="F343" s="3" t="s">
        <v>3478</v>
      </c>
      <c r="G343" s="3" t="s">
        <v>3479</v>
      </c>
      <c r="H343" s="3" t="str">
        <f>HYPERLINK("http://www.jccm.es/sede/tramite/L5Z","CONVOCATORIA  PROCESO  SELECTIVO PARA EL INGRESO POR EL SISTEMA GENERAL DE ACCESO LIBRE , EN EL CUERPO DE AGENTES  MEDIOAMBIENTALES.")</f>
        <v>CONVOCATORIA  PROCESO  SELECTIVO PARA EL INGRESO POR EL SISTEMA GENERAL DE ACCESO LIBRE , EN EL CUERPO DE AGENTES  MEDIOAMBIENTALES.</v>
      </c>
      <c r="I343" s="3" t="s">
        <v>42</v>
      </c>
      <c r="J343" s="3" t="s">
        <v>41</v>
      </c>
      <c r="K343" s="3" t="s">
        <v>42</v>
      </c>
      <c r="L343" s="3" t="s">
        <v>41</v>
      </c>
    </row>
    <row r="344" spans="1:12" ht="57.6">
      <c r="A344" s="3" t="s">
        <v>3480</v>
      </c>
      <c r="B344" s="3" t="s">
        <v>3481</v>
      </c>
      <c r="C344" s="3" t="s">
        <v>1571</v>
      </c>
      <c r="D344" s="3" t="s">
        <v>46</v>
      </c>
      <c r="E344" s="3" t="s">
        <v>2417</v>
      </c>
      <c r="F344" s="3" t="s">
        <v>3478</v>
      </c>
      <c r="G344" s="3" t="s">
        <v>3482</v>
      </c>
      <c r="H344" s="3" t="str">
        <f>HYPERLINK("http://www.jccm.es/sede/tramite/LHE","SOLICITUD DE DESTINO PARA EL INGRESO POR EL SISTEMA GENERAL DE ACCESO LIBRE EN EL CUERPO DE AGENTES MEDIOAMBIENTALES")</f>
        <v>SOLICITUD DE DESTINO PARA EL INGRESO POR EL SISTEMA GENERAL DE ACCESO LIBRE EN EL CUERPO DE AGENTES MEDIOAMBIENTALES</v>
      </c>
      <c r="I344" s="3" t="s">
        <v>41</v>
      </c>
      <c r="J344" s="3" t="s">
        <v>41</v>
      </c>
      <c r="K344" s="3" t="s">
        <v>42</v>
      </c>
      <c r="L344" s="3" t="s">
        <v>41</v>
      </c>
    </row>
    <row r="345" spans="1:12" ht="57.6">
      <c r="A345" s="3" t="s">
        <v>3483</v>
      </c>
      <c r="B345" s="3" t="s">
        <v>3484</v>
      </c>
      <c r="C345" s="3" t="s">
        <v>3485</v>
      </c>
      <c r="D345" s="3" t="s">
        <v>46</v>
      </c>
      <c r="E345" s="3" t="s">
        <v>2417</v>
      </c>
      <c r="F345" s="3" t="s">
        <v>3478</v>
      </c>
      <c r="G345" s="3" t="s">
        <v>3486</v>
      </c>
      <c r="H345" s="3" t="str">
        <f>HYPERLINK("http://www.jccm.es/sede/tramite/LF4","RECLAMACION DE RESPONSABILIDAD PATRIMONIAL DE LA CONSEJERIA DE DESARROLLO SOSTENIBLE")</f>
        <v>RECLAMACION DE RESPONSABILIDAD PATRIMONIAL DE LA CONSEJERIA DE DESARROLLO SOSTENIBLE</v>
      </c>
      <c r="I345" s="3" t="s">
        <v>42</v>
      </c>
      <c r="J345" s="3" t="s">
        <v>41</v>
      </c>
      <c r="K345" s="3" t="s">
        <v>42</v>
      </c>
      <c r="L345" s="3" t="s">
        <v>41</v>
      </c>
    </row>
    <row r="346" spans="1:12" ht="57.6">
      <c r="A346" s="3" t="s">
        <v>3487</v>
      </c>
      <c r="B346" s="3" t="s">
        <v>3488</v>
      </c>
      <c r="C346" s="3" t="s">
        <v>3489</v>
      </c>
      <c r="D346" s="3" t="s">
        <v>95</v>
      </c>
      <c r="E346" s="3" t="s">
        <v>2417</v>
      </c>
      <c r="F346" s="3" t="s">
        <v>2418</v>
      </c>
      <c r="G346" s="3" t="s">
        <v>3490</v>
      </c>
      <c r="H346" s="3" t="str">
        <f>HYPERLINK("http://www.jccm.es/sede/tramite/J9W","RECLAMACION DE CONTROVERSIAS ELECTRICAS")</f>
        <v>RECLAMACION DE CONTROVERSIAS ELECTRICAS</v>
      </c>
      <c r="I346" s="3" t="s">
        <v>42</v>
      </c>
      <c r="J346" s="3" t="s">
        <v>41</v>
      </c>
      <c r="K346" s="3" t="s">
        <v>42</v>
      </c>
      <c r="L346" s="3" t="s">
        <v>41</v>
      </c>
    </row>
    <row r="347" spans="1:12" ht="80.45">
      <c r="A347" s="3" t="s">
        <v>3491</v>
      </c>
      <c r="B347" s="3" t="s">
        <v>3492</v>
      </c>
      <c r="C347" s="3" t="s">
        <v>3493</v>
      </c>
      <c r="D347" s="3" t="s">
        <v>95</v>
      </c>
      <c r="E347" s="3" t="s">
        <v>2417</v>
      </c>
      <c r="F347" s="3" t="s">
        <v>2418</v>
      </c>
      <c r="G347" s="3" t="s">
        <v>3494</v>
      </c>
      <c r="H347" s="3" t="str">
        <f>HYPERLINK("http://www.jccm.es/sede/tramite/J9C","RECLAMACION DE CONTROVERSIAS GASISTICAS")</f>
        <v>RECLAMACION DE CONTROVERSIAS GASISTICAS</v>
      </c>
      <c r="I347" s="3" t="s">
        <v>42</v>
      </c>
      <c r="J347" s="3" t="s">
        <v>41</v>
      </c>
      <c r="K347" s="3" t="s">
        <v>42</v>
      </c>
      <c r="L347" s="3" t="s">
        <v>41</v>
      </c>
    </row>
    <row r="348" spans="1:12" ht="57.6">
      <c r="A348" s="3" t="s">
        <v>3495</v>
      </c>
      <c r="B348" s="3" t="s">
        <v>3496</v>
      </c>
      <c r="C348" s="3" t="s">
        <v>327</v>
      </c>
      <c r="D348" s="3" t="s">
        <v>46</v>
      </c>
      <c r="E348" s="3" t="s">
        <v>2417</v>
      </c>
      <c r="F348" s="3" t="s">
        <v>2510</v>
      </c>
      <c r="G348" s="3" t="s">
        <v>3497</v>
      </c>
      <c r="H348" s="3" t="str">
        <f>HYPERLINK("http://www.jccm.es/sede/tramite/JJS","REGIMEN A APLICAR A LOS CONSORCIOS Y CONVENIOS DE REPOBLACION FORESTAL")</f>
        <v>REGIMEN A APLICAR A LOS CONSORCIOS Y CONVENIOS DE REPOBLACION FORESTAL</v>
      </c>
      <c r="I348" s="3" t="s">
        <v>42</v>
      </c>
      <c r="J348" s="3" t="s">
        <v>41</v>
      </c>
      <c r="K348" s="3" t="s">
        <v>42</v>
      </c>
      <c r="L348" s="3" t="s">
        <v>41</v>
      </c>
    </row>
    <row r="349" spans="1:12" ht="57.6">
      <c r="A349" s="3" t="s">
        <v>3498</v>
      </c>
      <c r="B349" s="3" t="s">
        <v>3499</v>
      </c>
      <c r="C349" s="3" t="s">
        <v>459</v>
      </c>
      <c r="D349" s="3" t="s">
        <v>46</v>
      </c>
      <c r="E349" s="3" t="s">
        <v>2417</v>
      </c>
      <c r="F349" s="3" t="s">
        <v>2510</v>
      </c>
      <c r="G349" s="3" t="s">
        <v>3500</v>
      </c>
      <c r="H349" s="3" t="str">
        <f>HYPERLINK("http://www.jccm.es/sede/tramite/JYM","CONVENIO ENTIDADES COLABORADORAS PARA TRAMITAR LICENCIAS DE CAZA Y PESCA")</f>
        <v>CONVENIO ENTIDADES COLABORADORAS PARA TRAMITAR LICENCIAS DE CAZA Y PESCA</v>
      </c>
      <c r="I349" s="3" t="s">
        <v>41</v>
      </c>
      <c r="J349" s="3" t="s">
        <v>41</v>
      </c>
      <c r="K349" s="3" t="s">
        <v>42</v>
      </c>
      <c r="L349" s="3" t="s">
        <v>41</v>
      </c>
    </row>
    <row r="350" spans="1:12" ht="57.6">
      <c r="A350" s="3" t="s">
        <v>3501</v>
      </c>
      <c r="B350" s="3" t="s">
        <v>3502</v>
      </c>
      <c r="C350" s="3" t="s">
        <v>327</v>
      </c>
      <c r="D350" s="3" t="s">
        <v>46</v>
      </c>
      <c r="E350" s="3" t="s">
        <v>2417</v>
      </c>
      <c r="F350" s="3" t="s">
        <v>2510</v>
      </c>
      <c r="G350" s="3" t="s">
        <v>3503</v>
      </c>
      <c r="H350" s="3" t="str">
        <f>HYPERLINK("http://www.jccm.es/sede/tramite/JKU","MODIFICACION DE CARACTERISTICAS DE LOS CONSORCIOS Y CONVENIOS DE REPOBLACION FORESTAL")</f>
        <v>MODIFICACION DE CARACTERISTICAS DE LOS CONSORCIOS Y CONVENIOS DE REPOBLACION FORESTAL</v>
      </c>
      <c r="I350" s="3" t="s">
        <v>42</v>
      </c>
      <c r="J350" s="3" t="s">
        <v>41</v>
      </c>
      <c r="K350" s="3" t="s">
        <v>42</v>
      </c>
      <c r="L350" s="3" t="s">
        <v>41</v>
      </c>
    </row>
    <row r="351" spans="1:12" ht="45.95">
      <c r="A351" s="3" t="s">
        <v>3504</v>
      </c>
      <c r="B351" s="3" t="s">
        <v>3505</v>
      </c>
      <c r="C351" s="3" t="s">
        <v>45</v>
      </c>
      <c r="D351" s="3" t="s">
        <v>46</v>
      </c>
      <c r="E351" s="3" t="s">
        <v>2417</v>
      </c>
      <c r="F351" s="3" t="s">
        <v>2418</v>
      </c>
      <c r="G351" s="3" t="s">
        <v>3506</v>
      </c>
      <c r="H351" s="3" t="str">
        <f>HYPERLINK("http://www.jccm.es/sede/tramite/J9A","DEVOLUCION DE FIANZAS RELATIVAS A PARQUES EOLICOS")</f>
        <v>DEVOLUCION DE FIANZAS RELATIVAS A PARQUES EOLICOS</v>
      </c>
      <c r="I351" s="3" t="s">
        <v>42</v>
      </c>
      <c r="J351" s="3" t="s">
        <v>41</v>
      </c>
      <c r="K351" s="3" t="s">
        <v>42</v>
      </c>
      <c r="L351" s="3" t="s">
        <v>41</v>
      </c>
    </row>
    <row r="352" spans="1:12" ht="45.95">
      <c r="A352" s="3" t="s">
        <v>3507</v>
      </c>
      <c r="B352" s="3" t="s">
        <v>3508</v>
      </c>
      <c r="C352" s="3" t="s">
        <v>3509</v>
      </c>
      <c r="D352" s="3" t="s">
        <v>46</v>
      </c>
      <c r="E352" s="3" t="s">
        <v>2417</v>
      </c>
      <c r="F352" s="3" t="s">
        <v>2418</v>
      </c>
      <c r="G352" s="3" t="s">
        <v>3510</v>
      </c>
      <c r="H352" s="3" t="str">
        <f>HYPERLINK("http://www.jccm.es/sede/tramite/J9N","DEVOLUCION DE FIANZA O GARANTIA DEPOSITADA PARA LA EJECUCION DE INSTALACIONES GASISTAS")</f>
        <v>DEVOLUCION DE FIANZA O GARANTIA DEPOSITADA PARA LA EJECUCION DE INSTALACIONES GASISTAS</v>
      </c>
      <c r="I352" s="3" t="s">
        <v>41</v>
      </c>
      <c r="J352" s="3" t="s">
        <v>41</v>
      </c>
      <c r="K352" s="3" t="s">
        <v>42</v>
      </c>
      <c r="L352" s="3" t="s">
        <v>41</v>
      </c>
    </row>
    <row r="353" spans="1:12" ht="92.1">
      <c r="A353" s="3" t="s">
        <v>3511</v>
      </c>
      <c r="B353" s="3" t="s">
        <v>3512</v>
      </c>
      <c r="C353" s="3" t="s">
        <v>45</v>
      </c>
      <c r="D353" s="3" t="s">
        <v>46</v>
      </c>
      <c r="E353" s="3" t="s">
        <v>2417</v>
      </c>
      <c r="F353" s="3" t="s">
        <v>2418</v>
      </c>
      <c r="G353" s="3" t="s">
        <v>3513</v>
      </c>
      <c r="H353" s="3" t="str">
        <f>HYPERLINK("http://www.jccm.es/sede/tramite/J9V","DEVOLUCION DE GARANTIA DEPOSITADA PARA TRAMITAR LA SOLICITUD DE ACCESO A LA RED TRANSPORTE O DISTRIBUCION DE INSTALACIONES DE PRODUCCION DE ENERGIA ELECTRICA")</f>
        <v>DEVOLUCION DE GARANTIA DEPOSITADA PARA TRAMITAR LA SOLICITUD DE ACCESO A LA RED TRANSPORTE O DISTRIBUCION DE INSTALACIONES DE PRODUCCION DE ENERGIA ELECTRICA</v>
      </c>
      <c r="I353" s="3" t="s">
        <v>42</v>
      </c>
      <c r="J353" s="3" t="s">
        <v>41</v>
      </c>
      <c r="K353" s="3" t="s">
        <v>42</v>
      </c>
      <c r="L353" s="3" t="s">
        <v>41</v>
      </c>
    </row>
    <row r="354" spans="1:12" ht="103.5">
      <c r="A354" s="3" t="s">
        <v>3514</v>
      </c>
      <c r="B354" s="3" t="s">
        <v>3515</v>
      </c>
      <c r="C354" s="3" t="s">
        <v>45</v>
      </c>
      <c r="D354" s="3" t="s">
        <v>46</v>
      </c>
      <c r="E354" s="3" t="s">
        <v>2417</v>
      </c>
      <c r="F354" s="3" t="s">
        <v>2418</v>
      </c>
      <c r="G354" s="3" t="s">
        <v>3516</v>
      </c>
      <c r="H354" s="3" t="str">
        <f>HYPERLINK("http://www.jccm.es/sede/tramite/LG0","PRESENTACION DEL RESGUARDO DE DEPOSITO DE GARANTIA PARA TRAMITAR LA SOLICITUD DE ACCESO A LAS REDES DE TRANSPORTE O DISTRIBUCION DE INSTALACIONES DE PRODUCCION DE ENERGIA ELECTRICA.")</f>
        <v>PRESENTACION DEL RESGUARDO DE DEPOSITO DE GARANTIA PARA TRAMITAR LA SOLICITUD DE ACCESO A LAS REDES DE TRANSPORTE O DISTRIBUCION DE INSTALACIONES DE PRODUCCION DE ENERGIA ELECTRICA.</v>
      </c>
      <c r="I354" s="3" t="s">
        <v>42</v>
      </c>
      <c r="J354" s="3" t="s">
        <v>41</v>
      </c>
      <c r="K354" s="3" t="s">
        <v>42</v>
      </c>
      <c r="L354" s="3" t="s">
        <v>41</v>
      </c>
    </row>
    <row r="355" spans="1:12" ht="45.95">
      <c r="A355" s="3" t="s">
        <v>3517</v>
      </c>
      <c r="B355" s="3" t="s">
        <v>3518</v>
      </c>
      <c r="C355" s="3" t="s">
        <v>95</v>
      </c>
      <c r="D355" s="3" t="s">
        <v>95</v>
      </c>
      <c r="E355" s="3" t="s">
        <v>2417</v>
      </c>
      <c r="F355" s="3" t="s">
        <v>2418</v>
      </c>
      <c r="G355" s="3" t="s">
        <v>3519</v>
      </c>
      <c r="H355" s="3" t="str">
        <f>HYPERLINK("http://www.jccm.es/sede/tramite/JNB","DECLARACION ALTA, MODIFICACION, BAJA CANON EOLICO")</f>
        <v>DECLARACION ALTA, MODIFICACION, BAJA CANON EOLICO</v>
      </c>
      <c r="I355" s="3" t="s">
        <v>41</v>
      </c>
      <c r="J355" s="3" t="s">
        <v>41</v>
      </c>
      <c r="K355" s="3" t="s">
        <v>42</v>
      </c>
      <c r="L355" s="3" t="s">
        <v>41</v>
      </c>
    </row>
    <row r="356" spans="1:12" ht="45.95">
      <c r="A356" s="3" t="s">
        <v>3520</v>
      </c>
      <c r="B356" s="3" t="s">
        <v>3521</v>
      </c>
      <c r="C356" s="3" t="s">
        <v>95</v>
      </c>
      <c r="D356" s="3" t="s">
        <v>95</v>
      </c>
      <c r="E356" s="3" t="s">
        <v>2417</v>
      </c>
      <c r="F356" s="3" t="s">
        <v>2418</v>
      </c>
      <c r="G356" s="3" t="s">
        <v>3522</v>
      </c>
      <c r="H356" s="3" t="str">
        <f>HYPERLINK("http://www.jccm.es/sede/tramite/JPJ","AUTOLIQUIDACION CANON EOLICO")</f>
        <v>AUTOLIQUIDACION CANON EOLICO</v>
      </c>
      <c r="I356" s="3" t="s">
        <v>41</v>
      </c>
      <c r="J356" s="3" t="s">
        <v>41</v>
      </c>
      <c r="K356" s="3" t="s">
        <v>42</v>
      </c>
      <c r="L356" s="3" t="s">
        <v>41</v>
      </c>
    </row>
    <row r="357" spans="1:12" ht="103.5">
      <c r="A357" s="3" t="s">
        <v>3523</v>
      </c>
      <c r="B357" s="3" t="s">
        <v>3524</v>
      </c>
      <c r="C357" s="3" t="s">
        <v>36</v>
      </c>
      <c r="D357" s="3" t="s">
        <v>46</v>
      </c>
      <c r="E357" s="3" t="s">
        <v>2417</v>
      </c>
      <c r="F357" s="3" t="s">
        <v>3478</v>
      </c>
      <c r="G357" s="3" t="s">
        <v>3525</v>
      </c>
      <c r="H357" s="3" t="str">
        <f>HYPERLINK("http://www.jccm.es/sede/tramite/JWZ","CONCURSO SINGULARIZADO DE MERITOS PARA LA PROVISION DE PUESTOS DE TRABAJO, ADSCRITOS AL CUERPO DE AGENTES MEDIOAMBIENTALES, EN LA ADMINISTRACION DE LA JUNTA DE COMUNIDADES DE CASTILLA-LA MANCHA")</f>
        <v>CONCURSO SINGULARIZADO DE MERITOS PARA LA PROVISION DE PUESTOS DE TRABAJO, ADSCRITOS AL CUERPO DE AGENTES MEDIOAMBIENTALES, EN LA ADMINISTRACION DE LA JUNTA DE COMUNIDADES DE CASTILLA-LA MANCHA</v>
      </c>
      <c r="I357" s="3" t="s">
        <v>41</v>
      </c>
      <c r="J357" s="3" t="s">
        <v>41</v>
      </c>
      <c r="K357" s="3" t="s">
        <v>42</v>
      </c>
      <c r="L357" s="3" t="s">
        <v>41</v>
      </c>
    </row>
    <row r="358" spans="1:12" ht="92.1">
      <c r="A358" s="3" t="s">
        <v>3526</v>
      </c>
      <c r="B358" s="3" t="s">
        <v>3527</v>
      </c>
      <c r="C358" s="3" t="s">
        <v>192</v>
      </c>
      <c r="D358" s="3" t="s">
        <v>46</v>
      </c>
      <c r="E358" s="3" t="s">
        <v>2417</v>
      </c>
      <c r="F358" s="3" t="s">
        <v>3478</v>
      </c>
      <c r="G358" s="3" t="s">
        <v>3528</v>
      </c>
      <c r="H358" s="3" t="str">
        <f>HYPERLINK("http://www.jccm.es/sede/tramite/LCJ","SOLICITUD DE PARTICIPACION EN LA CONVOCATORIA DE LIBRE DESIGNACION (LD DS F2/2022)")</f>
        <v>SOLICITUD DE PARTICIPACION EN LA CONVOCATORIA DE LIBRE DESIGNACION (LD DS F2/2022)</v>
      </c>
      <c r="I358" s="3" t="s">
        <v>41</v>
      </c>
      <c r="J358" s="3" t="s">
        <v>41</v>
      </c>
      <c r="K358" s="3" t="s">
        <v>42</v>
      </c>
      <c r="L358" s="3" t="s">
        <v>41</v>
      </c>
    </row>
    <row r="359" spans="1:12" ht="103.5">
      <c r="A359" s="3" t="s">
        <v>3529</v>
      </c>
      <c r="B359" s="3" t="s">
        <v>3530</v>
      </c>
      <c r="C359" s="3" t="s">
        <v>3531</v>
      </c>
      <c r="D359" s="3" t="s">
        <v>46</v>
      </c>
      <c r="E359" s="3" t="s">
        <v>2417</v>
      </c>
      <c r="F359" s="3" t="s">
        <v>3478</v>
      </c>
      <c r="G359" s="3" t="s">
        <v>3532</v>
      </c>
      <c r="H359" s="3" t="str">
        <f>HYPERLINK("http://www.jccm.es/sede/tramite/LPX","CONCURSO GENERAL MERITOS AGENTES MEDIOAMBIENTALES")</f>
        <v>CONCURSO GENERAL MERITOS AGENTES MEDIOAMBIENTALES</v>
      </c>
      <c r="I359" s="3" t="s">
        <v>41</v>
      </c>
      <c r="J359" s="3" t="s">
        <v>41</v>
      </c>
      <c r="K359" s="3" t="s">
        <v>42</v>
      </c>
      <c r="L359" s="3" t="s">
        <v>41</v>
      </c>
    </row>
    <row r="360" spans="1:12" ht="92.1">
      <c r="A360" s="3" t="s">
        <v>3533</v>
      </c>
      <c r="B360" s="3" t="s">
        <v>3534</v>
      </c>
      <c r="C360" s="3" t="s">
        <v>3535</v>
      </c>
      <c r="D360" s="3" t="s">
        <v>46</v>
      </c>
      <c r="E360" s="3" t="s">
        <v>2417</v>
      </c>
      <c r="F360" s="3" t="s">
        <v>3478</v>
      </c>
      <c r="G360" s="3" t="s">
        <v>3536</v>
      </c>
      <c r="H360" s="3" t="str">
        <f>HYPERLINK("http://www.jccm.es/sede/tramite/LW0","CONCURSO SINGULARIZADO DE MERITOS (CSM DS 1/2022), PARA LA PROVISION DE PUESTOS DE TRABAJO VACANTES EN LA ADMINISTRACION DE LA JUNTA DE COMUNIDADES DE CASTILLA-LA MANCHA.")</f>
        <v>CONCURSO SINGULARIZADO DE MERITOS (CSM DS 1/2022), PARA LA PROVISION DE PUESTOS DE TRABAJO VACANTES EN LA ADMINISTRACION DE LA JUNTA DE COMUNIDADES DE CASTILLA-LA MANCHA.</v>
      </c>
      <c r="I360" s="3" t="s">
        <v>41</v>
      </c>
      <c r="J360" s="3" t="s">
        <v>41</v>
      </c>
      <c r="K360" s="3" t="s">
        <v>42</v>
      </c>
      <c r="L360" s="3" t="s">
        <v>41</v>
      </c>
    </row>
    <row r="361" spans="1:12" ht="57.6">
      <c r="A361" s="3" t="s">
        <v>3537</v>
      </c>
      <c r="B361" s="3" t="s">
        <v>3538</v>
      </c>
      <c r="C361" s="3" t="s">
        <v>2016</v>
      </c>
      <c r="D361" s="3" t="s">
        <v>46</v>
      </c>
      <c r="E361" s="3" t="s">
        <v>2417</v>
      </c>
      <c r="F361" s="3" t="s">
        <v>2510</v>
      </c>
      <c r="G361" s="3" t="s">
        <v>3539</v>
      </c>
      <c r="H361" s="3" t="str">
        <f>HYPERLINK("http://www.jccm.es/sede/tramite/JMP","PERMUTA DE MONTES DEMANIALES")</f>
        <v>PERMUTA DE MONTES DEMANIALES</v>
      </c>
      <c r="I361" s="3" t="s">
        <v>42</v>
      </c>
      <c r="J361" s="3" t="s">
        <v>41</v>
      </c>
      <c r="K361" s="3" t="s">
        <v>42</v>
      </c>
      <c r="L361" s="3" t="s">
        <v>41</v>
      </c>
    </row>
    <row r="362" spans="1:12" ht="92.1">
      <c r="A362" s="3" t="s">
        <v>3526</v>
      </c>
      <c r="B362" s="3" t="s">
        <v>3527</v>
      </c>
      <c r="C362" s="3" t="s">
        <v>192</v>
      </c>
      <c r="D362" s="3" t="s">
        <v>46</v>
      </c>
      <c r="E362" s="3" t="s">
        <v>2417</v>
      </c>
      <c r="F362" s="3" t="s">
        <v>3478</v>
      </c>
      <c r="G362" s="3" t="s">
        <v>3528</v>
      </c>
      <c r="H362" s="3" t="str">
        <f>HYPERLINK("http://www.jccm.es/sede/tramite/LCJ","SOLICITUD DE PARTICIPACION EN LA CONVOCATORIA DE LIBRE DESIGNACION (LD DS F2/2022)")</f>
        <v>SOLICITUD DE PARTICIPACION EN LA CONVOCATORIA DE LIBRE DESIGNACION (LD DS F2/2022)</v>
      </c>
      <c r="I362" s="3" t="s">
        <v>41</v>
      </c>
      <c r="J362" s="3" t="s">
        <v>41</v>
      </c>
      <c r="K362" s="3" t="s">
        <v>42</v>
      </c>
      <c r="L362" s="3" t="s">
        <v>41</v>
      </c>
    </row>
    <row r="363" spans="1:12" ht="103.5">
      <c r="A363" s="3" t="s">
        <v>3529</v>
      </c>
      <c r="B363" s="3" t="s">
        <v>3530</v>
      </c>
      <c r="C363" s="3" t="s">
        <v>3531</v>
      </c>
      <c r="D363" s="3" t="s">
        <v>46</v>
      </c>
      <c r="E363" s="3" t="s">
        <v>2417</v>
      </c>
      <c r="F363" s="3" t="s">
        <v>3478</v>
      </c>
      <c r="G363" s="3" t="s">
        <v>3532</v>
      </c>
      <c r="H363" s="3" t="str">
        <f>HYPERLINK("http://www.jccm.es/sede/tramite/LPX","CONCURSO GENERAL MERITOS AGENTES MEDIOAMBIENTALES")</f>
        <v>CONCURSO GENERAL MERITOS AGENTES MEDIOAMBIENTALES</v>
      </c>
      <c r="I363" s="3" t="s">
        <v>41</v>
      </c>
      <c r="J363" s="3" t="s">
        <v>41</v>
      </c>
      <c r="K363" s="3" t="s">
        <v>42</v>
      </c>
      <c r="L363" s="3" t="s">
        <v>41</v>
      </c>
    </row>
    <row r="364" spans="1:12" ht="92.1">
      <c r="A364" s="3" t="s">
        <v>3533</v>
      </c>
      <c r="B364" s="3" t="s">
        <v>3534</v>
      </c>
      <c r="C364" s="3" t="s">
        <v>36</v>
      </c>
      <c r="D364" s="3" t="s">
        <v>46</v>
      </c>
      <c r="E364" s="3" t="s">
        <v>2417</v>
      </c>
      <c r="F364" s="3" t="s">
        <v>3478</v>
      </c>
      <c r="G364" s="3" t="s">
        <v>3536</v>
      </c>
      <c r="H364" s="3" t="str">
        <f>HYPERLINK("http://www.jccm.es/sede/tramite/LW0","CONCURSO SINGULARIZADO DE MERITOS (CSM DS 1/2022), PARA LA PROVISION DE PUESTOS DE TRABAJO VACANTES EN LA ADMINISTRACION DE LA JUNTA DE COMUNIDADES DE CASTILLA-LA MANCHA.")</f>
        <v>CONCURSO SINGULARIZADO DE MERITOS (CSM DS 1/2022), PARA LA PROVISION DE PUESTOS DE TRABAJO VACANTES EN LA ADMINISTRACION DE LA JUNTA DE COMUNIDADES DE CASTILLA-LA MANCHA.</v>
      </c>
      <c r="I364" s="3" t="s">
        <v>41</v>
      </c>
      <c r="J364" s="3" t="s">
        <v>41</v>
      </c>
      <c r="K364" s="3" t="s">
        <v>42</v>
      </c>
      <c r="L364" s="3" t="s">
        <v>41</v>
      </c>
    </row>
    <row r="365" spans="1:12" ht="57.6">
      <c r="A365" s="3" t="s">
        <v>3537</v>
      </c>
      <c r="B365" s="3" t="s">
        <v>3538</v>
      </c>
      <c r="C365" s="3" t="s">
        <v>2016</v>
      </c>
      <c r="D365" s="3" t="s">
        <v>46</v>
      </c>
      <c r="E365" s="3" t="s">
        <v>2417</v>
      </c>
      <c r="F365" s="3" t="s">
        <v>2510</v>
      </c>
      <c r="G365" s="3" t="s">
        <v>3539</v>
      </c>
      <c r="H365" s="3" t="str">
        <f>HYPERLINK("http://www.jccm.es/sede/tramite/JMP","PERMUTA DE MONTES DEMANIALES")</f>
        <v>PERMUTA DE MONTES DEMANIALES</v>
      </c>
      <c r="I365" s="3" t="s">
        <v>42</v>
      </c>
      <c r="J365" s="3" t="s">
        <v>41</v>
      </c>
      <c r="K365" s="3" t="s">
        <v>42</v>
      </c>
      <c r="L365" s="3" t="s">
        <v>41</v>
      </c>
    </row>
    <row r="366" spans="1:12">
      <c r="A366" s="12"/>
      <c r="B366" s="12"/>
      <c r="C366" s="12"/>
      <c r="D366" s="12"/>
      <c r="E366" s="12"/>
      <c r="F366" s="12"/>
      <c r="G366" s="12"/>
      <c r="H366" s="12"/>
      <c r="I366" s="12"/>
      <c r="J366" s="12"/>
      <c r="K366" s="12"/>
      <c r="L366" s="12"/>
    </row>
  </sheetData>
  <printOptions horizontalCentered="1"/>
  <pageMargins left="0.39370078740157483" right="0.39370078740157483" top="0.74803149606299213" bottom="0.74803149606299213" header="0.31496062992125984" footer="0.31496062992125984"/>
  <pageSetup paperSize="9" scale="70" orientation="landscape" r:id="rId1"/>
  <headerFooter>
    <oddHeader>&amp;CConsejeria de Desarrollo Sostenible</oddHeader>
    <oddFooter>&amp;C&amp;P</oddFooter>
  </headerFooter>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5"/>
  <sheetViews>
    <sheetView workbookViewId="0">
      <selection activeCell="B2" sqref="B2"/>
    </sheetView>
  </sheetViews>
  <sheetFormatPr defaultColWidth="15.7109375" defaultRowHeight="60" customHeight="1"/>
  <cols>
    <col min="1" max="1" width="15.7109375" style="1" customWidth="1"/>
    <col min="2" max="2" width="34.28515625" style="1" customWidth="1"/>
    <col min="3" max="3" width="13.140625" style="1" customWidth="1"/>
    <col min="4" max="4" width="14.5703125" style="1" customWidth="1"/>
    <col min="5" max="5" width="20.140625" style="1" customWidth="1"/>
    <col min="6" max="6" width="15.7109375" style="1" customWidth="1"/>
    <col min="7" max="7" width="11.28515625" style="1" customWidth="1"/>
    <col min="8" max="8" width="27.42578125" style="1" customWidth="1"/>
    <col min="9" max="9" width="12.7109375" style="1" customWidth="1"/>
    <col min="10" max="10" width="8.7109375" style="1" customWidth="1"/>
    <col min="11" max="11" width="9" style="1" customWidth="1"/>
    <col min="12" max="12" width="7.85546875" style="1" customWidth="1"/>
    <col min="13" max="16384" width="15.7109375" style="1"/>
  </cols>
  <sheetData>
    <row r="1" spans="1:12" ht="60" customHeight="1">
      <c r="A1" s="2" t="s">
        <v>6750</v>
      </c>
      <c r="B1" s="2" t="s">
        <v>26</v>
      </c>
      <c r="C1" s="2" t="s">
        <v>27</v>
      </c>
      <c r="D1" s="2" t="s">
        <v>2</v>
      </c>
      <c r="E1" s="2" t="s">
        <v>6694</v>
      </c>
      <c r="F1" s="2" t="s">
        <v>3</v>
      </c>
      <c r="G1" s="2" t="s">
        <v>28</v>
      </c>
      <c r="H1" s="2" t="s">
        <v>29</v>
      </c>
      <c r="I1" s="2" t="s">
        <v>30</v>
      </c>
      <c r="J1" s="2" t="s">
        <v>31</v>
      </c>
      <c r="K1" s="2" t="s">
        <v>32</v>
      </c>
      <c r="L1" s="2" t="s">
        <v>33</v>
      </c>
    </row>
    <row r="2" spans="1:12" ht="93.75" customHeight="1">
      <c r="A2" s="3" t="s">
        <v>3540</v>
      </c>
      <c r="B2" s="3" t="s">
        <v>3541</v>
      </c>
      <c r="C2" s="3" t="s">
        <v>95</v>
      </c>
      <c r="D2" s="3" t="s">
        <v>95</v>
      </c>
      <c r="E2" s="3" t="s">
        <v>3542</v>
      </c>
      <c r="F2" s="3" t="s">
        <v>3542</v>
      </c>
      <c r="G2" s="3" t="s">
        <v>3543</v>
      </c>
      <c r="H2" s="3" t="str">
        <f>HYPERLINK("http://www.jccm.es/sede/tramite/LSP","SOLICITUD DE PAGO Y JUSTIFICACION DE LA AYUDA DE PROYECTOS RELATIVOS A LA MEJORA DEL ABASTECIMIENTO Y REDUCCION DE PERDIDAS EN REDES DE AGUA POTABLE MUNICIPIOS MENORES DE 20.000 HABITANTES PRTR")</f>
        <v>SOLICITUD DE PAGO Y JUSTIFICACION DE LA AYUDA DE PROYECTOS RELATIVOS A LA MEJORA DEL ABASTECIMIENTO Y REDUCCION DE PERDIDAS EN REDES DE AGUA POTABLE MUNICIPIOS MENORES DE 20.000 HABITANTES PRTR</v>
      </c>
      <c r="I2" s="3" t="s">
        <v>42</v>
      </c>
      <c r="J2" s="3" t="s">
        <v>41</v>
      </c>
      <c r="K2" s="3" t="s">
        <v>42</v>
      </c>
      <c r="L2" s="3" t="s">
        <v>41</v>
      </c>
    </row>
    <row r="3" spans="1:12" ht="60" customHeight="1">
      <c r="A3" s="3" t="s">
        <v>3544</v>
      </c>
      <c r="B3" s="3" t="s">
        <v>3545</v>
      </c>
      <c r="C3" s="3" t="s">
        <v>95</v>
      </c>
      <c r="D3" s="3" t="s">
        <v>95</v>
      </c>
      <c r="E3" s="3" t="s">
        <v>3542</v>
      </c>
      <c r="F3" s="3" t="s">
        <v>3542</v>
      </c>
      <c r="G3" s="3" t="s">
        <v>3546</v>
      </c>
      <c r="H3" s="3" t="str">
        <f>HYPERLINK("http://www.jccm.es/sede/tramite/LSO","SOLICITUD AYUDA PARA LA SELECCION Y EJECUCION DE PROYECTOS RELATIVOS A LA MEJORA DEL ABASTECIMIENTO Y REDUCCION DE PERDIDAS EN REDES DE AGUA POTABLE MUNICIPIOS MENORES DE 20.000 HABITANTES PRTR")</f>
        <v>SOLICITUD AYUDA PARA LA SELECCION Y EJECUCION DE PROYECTOS RELATIVOS A LA MEJORA DEL ABASTECIMIENTO Y REDUCCION DE PERDIDAS EN REDES DE AGUA POTABLE MUNICIPIOS MENORES DE 20.000 HABITANTES PRTR</v>
      </c>
      <c r="I3" s="3" t="s">
        <v>42</v>
      </c>
      <c r="J3" s="3" t="s">
        <v>41</v>
      </c>
      <c r="K3" s="3" t="s">
        <v>42</v>
      </c>
      <c r="L3" s="3" t="s">
        <v>41</v>
      </c>
    </row>
    <row r="4" spans="1:12" ht="60" customHeight="1">
      <c r="A4" s="3" t="s">
        <v>3547</v>
      </c>
      <c r="B4" s="3" t="s">
        <v>3548</v>
      </c>
      <c r="C4" s="3" t="s">
        <v>51</v>
      </c>
      <c r="D4" s="3" t="s">
        <v>46</v>
      </c>
      <c r="E4" s="3" t="s">
        <v>3542</v>
      </c>
      <c r="F4" s="3" t="s">
        <v>3542</v>
      </c>
      <c r="G4" s="3" t="s">
        <v>3549</v>
      </c>
      <c r="H4" s="3" t="str">
        <f>HYPERLINK("http://www.jccm.es/sede/tramite/LJ9","PROVISION, POR EL PROCEDIMIENTO DE LIBRE DESIGNACION DE PUESTOS DE TRABAJO VACANTES EN LA AGENCIA DEL AGUA DE CASTILLA-LA MANCHA")</f>
        <v>PROVISION, POR EL PROCEDIMIENTO DE LIBRE DESIGNACION DE PUESTOS DE TRABAJO VACANTES EN LA AGENCIA DEL AGUA DE CASTILLA-LA MANCHA</v>
      </c>
      <c r="I4" s="3" t="s">
        <v>41</v>
      </c>
      <c r="J4" s="3" t="s">
        <v>41</v>
      </c>
      <c r="K4" s="3" t="s">
        <v>42</v>
      </c>
      <c r="L4" s="3" t="s">
        <v>41</v>
      </c>
    </row>
    <row r="5" spans="1:12" ht="60" customHeight="1">
      <c r="A5" s="3" t="s">
        <v>3550</v>
      </c>
      <c r="B5" s="3" t="s">
        <v>3551</v>
      </c>
      <c r="C5" s="3" t="s">
        <v>442</v>
      </c>
      <c r="D5" s="3" t="s">
        <v>46</v>
      </c>
      <c r="E5" s="3" t="s">
        <v>3542</v>
      </c>
      <c r="F5" s="3" t="s">
        <v>3542</v>
      </c>
      <c r="G5" s="3" t="s">
        <v>3552</v>
      </c>
      <c r="H5" s="3" t="str">
        <f>HYPERLINK("http://www.jccm.es/sede/tramite/LU2","PROVISION, POR EL PROCEDIMIENTO DE LIBRE DESIGNACION,  DE PUESTO DE TRABAJO VACANTE EN LA ADMINISTRACION DE LA JUNTA DE COMUNIDADES DE CASTILLA-LA MANCHA.")</f>
        <v>PROVISION, POR EL PROCEDIMIENTO DE LIBRE DESIGNACION,  DE PUESTO DE TRABAJO VACANTE EN LA ADMINISTRACION DE LA JUNTA DE COMUNIDADES DE CASTILLA-LA MANCHA.</v>
      </c>
      <c r="I5" s="3" t="s">
        <v>41</v>
      </c>
      <c r="J5" s="3" t="s">
        <v>41</v>
      </c>
      <c r="K5" s="3" t="s">
        <v>42</v>
      </c>
      <c r="L5" s="3" t="s">
        <v>41</v>
      </c>
    </row>
  </sheetData>
  <pageMargins left="0.39370078740157483" right="0.39370078740157483" top="0.74803149606299213" bottom="0.74803149606299213" header="0.31496062992125984" footer="0.31496062992125984"/>
  <pageSetup paperSize="9" scale="75" orientation="landscape" r:id="rId1"/>
  <headerFooter>
    <oddHeader>&amp;CAgencia del Agua de Castilla-La Mancha</oddHeader>
    <oddFooter>&amp;C&amp;P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L330"/>
  <sheetViews>
    <sheetView zoomScaleNormal="100" workbookViewId="0">
      <selection activeCell="D3" sqref="D3"/>
    </sheetView>
  </sheetViews>
  <sheetFormatPr defaultColWidth="11.42578125" defaultRowHeight="11.45"/>
  <cols>
    <col min="1" max="1" width="16.28515625" style="1" customWidth="1"/>
    <col min="2" max="2" width="26.42578125" style="1" customWidth="1"/>
    <col min="3" max="3" width="18.5703125" style="1" customWidth="1"/>
    <col min="4" max="4" width="14.85546875" style="1" customWidth="1"/>
    <col min="5" max="5" width="20.85546875" style="1" customWidth="1"/>
    <col min="6" max="6" width="23.85546875" style="1" customWidth="1"/>
    <col min="7" max="7" width="11.140625" style="1" bestFit="1" customWidth="1"/>
    <col min="8" max="8" width="29" style="1" customWidth="1"/>
    <col min="9" max="9" width="11.28515625" style="1" bestFit="1" customWidth="1"/>
    <col min="10" max="10" width="4" style="1" bestFit="1" customWidth="1"/>
    <col min="11" max="11" width="7" style="1" bestFit="1" customWidth="1"/>
    <col min="12" max="12" width="5.5703125" style="1" bestFit="1" customWidth="1"/>
    <col min="13" max="16384" width="11.42578125" style="1"/>
  </cols>
  <sheetData>
    <row r="1" spans="1:12" ht="23.1">
      <c r="A1" s="2" t="s">
        <v>25</v>
      </c>
      <c r="B1" s="2" t="s">
        <v>26</v>
      </c>
      <c r="C1" s="2" t="s">
        <v>27</v>
      </c>
      <c r="D1" s="2" t="s">
        <v>2</v>
      </c>
      <c r="E1" s="2" t="s">
        <v>0</v>
      </c>
      <c r="F1" s="2" t="s">
        <v>3</v>
      </c>
      <c r="G1" s="2" t="s">
        <v>28</v>
      </c>
      <c r="H1" s="2" t="s">
        <v>29</v>
      </c>
      <c r="I1" s="2" t="s">
        <v>30</v>
      </c>
      <c r="J1" s="4" t="s">
        <v>31</v>
      </c>
      <c r="K1" s="2" t="s">
        <v>32</v>
      </c>
      <c r="L1" s="2" t="s">
        <v>33</v>
      </c>
    </row>
    <row r="2" spans="1:12" ht="57.6">
      <c r="A2" s="3" t="s">
        <v>3553</v>
      </c>
      <c r="B2" s="3" t="s">
        <v>3554</v>
      </c>
      <c r="C2" s="3" t="s">
        <v>45</v>
      </c>
      <c r="D2" s="3" t="s">
        <v>46</v>
      </c>
      <c r="E2" s="3" t="s">
        <v>3555</v>
      </c>
      <c r="F2" s="3" t="s">
        <v>3556</v>
      </c>
      <c r="G2" s="3" t="s">
        <v>3557</v>
      </c>
      <c r="H2" s="3" t="str">
        <f>HYPERLINK("http://www.jccm.es/sede/tramite/258","AUTORIZACION PARA SEGREGACION DE FINCAS RUSTICAS")</f>
        <v>AUTORIZACION PARA SEGREGACION DE FINCAS RUSTICAS</v>
      </c>
      <c r="I2" s="3" t="s">
        <v>42</v>
      </c>
      <c r="J2" s="3" t="s">
        <v>41</v>
      </c>
      <c r="K2" s="3" t="s">
        <v>42</v>
      </c>
      <c r="L2" s="3" t="s">
        <v>41</v>
      </c>
    </row>
    <row r="3" spans="1:12" ht="93" customHeight="1">
      <c r="A3" s="3" t="s">
        <v>3558</v>
      </c>
      <c r="B3" s="3" t="s">
        <v>3559</v>
      </c>
      <c r="C3" s="3" t="s">
        <v>45</v>
      </c>
      <c r="D3" s="3" t="s">
        <v>37</v>
      </c>
      <c r="E3" s="3" t="s">
        <v>3555</v>
      </c>
      <c r="F3" s="3" t="s">
        <v>3556</v>
      </c>
      <c r="G3" s="3" t="s">
        <v>3560</v>
      </c>
      <c r="H3" s="3" t="str">
        <f>HYPERLINK("http://www.jccm.es/sede/tramite/JF8","AUTORIZACION DE TRANSMISIONES DE FINCAS RUSTICAS EN ZONAS CUYA TRANSFORMACION EN REGADIO HAYA SIDO DECLARADA DE INTERES REGIONAL O NACIONAL")</f>
        <v>AUTORIZACION DE TRANSMISIONES DE FINCAS RUSTICAS EN ZONAS CUYA TRANSFORMACION EN REGADIO HAYA SIDO DECLARADA DE INTERES REGIONAL O NACIONAL</v>
      </c>
      <c r="I3" s="3" t="s">
        <v>42</v>
      </c>
      <c r="J3" s="3" t="s">
        <v>41</v>
      </c>
      <c r="K3" s="3" t="s">
        <v>42</v>
      </c>
      <c r="L3" s="3" t="s">
        <v>41</v>
      </c>
    </row>
    <row r="4" spans="1:12" ht="71.25" customHeight="1">
      <c r="A4" s="3" t="s">
        <v>3561</v>
      </c>
      <c r="B4" s="3" t="s">
        <v>3562</v>
      </c>
      <c r="C4" s="3" t="s">
        <v>45</v>
      </c>
      <c r="D4" s="3" t="s">
        <v>37</v>
      </c>
      <c r="E4" s="3" t="s">
        <v>3555</v>
      </c>
      <c r="F4" s="3" t="s">
        <v>3556</v>
      </c>
      <c r="G4" s="3" t="s">
        <v>3563</v>
      </c>
      <c r="H4" s="3" t="str">
        <f>HYPERLINK("http://www.jccm.es/sede/tramite/247","AUTORIZACION DE PERMUTA DE FINCAS DE REEMPLAZO ENTRE PROPIETARIOS EN CONCENTRACIONES PARCELARIAS PUBLICAS")</f>
        <v>AUTORIZACION DE PERMUTA DE FINCAS DE REEMPLAZO ENTRE PROPIETARIOS EN CONCENTRACIONES PARCELARIAS PUBLICAS</v>
      </c>
      <c r="I4" s="3" t="s">
        <v>42</v>
      </c>
      <c r="J4" s="3" t="s">
        <v>41</v>
      </c>
      <c r="K4" s="3" t="s">
        <v>42</v>
      </c>
      <c r="L4" s="3" t="s">
        <v>41</v>
      </c>
    </row>
    <row r="5" spans="1:12" ht="82.5" customHeight="1">
      <c r="A5" s="3" t="s">
        <v>3564</v>
      </c>
      <c r="B5" s="3" t="s">
        <v>3565</v>
      </c>
      <c r="C5" s="3" t="s">
        <v>51</v>
      </c>
      <c r="D5" s="3" t="s">
        <v>37</v>
      </c>
      <c r="E5" s="3" t="s">
        <v>3555</v>
      </c>
      <c r="F5" s="3" t="s">
        <v>3566</v>
      </c>
      <c r="G5" s="3" t="s">
        <v>3567</v>
      </c>
      <c r="H5" s="3" t="str">
        <f>HYPERLINK("http://www.jccm.es/sede/tramite/E19","AUTORIZACION DE VETERINARIOS PARA LA EXPEDICION DE CERTIFICADOS O DOCUMENTOS DE ACOMPAÑAMIENTO")</f>
        <v>AUTORIZACION DE VETERINARIOS PARA LA EXPEDICION DE CERTIFICADOS O DOCUMENTOS DE ACOMPAÑAMIENTO</v>
      </c>
      <c r="I5" s="3" t="s">
        <v>42</v>
      </c>
      <c r="J5" s="3" t="s">
        <v>41</v>
      </c>
      <c r="K5" s="3" t="s">
        <v>42</v>
      </c>
      <c r="L5" s="3" t="s">
        <v>41</v>
      </c>
    </row>
    <row r="6" spans="1:12" ht="57.6">
      <c r="A6" s="3" t="s">
        <v>3568</v>
      </c>
      <c r="B6" s="3" t="s">
        <v>3569</v>
      </c>
      <c r="C6" s="3" t="s">
        <v>327</v>
      </c>
      <c r="D6" s="3" t="s">
        <v>37</v>
      </c>
      <c r="E6" s="3" t="s">
        <v>3555</v>
      </c>
      <c r="F6" s="3" t="s">
        <v>3566</v>
      </c>
      <c r="G6" s="3" t="s">
        <v>3570</v>
      </c>
      <c r="H6" s="3" t="str">
        <f>HYPERLINK("http://www.jccm.es/sede/tramite/J6T","PASAPORTES FITOSANITARIOS - DECLARACIONES DE PRODUCCION")</f>
        <v>PASAPORTES FITOSANITARIOS - DECLARACIONES DE PRODUCCION</v>
      </c>
      <c r="I6" s="3" t="s">
        <v>41</v>
      </c>
      <c r="J6" s="3" t="s">
        <v>41</v>
      </c>
      <c r="K6" s="3" t="s">
        <v>42</v>
      </c>
      <c r="L6" s="3" t="s">
        <v>41</v>
      </c>
    </row>
    <row r="7" spans="1:12" ht="68.25" customHeight="1">
      <c r="A7" s="3" t="s">
        <v>3571</v>
      </c>
      <c r="B7" s="3" t="s">
        <v>3572</v>
      </c>
      <c r="C7" s="3" t="s">
        <v>45</v>
      </c>
      <c r="D7" s="3" t="s">
        <v>37</v>
      </c>
      <c r="E7" s="3" t="s">
        <v>3555</v>
      </c>
      <c r="F7" s="3" t="s">
        <v>3566</v>
      </c>
      <c r="G7" s="3" t="s">
        <v>3573</v>
      </c>
      <c r="H7" s="3" t="str">
        <f>HYPERLINK("http://www.jccm.es/sede/tramite/JGL","AUTORIZACION DE PRODUCTOR DE SEMILLAS E INCLUSION REGISTRO DE PRODUCTORES DE SEMILLAS DE CASTILLA-LA MANCHA.")</f>
        <v>AUTORIZACION DE PRODUCTOR DE SEMILLAS E INCLUSION REGISTRO DE PRODUCTORES DE SEMILLAS DE CASTILLA-LA MANCHA.</v>
      </c>
      <c r="I7" s="3" t="s">
        <v>42</v>
      </c>
      <c r="J7" s="3" t="s">
        <v>41</v>
      </c>
      <c r="K7" s="3" t="s">
        <v>42</v>
      </c>
      <c r="L7" s="3" t="s">
        <v>41</v>
      </c>
    </row>
    <row r="8" spans="1:12" ht="69">
      <c r="A8" s="3" t="s">
        <v>3574</v>
      </c>
      <c r="B8" s="3" t="s">
        <v>3575</v>
      </c>
      <c r="C8" s="3" t="s">
        <v>45</v>
      </c>
      <c r="D8" s="3" t="s">
        <v>37</v>
      </c>
      <c r="E8" s="3" t="s">
        <v>3555</v>
      </c>
      <c r="F8" s="3" t="s">
        <v>3566</v>
      </c>
      <c r="G8" s="3" t="s">
        <v>3576</v>
      </c>
      <c r="H8" s="3" t="str">
        <f>HYPERLINK("http://www.jccm.es/sede/tramite/JGN","AUTORIZACION DE ACTIVIDADES DE ACONDICIONAMIENTO DE GRANO DESTINADO A LA SIEMBRA  Y REGISTRO DE TRANSFORMADORES DE CASTILLA - LA MANCHA.")</f>
        <v>AUTORIZACION DE ACTIVIDADES DE ACONDICIONAMIENTO DE GRANO DESTINADO A LA SIEMBRA  Y REGISTRO DE TRANSFORMADORES DE CASTILLA - LA MANCHA.</v>
      </c>
      <c r="I8" s="3" t="s">
        <v>42</v>
      </c>
      <c r="J8" s="3" t="s">
        <v>41</v>
      </c>
      <c r="K8" s="3" t="s">
        <v>42</v>
      </c>
      <c r="L8" s="3" t="s">
        <v>41</v>
      </c>
    </row>
    <row r="9" spans="1:12" ht="57.6">
      <c r="A9" s="3" t="s">
        <v>3577</v>
      </c>
      <c r="B9" s="3" t="s">
        <v>3578</v>
      </c>
      <c r="C9" s="3" t="s">
        <v>45</v>
      </c>
      <c r="D9" s="3" t="s">
        <v>37</v>
      </c>
      <c r="E9" s="3" t="s">
        <v>3555</v>
      </c>
      <c r="F9" s="3" t="s">
        <v>3566</v>
      </c>
      <c r="G9" s="3" t="s">
        <v>3579</v>
      </c>
      <c r="H9" s="3" t="str">
        <f>HYPERLINK("http://www.jccm.es/sede/tramite/JIA","AUTORIZACION PARA LA REALIZACION DE CERTAMENES GANADEROS")</f>
        <v>AUTORIZACION PARA LA REALIZACION DE CERTAMENES GANADEROS</v>
      </c>
      <c r="I9" s="3" t="s">
        <v>42</v>
      </c>
      <c r="J9" s="3" t="s">
        <v>41</v>
      </c>
      <c r="K9" s="3" t="s">
        <v>42</v>
      </c>
      <c r="L9" s="3" t="s">
        <v>42</v>
      </c>
    </row>
    <row r="10" spans="1:12" ht="57.6">
      <c r="A10" s="3" t="s">
        <v>3580</v>
      </c>
      <c r="B10" s="3" t="s">
        <v>3581</v>
      </c>
      <c r="C10" s="3" t="s">
        <v>95</v>
      </c>
      <c r="D10" s="3" t="s">
        <v>95</v>
      </c>
      <c r="E10" s="3" t="s">
        <v>3555</v>
      </c>
      <c r="F10" s="3" t="s">
        <v>3566</v>
      </c>
      <c r="G10" s="3" t="s">
        <v>3582</v>
      </c>
      <c r="H10" s="3" t="str">
        <f>HYPERLINK("http://www.jccm.es/sede/tramite/JMK","BAJA DE ANIMAL DE LA ESPECIE BOVINA POR MUERTE EN EXPLOTACION")</f>
        <v>BAJA DE ANIMAL DE LA ESPECIE BOVINA POR MUERTE EN EXPLOTACION</v>
      </c>
      <c r="I10" s="3" t="s">
        <v>41</v>
      </c>
      <c r="J10" s="3" t="s">
        <v>41</v>
      </c>
      <c r="K10" s="3" t="s">
        <v>42</v>
      </c>
      <c r="L10" s="3" t="s">
        <v>41</v>
      </c>
    </row>
    <row r="11" spans="1:12" ht="57.6">
      <c r="A11" s="3" t="s">
        <v>3583</v>
      </c>
      <c r="B11" s="3" t="s">
        <v>3584</v>
      </c>
      <c r="C11" s="3" t="s">
        <v>95</v>
      </c>
      <c r="D11" s="3" t="s">
        <v>95</v>
      </c>
      <c r="E11" s="3" t="s">
        <v>3555</v>
      </c>
      <c r="F11" s="3" t="s">
        <v>3566</v>
      </c>
      <c r="G11" s="3" t="s">
        <v>3585</v>
      </c>
      <c r="H11" s="3" t="str">
        <f>HYPERLINK("http://www.jccm.es/sede/tramite/JOG","ALTA DE ANIMAL DE LA ESPECIE BOVINA")</f>
        <v>ALTA DE ANIMAL DE LA ESPECIE BOVINA</v>
      </c>
      <c r="I11" s="3" t="s">
        <v>41</v>
      </c>
      <c r="J11" s="3" t="s">
        <v>41</v>
      </c>
      <c r="K11" s="3" t="s">
        <v>42</v>
      </c>
      <c r="L11" s="3" t="s">
        <v>41</v>
      </c>
    </row>
    <row r="12" spans="1:12" ht="57.6">
      <c r="A12" s="3" t="s">
        <v>3586</v>
      </c>
      <c r="B12" s="3" t="s">
        <v>3587</v>
      </c>
      <c r="C12" s="3" t="s">
        <v>1655</v>
      </c>
      <c r="D12" s="3" t="s">
        <v>95</v>
      </c>
      <c r="E12" s="3" t="s">
        <v>3555</v>
      </c>
      <c r="F12" s="3" t="s">
        <v>3566</v>
      </c>
      <c r="G12" s="3" t="s">
        <v>3588</v>
      </c>
      <c r="H12" s="3" t="str">
        <f>HYPERLINK("http://www.jccm.es/sede/tramite/JOH","ACCESO A UNIDAD GANADERA VIRTUAL Y REGISTROS DE GANADERIA")</f>
        <v>ACCESO A UNIDAD GANADERA VIRTUAL Y REGISTROS DE GANADERIA</v>
      </c>
      <c r="I12" s="3" t="s">
        <v>41</v>
      </c>
      <c r="J12" s="3" t="s">
        <v>41</v>
      </c>
      <c r="K12" s="3" t="s">
        <v>42</v>
      </c>
      <c r="L12" s="3" t="s">
        <v>41</v>
      </c>
    </row>
    <row r="13" spans="1:12" ht="57.6">
      <c r="A13" s="3" t="s">
        <v>3589</v>
      </c>
      <c r="B13" s="3" t="s">
        <v>3590</v>
      </c>
      <c r="C13" s="3" t="s">
        <v>3591</v>
      </c>
      <c r="D13" s="3" t="s">
        <v>37</v>
      </c>
      <c r="E13" s="3" t="s">
        <v>3555</v>
      </c>
      <c r="F13" s="3" t="s">
        <v>3566</v>
      </c>
      <c r="G13" s="3" t="s">
        <v>3592</v>
      </c>
      <c r="H13" s="3" t="str">
        <f>HYPERLINK("http://www.jccm.es/sede/tramite/JTY","AUTORIZACION DE COSECHA EN VERDE DE PLANTACIONES ILEGALES")</f>
        <v>AUTORIZACION DE COSECHA EN VERDE DE PLANTACIONES ILEGALES</v>
      </c>
      <c r="I13" s="3" t="s">
        <v>42</v>
      </c>
      <c r="J13" s="3" t="s">
        <v>41</v>
      </c>
      <c r="K13" s="3" t="s">
        <v>42</v>
      </c>
      <c r="L13" s="3" t="s">
        <v>41</v>
      </c>
    </row>
    <row r="14" spans="1:12" ht="80.45">
      <c r="A14" s="3" t="s">
        <v>3593</v>
      </c>
      <c r="B14" s="3" t="s">
        <v>3594</v>
      </c>
      <c r="C14" s="3" t="s">
        <v>95</v>
      </c>
      <c r="D14" s="3" t="s">
        <v>95</v>
      </c>
      <c r="E14" s="3" t="s">
        <v>3555</v>
      </c>
      <c r="F14" s="3" t="s">
        <v>3566</v>
      </c>
      <c r="G14" s="3" t="s">
        <v>3595</v>
      </c>
      <c r="H14" s="3" t="str">
        <f>HYPERLINK("http://www.jccm.es/sede/tramite/JV4","DECLARACION RESPONSABLE PREVIA AL INICIO DE LA EJECUCION DEL PROGRAMA ZOOSANITARIO BASICO POR EL QUE SE ESTABLECE LA VACUNACION DE RABIA DE CANIDOS, FELIDOS Y HURONES")</f>
        <v>DECLARACION RESPONSABLE PREVIA AL INICIO DE LA EJECUCION DEL PROGRAMA ZOOSANITARIO BASICO POR EL QUE SE ESTABLECE LA VACUNACION DE RABIA DE CANIDOS, FELIDOS Y HURONES</v>
      </c>
      <c r="I14" s="3" t="s">
        <v>42</v>
      </c>
      <c r="J14" s="3" t="s">
        <v>41</v>
      </c>
      <c r="K14" s="3" t="s">
        <v>42</v>
      </c>
      <c r="L14" s="3" t="s">
        <v>41</v>
      </c>
    </row>
    <row r="15" spans="1:12" ht="57.6">
      <c r="A15" s="3" t="s">
        <v>3596</v>
      </c>
      <c r="B15" s="3" t="s">
        <v>3597</v>
      </c>
      <c r="C15" s="3" t="s">
        <v>45</v>
      </c>
      <c r="D15" s="3" t="s">
        <v>37</v>
      </c>
      <c r="E15" s="3" t="s">
        <v>3555</v>
      </c>
      <c r="F15" s="3" t="s">
        <v>3566</v>
      </c>
      <c r="G15" s="3" t="s">
        <v>3598</v>
      </c>
      <c r="H15" s="3" t="str">
        <f>HYPERLINK("http://www.jccm.es/sede/tramite/JVU","SOLICITUD DE AUTORIZACION PARA CENTROS Y ACTIVIDADES DE REPRODUCCION ANIMAL")</f>
        <v>SOLICITUD DE AUTORIZACION PARA CENTROS Y ACTIVIDADES DE REPRODUCCION ANIMAL</v>
      </c>
      <c r="I15" s="3" t="s">
        <v>42</v>
      </c>
      <c r="J15" s="3" t="s">
        <v>41</v>
      </c>
      <c r="K15" s="3" t="s">
        <v>42</v>
      </c>
      <c r="L15" s="3" t="s">
        <v>41</v>
      </c>
    </row>
    <row r="16" spans="1:12" ht="57.6">
      <c r="A16" s="3" t="s">
        <v>3599</v>
      </c>
      <c r="B16" s="3" t="s">
        <v>3600</v>
      </c>
      <c r="C16" s="3" t="s">
        <v>95</v>
      </c>
      <c r="D16" s="3" t="s">
        <v>95</v>
      </c>
      <c r="E16" s="3" t="s">
        <v>3555</v>
      </c>
      <c r="F16" s="3" t="s">
        <v>3566</v>
      </c>
      <c r="G16" s="3" t="s">
        <v>3601</v>
      </c>
      <c r="H16" s="3" t="str">
        <f>HYPERLINK("http://www.jccm.es/sede/tramite/JW7","NOTIFICACION DE ENSAYOS CON PRODUCTOS FITOSANITARIOS")</f>
        <v>NOTIFICACION DE ENSAYOS CON PRODUCTOS FITOSANITARIOS</v>
      </c>
      <c r="I16" s="3" t="s">
        <v>42</v>
      </c>
      <c r="J16" s="3" t="s">
        <v>41</v>
      </c>
      <c r="K16" s="3" t="s">
        <v>42</v>
      </c>
      <c r="L16" s="3" t="s">
        <v>41</v>
      </c>
    </row>
    <row r="17" spans="1:12" ht="57.6">
      <c r="A17" s="3" t="s">
        <v>3602</v>
      </c>
      <c r="B17" s="3" t="s">
        <v>3603</v>
      </c>
      <c r="C17" s="3" t="s">
        <v>45</v>
      </c>
      <c r="D17" s="3" t="s">
        <v>37</v>
      </c>
      <c r="E17" s="3" t="s">
        <v>3555</v>
      </c>
      <c r="F17" s="3" t="s">
        <v>3556</v>
      </c>
      <c r="G17" s="3" t="s">
        <v>3604</v>
      </c>
      <c r="H17" s="3" t="str">
        <f>HYPERLINK("http://www.jccm.es/sede/tramite/871","ENAJENACION O PERMUTA DE FINCAS DE MASA COMUN EN ZONAS DE CONCENTRACION PARCELARIA")</f>
        <v>ENAJENACION O PERMUTA DE FINCAS DE MASA COMUN EN ZONAS DE CONCENTRACION PARCELARIA</v>
      </c>
      <c r="I17" s="3" t="s">
        <v>42</v>
      </c>
      <c r="J17" s="3" t="s">
        <v>41</v>
      </c>
      <c r="K17" s="3" t="s">
        <v>42</v>
      </c>
      <c r="L17" s="3" t="s">
        <v>41</v>
      </c>
    </row>
    <row r="18" spans="1:12" ht="57.6">
      <c r="A18" s="3" t="s">
        <v>3605</v>
      </c>
      <c r="B18" s="3" t="s">
        <v>3606</v>
      </c>
      <c r="C18" s="3" t="s">
        <v>62</v>
      </c>
      <c r="D18" s="3" t="s">
        <v>46</v>
      </c>
      <c r="E18" s="3" t="s">
        <v>3555</v>
      </c>
      <c r="F18" s="3" t="s">
        <v>3566</v>
      </c>
      <c r="G18" s="3" t="s">
        <v>3607</v>
      </c>
      <c r="H18" s="3" t="str">
        <f>HYPERLINK("http://www.jccm.es/sede/tramite/JWM","AUTORIZACION DE VACIO SANITARIO POR MOTIVOS EPIDEMIOLOGICOS.")</f>
        <v>AUTORIZACION DE VACIO SANITARIO POR MOTIVOS EPIDEMIOLOGICOS.</v>
      </c>
      <c r="I18" s="3" t="s">
        <v>42</v>
      </c>
      <c r="J18" s="3" t="s">
        <v>41</v>
      </c>
      <c r="K18" s="3" t="s">
        <v>42</v>
      </c>
      <c r="L18" s="3" t="s">
        <v>41</v>
      </c>
    </row>
    <row r="19" spans="1:12" ht="57.6">
      <c r="A19" s="3" t="s">
        <v>3608</v>
      </c>
      <c r="B19" s="3" t="s">
        <v>3609</v>
      </c>
      <c r="C19" s="3" t="s">
        <v>62</v>
      </c>
      <c r="D19" s="3" t="s">
        <v>37</v>
      </c>
      <c r="E19" s="3" t="s">
        <v>3555</v>
      </c>
      <c r="F19" s="3" t="s">
        <v>3566</v>
      </c>
      <c r="G19" s="3" t="s">
        <v>3610</v>
      </c>
      <c r="H19" s="3" t="str">
        <f>HYPERLINK("http://www.jccm.es/sede/tramite/JXB","AUTORIZACION DE MATADEROS PARA EL SACRIFICIO DE ANIMALES REACCIONANTES POSITIVOS A CAMPAÑAS DE SANEAMIENTO GANADERO")</f>
        <v>AUTORIZACION DE MATADEROS PARA EL SACRIFICIO DE ANIMALES REACCIONANTES POSITIVOS A CAMPAÑAS DE SANEAMIENTO GANADERO</v>
      </c>
      <c r="I19" s="3" t="s">
        <v>42</v>
      </c>
      <c r="J19" s="3" t="s">
        <v>41</v>
      </c>
      <c r="K19" s="3" t="s">
        <v>42</v>
      </c>
      <c r="L19" s="3" t="s">
        <v>41</v>
      </c>
    </row>
    <row r="20" spans="1:12" ht="80.45">
      <c r="A20" s="3" t="s">
        <v>3611</v>
      </c>
      <c r="B20" s="3" t="s">
        <v>3612</v>
      </c>
      <c r="C20" s="3" t="s">
        <v>45</v>
      </c>
      <c r="D20" s="3" t="s">
        <v>46</v>
      </c>
      <c r="E20" s="3" t="s">
        <v>3555</v>
      </c>
      <c r="F20" s="3" t="s">
        <v>3566</v>
      </c>
      <c r="G20" s="3" t="s">
        <v>3613</v>
      </c>
      <c r="H20" s="3" t="str">
        <f>HYPERLINK("http://www.jccm.es/sede/tramite/JXC","AUTORIZACION DE ESTABLECIMIENTOS, TRANSPORTISTAS Y USUARIOS ESPECIIFICOS DE SUBPRODUCTOS ANIMALES NO DESTINADOS A CONSUMO HUMANO (SANDACH)")</f>
        <v>AUTORIZACION DE ESTABLECIMIENTOS, TRANSPORTISTAS Y USUARIOS ESPECIIFICOS DE SUBPRODUCTOS ANIMALES NO DESTINADOS A CONSUMO HUMANO (SANDACH)</v>
      </c>
      <c r="I20" s="3" t="s">
        <v>42</v>
      </c>
      <c r="J20" s="3" t="s">
        <v>41</v>
      </c>
      <c r="K20" s="3" t="s">
        <v>42</v>
      </c>
      <c r="L20" s="3" t="s">
        <v>41</v>
      </c>
    </row>
    <row r="21" spans="1:12" ht="69">
      <c r="A21" s="3" t="s">
        <v>3614</v>
      </c>
      <c r="B21" s="3" t="s">
        <v>3615</v>
      </c>
      <c r="C21" s="3" t="s">
        <v>45</v>
      </c>
      <c r="D21" s="3" t="s">
        <v>46</v>
      </c>
      <c r="E21" s="3" t="s">
        <v>3555</v>
      </c>
      <c r="F21" s="3" t="s">
        <v>3616</v>
      </c>
      <c r="G21" s="3" t="s">
        <v>3617</v>
      </c>
      <c r="H21" s="3" t="str">
        <f>HYPERLINK("http://www.jccm.es/sede/tramite/JXE","APROBACION DE PLIEGOS DE CONDICIONES DE ETIQUETADO FACULTATIVO CONDICIONADO A LA AUTORIZACION DEL ORGANISMO INDEPENDIENTE DE CONTROL")</f>
        <v>APROBACION DE PLIEGOS DE CONDICIONES DE ETIQUETADO FACULTATIVO CONDICIONADO A LA AUTORIZACION DEL ORGANISMO INDEPENDIENTE DE CONTROL</v>
      </c>
      <c r="I21" s="3" t="s">
        <v>42</v>
      </c>
      <c r="J21" s="3" t="s">
        <v>41</v>
      </c>
      <c r="K21" s="3" t="s">
        <v>42</v>
      </c>
      <c r="L21" s="3" t="s">
        <v>41</v>
      </c>
    </row>
    <row r="22" spans="1:12" ht="80.45">
      <c r="A22" s="3" t="s">
        <v>3618</v>
      </c>
      <c r="B22" s="3" t="s">
        <v>3619</v>
      </c>
      <c r="C22" s="3" t="s">
        <v>45</v>
      </c>
      <c r="D22" s="3" t="s">
        <v>37</v>
      </c>
      <c r="E22" s="3" t="s">
        <v>3555</v>
      </c>
      <c r="F22" s="3" t="s">
        <v>3566</v>
      </c>
      <c r="G22" s="3" t="s">
        <v>3620</v>
      </c>
      <c r="H22" s="3" t="str">
        <f>HYPERLINK("http://www.jccm.es/sede/tramite/JXF","DESIGNACION DE  ORGANISMOS, INSTITUCIONES Y ENTIDADES ORGANIZADORAS DE CURSOS DE MANIPULADOR DE PRODUCTOS FITOSANITARIOS Y SUS MODIFICACIONES.")</f>
        <v>DESIGNACION DE  ORGANISMOS, INSTITUCIONES Y ENTIDADES ORGANIZADORAS DE CURSOS DE MANIPULADOR DE PRODUCTOS FITOSANITARIOS Y SUS MODIFICACIONES.</v>
      </c>
      <c r="I22" s="3" t="s">
        <v>41</v>
      </c>
      <c r="J22" s="3" t="s">
        <v>41</v>
      </c>
      <c r="K22" s="3" t="s">
        <v>42</v>
      </c>
      <c r="L22" s="3" t="s">
        <v>41</v>
      </c>
    </row>
    <row r="23" spans="1:12" ht="57.6">
      <c r="A23" s="3" t="s">
        <v>3621</v>
      </c>
      <c r="B23" s="3" t="s">
        <v>3622</v>
      </c>
      <c r="C23" s="3" t="s">
        <v>45</v>
      </c>
      <c r="D23" s="3" t="s">
        <v>37</v>
      </c>
      <c r="E23" s="3" t="s">
        <v>3555</v>
      </c>
      <c r="F23" s="3" t="s">
        <v>3566</v>
      </c>
      <c r="G23" s="3" t="s">
        <v>3623</v>
      </c>
      <c r="H23" s="3" t="str">
        <f>HYPERLINK("http://www.jccm.es/sede/tramite/JZG","ACREDITACION DE ASESOR EN GESTION INTEGRADA DE PLAGAS")</f>
        <v>ACREDITACION DE ASESOR EN GESTION INTEGRADA DE PLAGAS</v>
      </c>
      <c r="I23" s="3" t="s">
        <v>42</v>
      </c>
      <c r="J23" s="3" t="s">
        <v>41</v>
      </c>
      <c r="K23" s="3" t="s">
        <v>42</v>
      </c>
      <c r="L23" s="3" t="s">
        <v>41</v>
      </c>
    </row>
    <row r="24" spans="1:12" ht="57.6">
      <c r="A24" s="3" t="s">
        <v>3624</v>
      </c>
      <c r="B24" s="3" t="s">
        <v>3625</v>
      </c>
      <c r="C24" s="3" t="s">
        <v>2026</v>
      </c>
      <c r="D24" s="3" t="s">
        <v>46</v>
      </c>
      <c r="E24" s="3" t="s">
        <v>3555</v>
      </c>
      <c r="F24" s="3" t="s">
        <v>3566</v>
      </c>
      <c r="G24" s="3" t="s">
        <v>3626</v>
      </c>
      <c r="H24" s="3" t="str">
        <f>HYPERLINK("http://www.jccm.es/sede/tramite/JZZ","OBTENCION GUIA DE ORIGEN Y SANIDAD PECUARIA")</f>
        <v>OBTENCION GUIA DE ORIGEN Y SANIDAD PECUARIA</v>
      </c>
      <c r="I24" s="3" t="s">
        <v>41</v>
      </c>
      <c r="J24" s="3" t="s">
        <v>41</v>
      </c>
      <c r="K24" s="3" t="s">
        <v>42</v>
      </c>
      <c r="L24" s="3" t="s">
        <v>41</v>
      </c>
    </row>
    <row r="25" spans="1:12" ht="57.6">
      <c r="A25" s="3" t="s">
        <v>3627</v>
      </c>
      <c r="B25" s="3" t="s">
        <v>3628</v>
      </c>
      <c r="C25" s="3" t="s">
        <v>327</v>
      </c>
      <c r="D25" s="3" t="s">
        <v>37</v>
      </c>
      <c r="E25" s="3" t="s">
        <v>3555</v>
      </c>
      <c r="F25" s="3" t="s">
        <v>3566</v>
      </c>
      <c r="G25" s="3" t="s">
        <v>3629</v>
      </c>
      <c r="H25" s="3" t="str">
        <f>HYPERLINK("http://www.jccm.es/sede/tramite/K18","AUTORIZACION DE TRATAMIENTOS AEREOS CON PRODUCTOS FITOSANITARIOS.")</f>
        <v>AUTORIZACION DE TRATAMIENTOS AEREOS CON PRODUCTOS FITOSANITARIOS.</v>
      </c>
      <c r="I25" s="3" t="s">
        <v>42</v>
      </c>
      <c r="J25" s="3" t="s">
        <v>41</v>
      </c>
      <c r="K25" s="3" t="s">
        <v>42</v>
      </c>
      <c r="L25" s="3" t="s">
        <v>41</v>
      </c>
    </row>
    <row r="26" spans="1:12" ht="57.6">
      <c r="A26" s="3" t="s">
        <v>3630</v>
      </c>
      <c r="B26" s="3" t="s">
        <v>3631</v>
      </c>
      <c r="C26" s="3" t="s">
        <v>3632</v>
      </c>
      <c r="D26" s="3" t="s">
        <v>46</v>
      </c>
      <c r="E26" s="3" t="s">
        <v>3555</v>
      </c>
      <c r="F26" s="3" t="s">
        <v>3566</v>
      </c>
      <c r="G26" s="3" t="s">
        <v>3633</v>
      </c>
      <c r="H26" s="3" t="str">
        <f>HYPERLINK("http://www.jccm.es/sede/tramite/K1D","AUTORIZACION TERCEROS UNIDAD GANADERA VIRTUAL.")</f>
        <v>AUTORIZACION TERCEROS UNIDAD GANADERA VIRTUAL.</v>
      </c>
      <c r="I26" s="3" t="s">
        <v>41</v>
      </c>
      <c r="J26" s="3" t="s">
        <v>41</v>
      </c>
      <c r="K26" s="3" t="s">
        <v>42</v>
      </c>
      <c r="L26" s="3" t="s">
        <v>41</v>
      </c>
    </row>
    <row r="27" spans="1:12" ht="80.45">
      <c r="A27" s="3" t="s">
        <v>3634</v>
      </c>
      <c r="B27" s="3" t="s">
        <v>3635</v>
      </c>
      <c r="C27" s="3" t="s">
        <v>70</v>
      </c>
      <c r="D27" s="3" t="s">
        <v>37</v>
      </c>
      <c r="E27" s="3" t="s">
        <v>3555</v>
      </c>
      <c r="F27" s="3" t="s">
        <v>3566</v>
      </c>
      <c r="G27" s="3" t="s">
        <v>3636</v>
      </c>
      <c r="H27" s="3" t="str">
        <f>HYPERLINK("http://www.jccm.es/sede/tramite/K3C","AUTORIZACION DE LOS ORGANOS HABILITADOS PARA LA EVALUACION DE PROYECTOS DE INVESTIGACION QUE UTILICEN ANIMALES CON FINES EXPERIMENTALES")</f>
        <v>AUTORIZACION DE LOS ORGANOS HABILITADOS PARA LA EVALUACION DE PROYECTOS DE INVESTIGACION QUE UTILICEN ANIMALES CON FINES EXPERIMENTALES</v>
      </c>
      <c r="I27" s="3" t="s">
        <v>42</v>
      </c>
      <c r="J27" s="3" t="s">
        <v>41</v>
      </c>
      <c r="K27" s="3" t="s">
        <v>42</v>
      </c>
      <c r="L27" s="3" t="s">
        <v>41</v>
      </c>
    </row>
    <row r="28" spans="1:12" ht="161.1">
      <c r="A28" s="3" t="s">
        <v>3637</v>
      </c>
      <c r="B28" s="3" t="s">
        <v>3638</v>
      </c>
      <c r="C28" s="3" t="s">
        <v>3639</v>
      </c>
      <c r="D28" s="3" t="s">
        <v>37</v>
      </c>
      <c r="E28" s="3" t="s">
        <v>3555</v>
      </c>
      <c r="F28" s="3" t="s">
        <v>3566</v>
      </c>
      <c r="G28" s="3" t="s">
        <v>3640</v>
      </c>
      <c r="H28" s="3" t="str">
        <f>HYPERLINK("http://www.jccm.es/sede/tramite/K3D","AUTORIZACION DE LOS PROYECTOS DE INVESTIGACION QUE UTILICEN ANIMALES CON FINES EXPERIMENTALES")</f>
        <v>AUTORIZACION DE LOS PROYECTOS DE INVESTIGACION QUE UTILICEN ANIMALES CON FINES EXPERIMENTALES</v>
      </c>
      <c r="I28" s="3" t="s">
        <v>42</v>
      </c>
      <c r="J28" s="3" t="s">
        <v>41</v>
      </c>
      <c r="K28" s="3" t="s">
        <v>42</v>
      </c>
      <c r="L28" s="3" t="s">
        <v>41</v>
      </c>
    </row>
    <row r="29" spans="1:12" ht="69">
      <c r="A29" s="3" t="s">
        <v>3641</v>
      </c>
      <c r="B29" s="3" t="s">
        <v>3642</v>
      </c>
      <c r="C29" s="3" t="s">
        <v>95</v>
      </c>
      <c r="D29" s="3" t="s">
        <v>95</v>
      </c>
      <c r="E29" s="3" t="s">
        <v>3555</v>
      </c>
      <c r="F29" s="3" t="s">
        <v>3643</v>
      </c>
      <c r="G29" s="3" t="s">
        <v>3644</v>
      </c>
      <c r="H29" s="3" t="str">
        <f>HYPERLINK("http://www.jccm.es/sede/tramite/K3F","COMUNICACION DE LA CESION DE LOS DERECHOS DE COBRO DE SUBVENCIONES CUYO PAGO COMPETE AL ORGANISMO PAGADOR DE CASTILLA-LA MANCHA.")</f>
        <v>COMUNICACION DE LA CESION DE LOS DERECHOS DE COBRO DE SUBVENCIONES CUYO PAGO COMPETE AL ORGANISMO PAGADOR DE CASTILLA-LA MANCHA.</v>
      </c>
      <c r="I29" s="3" t="s">
        <v>42</v>
      </c>
      <c r="J29" s="3" t="s">
        <v>41</v>
      </c>
      <c r="K29" s="3" t="s">
        <v>42</v>
      </c>
      <c r="L29" s="3" t="s">
        <v>41</v>
      </c>
    </row>
    <row r="30" spans="1:12" ht="57.6">
      <c r="A30" s="3" t="s">
        <v>3645</v>
      </c>
      <c r="B30" s="3" t="s">
        <v>3646</v>
      </c>
      <c r="C30" s="3" t="s">
        <v>327</v>
      </c>
      <c r="D30" s="3" t="s">
        <v>46</v>
      </c>
      <c r="E30" s="3" t="s">
        <v>3555</v>
      </c>
      <c r="F30" s="3" t="s">
        <v>3566</v>
      </c>
      <c r="G30" s="3" t="s">
        <v>3647</v>
      </c>
      <c r="H30" s="3" t="str">
        <f>HYPERLINK("http://www.jccm.es/sede/tramite/K5N","COMUNICACION DE CAMBIO DE DIRECTOR/TECNICO DE APOYO DE UNA SOLICITUD DE REESTRUCTURACION")</f>
        <v>COMUNICACION DE CAMBIO DE DIRECTOR/TECNICO DE APOYO DE UNA SOLICITUD DE REESTRUCTURACION</v>
      </c>
      <c r="I30" s="3" t="s">
        <v>41</v>
      </c>
      <c r="J30" s="3" t="s">
        <v>41</v>
      </c>
      <c r="K30" s="3" t="s">
        <v>42</v>
      </c>
      <c r="L30" s="3" t="s">
        <v>41</v>
      </c>
    </row>
    <row r="31" spans="1:12" ht="57.6">
      <c r="A31" s="3" t="s">
        <v>3648</v>
      </c>
      <c r="B31" s="3" t="s">
        <v>3649</v>
      </c>
      <c r="C31" s="3" t="s">
        <v>95</v>
      </c>
      <c r="D31" s="3" t="s">
        <v>95</v>
      </c>
      <c r="E31" s="3" t="s">
        <v>3555</v>
      </c>
      <c r="F31" s="3" t="s">
        <v>3566</v>
      </c>
      <c r="G31" s="3" t="s">
        <v>3650</v>
      </c>
      <c r="H31" s="3" t="str">
        <f>HYPERLINK("http://www.jccm.es/sede/tramite/K5Z","COMUNICACION DE LAS EDICIONES DE CURSOS DE MANIPULADOR DE PRODUCTOS FITOSANITARIOS Y SUS MODIFICACIONES.")</f>
        <v>COMUNICACION DE LAS EDICIONES DE CURSOS DE MANIPULADOR DE PRODUCTOS FITOSANITARIOS Y SUS MODIFICACIONES.</v>
      </c>
      <c r="I31" s="3" t="s">
        <v>41</v>
      </c>
      <c r="J31" s="3" t="s">
        <v>41</v>
      </c>
      <c r="K31" s="3" t="s">
        <v>42</v>
      </c>
      <c r="L31" s="3" t="s">
        <v>41</v>
      </c>
    </row>
    <row r="32" spans="1:12" ht="57.6">
      <c r="A32" s="3" t="s">
        <v>3651</v>
      </c>
      <c r="B32" s="3" t="s">
        <v>3652</v>
      </c>
      <c r="C32" s="3" t="s">
        <v>1727</v>
      </c>
      <c r="D32" s="3" t="s">
        <v>46</v>
      </c>
      <c r="E32" s="3" t="s">
        <v>3555</v>
      </c>
      <c r="F32" s="3" t="s">
        <v>3616</v>
      </c>
      <c r="G32" s="3" t="s">
        <v>3653</v>
      </c>
      <c r="H32" s="3" t="str">
        <f>HYPERLINK("http://www.jccm.es/sede/tramite/K7G","AUTORIZACION DE ENTIDADES DE CONTROL DE PRODUCTOS AGROALIMENTARIOS DE CASTILLA-LA MANCHA")</f>
        <v>AUTORIZACION DE ENTIDADES DE CONTROL DE PRODUCTOS AGROALIMENTARIOS DE CASTILLA-LA MANCHA</v>
      </c>
      <c r="I32" s="3" t="s">
        <v>41</v>
      </c>
      <c r="J32" s="3" t="s">
        <v>41</v>
      </c>
      <c r="K32" s="3" t="s">
        <v>42</v>
      </c>
      <c r="L32" s="3" t="s">
        <v>41</v>
      </c>
    </row>
    <row r="33" spans="1:12" ht="69">
      <c r="A33" s="3" t="s">
        <v>3654</v>
      </c>
      <c r="B33" s="3" t="s">
        <v>3655</v>
      </c>
      <c r="C33" s="3" t="s">
        <v>327</v>
      </c>
      <c r="D33" s="3" t="s">
        <v>37</v>
      </c>
      <c r="E33" s="3" t="s">
        <v>3555</v>
      </c>
      <c r="F33" s="3" t="s">
        <v>3566</v>
      </c>
      <c r="G33" s="3" t="s">
        <v>3656</v>
      </c>
      <c r="H33" s="3" t="str">
        <f>HYPERLINK("http://www.jccm.es/sede/tramite/K9V","AUTORIZACION PARA LA INSTALACION Y USO DEL SISTEMA DE HIDROLISIS")</f>
        <v>AUTORIZACION PARA LA INSTALACION Y USO DEL SISTEMA DE HIDROLISIS</v>
      </c>
      <c r="I33" s="3" t="s">
        <v>42</v>
      </c>
      <c r="J33" s="3" t="s">
        <v>41</v>
      </c>
      <c r="K33" s="3" t="s">
        <v>42</v>
      </c>
      <c r="L33" s="3" t="s">
        <v>41</v>
      </c>
    </row>
    <row r="34" spans="1:12" ht="80.45">
      <c r="A34" s="3" t="s">
        <v>3657</v>
      </c>
      <c r="B34" s="3" t="s">
        <v>3658</v>
      </c>
      <c r="C34" s="3" t="s">
        <v>95</v>
      </c>
      <c r="D34" s="3" t="s">
        <v>95</v>
      </c>
      <c r="E34" s="3" t="s">
        <v>3555</v>
      </c>
      <c r="F34" s="3" t="s">
        <v>3566</v>
      </c>
      <c r="G34" s="3" t="s">
        <v>3659</v>
      </c>
      <c r="H34" s="3" t="str">
        <f>HYPERLINK("http://www.jccm.es/sede/tramite/K9W","COMUNICACION PREVIA DE RECOGIDA DE MATERIAL HIDROLIZADO")</f>
        <v>COMUNICACION PREVIA DE RECOGIDA DE MATERIAL HIDROLIZADO</v>
      </c>
      <c r="I34" s="3" t="s">
        <v>42</v>
      </c>
      <c r="J34" s="3" t="s">
        <v>41</v>
      </c>
      <c r="K34" s="3" t="s">
        <v>42</v>
      </c>
      <c r="L34" s="3" t="s">
        <v>41</v>
      </c>
    </row>
    <row r="35" spans="1:12" ht="57.6">
      <c r="A35" s="3" t="s">
        <v>3660</v>
      </c>
      <c r="B35" s="3" t="s">
        <v>3661</v>
      </c>
      <c r="C35" s="3" t="s">
        <v>62</v>
      </c>
      <c r="D35" s="3" t="s">
        <v>46</v>
      </c>
      <c r="E35" s="3" t="s">
        <v>3555</v>
      </c>
      <c r="F35" s="3" t="s">
        <v>3566</v>
      </c>
      <c r="G35" s="3" t="s">
        <v>3662</v>
      </c>
      <c r="H35" s="3" t="str">
        <f>HYPERLINK("http://www.jccm.es/sede/tramite/KAK","AUTORIZACION DE ACCESO A SIEMBRA WEB")</f>
        <v>AUTORIZACION DE ACCESO A SIEMBRA WEB</v>
      </c>
      <c r="I35" s="3" t="s">
        <v>41</v>
      </c>
      <c r="J35" s="3" t="s">
        <v>41</v>
      </c>
      <c r="K35" s="3" t="s">
        <v>42</v>
      </c>
      <c r="L35" s="3" t="s">
        <v>41</v>
      </c>
    </row>
    <row r="36" spans="1:12" ht="57.6">
      <c r="A36" s="3" t="s">
        <v>3663</v>
      </c>
      <c r="B36" s="3" t="s">
        <v>3664</v>
      </c>
      <c r="C36" s="3" t="s">
        <v>1323</v>
      </c>
      <c r="D36" s="3" t="s">
        <v>37</v>
      </c>
      <c r="E36" s="3" t="s">
        <v>3555</v>
      </c>
      <c r="F36" s="3" t="s">
        <v>3566</v>
      </c>
      <c r="G36" s="3" t="s">
        <v>3665</v>
      </c>
      <c r="H36" s="3" t="str">
        <f>HYPERLINK("http://www.jccm.es/sede/tramite/KB0","SOLICITUD DE LABORATORIO PARA REALIZAR PRUEBAS DE DIAGNOSTICO DE LEISHMANIOSIS.")</f>
        <v>SOLICITUD DE LABORATORIO PARA REALIZAR PRUEBAS DE DIAGNOSTICO DE LEISHMANIOSIS.</v>
      </c>
      <c r="I36" s="3" t="s">
        <v>42</v>
      </c>
      <c r="J36" s="3" t="s">
        <v>41</v>
      </c>
      <c r="K36" s="3" t="s">
        <v>42</v>
      </c>
      <c r="L36" s="3" t="s">
        <v>41</v>
      </c>
    </row>
    <row r="37" spans="1:12" ht="80.45">
      <c r="A37" s="3" t="s">
        <v>3666</v>
      </c>
      <c r="B37" s="3" t="s">
        <v>3667</v>
      </c>
      <c r="C37" s="3" t="s">
        <v>327</v>
      </c>
      <c r="D37" s="3" t="s">
        <v>37</v>
      </c>
      <c r="E37" s="3" t="s">
        <v>3555</v>
      </c>
      <c r="F37" s="3" t="s">
        <v>3566</v>
      </c>
      <c r="G37" s="3" t="s">
        <v>3668</v>
      </c>
      <c r="H37" s="3" t="str">
        <f>HYPERLINK("http://www.jccm.es/sede/tramite/KEY","SOLICITUD DE AUTORIZACION DE LA ACTIVIDAD DE INSPECCION Y ALTA EN EL REGISTRO OFICIAL DE ESTACIONES DE INSPECCION TECNICA DE EQUIPOS DE APLICACION DE PRODUCTOS FITOSANITARIOS, ITEAF")</f>
        <v>SOLICITUD DE AUTORIZACION DE LA ACTIVIDAD DE INSPECCION Y ALTA EN EL REGISTRO OFICIAL DE ESTACIONES DE INSPECCION TECNICA DE EQUIPOS DE APLICACION DE PRODUCTOS FITOSANITARIOS, ITEAF</v>
      </c>
      <c r="I37" s="3" t="s">
        <v>41</v>
      </c>
      <c r="J37" s="3" t="s">
        <v>41</v>
      </c>
      <c r="K37" s="3" t="s">
        <v>42</v>
      </c>
      <c r="L37" s="3" t="s">
        <v>41</v>
      </c>
    </row>
    <row r="38" spans="1:12" ht="57.6">
      <c r="A38" s="3" t="s">
        <v>3669</v>
      </c>
      <c r="B38" s="3" t="s">
        <v>3670</v>
      </c>
      <c r="C38" s="3" t="s">
        <v>95</v>
      </c>
      <c r="D38" s="3" t="s">
        <v>95</v>
      </c>
      <c r="E38" s="3" t="s">
        <v>3555</v>
      </c>
      <c r="F38" s="3" t="s">
        <v>3566</v>
      </c>
      <c r="G38" s="3" t="s">
        <v>3671</v>
      </c>
      <c r="H38" s="3" t="str">
        <f>HYPERLINK("http://www.jccm.es/sede/tramite/KGY","COMUNICACION DE DATOS PARA LA INSCRIPCION EN EL REGISTRO GENERAL DE LA PRODUCCION AGRICOLA (REGEPA)")</f>
        <v>COMUNICACION DE DATOS PARA LA INSCRIPCION EN EL REGISTRO GENERAL DE LA PRODUCCION AGRICOLA (REGEPA)</v>
      </c>
      <c r="I38" s="3" t="s">
        <v>41</v>
      </c>
      <c r="J38" s="3" t="s">
        <v>41</v>
      </c>
      <c r="K38" s="3" t="s">
        <v>42</v>
      </c>
      <c r="L38" s="3" t="s">
        <v>41</v>
      </c>
    </row>
    <row r="39" spans="1:12" ht="57.6">
      <c r="A39" s="3" t="s">
        <v>3672</v>
      </c>
      <c r="B39" s="3" t="s">
        <v>3673</v>
      </c>
      <c r="C39" s="3" t="s">
        <v>95</v>
      </c>
      <c r="D39" s="3" t="s">
        <v>95</v>
      </c>
      <c r="E39" s="3" t="s">
        <v>3555</v>
      </c>
      <c r="F39" s="3" t="s">
        <v>3616</v>
      </c>
      <c r="G39" s="3" t="s">
        <v>3674</v>
      </c>
      <c r="H39" s="3" t="str">
        <f>HYPERLINK("http://www.jccm.es/sede/tramite/KHA","COMUNICACION ANUAL DE DATOS AL REGISTRO DE ENTIDADES ASOCIATIVAS PRIORITARIAS DE INTERES REGIONAL DE CASTILLA-LA MANCHA EAPIR")</f>
        <v>COMUNICACION ANUAL DE DATOS AL REGISTRO DE ENTIDADES ASOCIATIVAS PRIORITARIAS DE INTERES REGIONAL DE CASTILLA-LA MANCHA EAPIR</v>
      </c>
      <c r="I39" s="3" t="s">
        <v>41</v>
      </c>
      <c r="J39" s="3" t="s">
        <v>41</v>
      </c>
      <c r="K39" s="3" t="s">
        <v>42</v>
      </c>
      <c r="L39" s="3" t="s">
        <v>41</v>
      </c>
    </row>
    <row r="40" spans="1:12" ht="57.6">
      <c r="A40" s="3" t="s">
        <v>3675</v>
      </c>
      <c r="B40" s="3" t="s">
        <v>3676</v>
      </c>
      <c r="C40" s="3" t="s">
        <v>3100</v>
      </c>
      <c r="D40" s="3" t="s">
        <v>46</v>
      </c>
      <c r="E40" s="3" t="s">
        <v>3555</v>
      </c>
      <c r="F40" s="3" t="s">
        <v>3566</v>
      </c>
      <c r="G40" s="3" t="s">
        <v>3677</v>
      </c>
      <c r="H40" s="3" t="str">
        <f>HYPERLINK("http://www.jccm.es/sede/tramite/KJX","AUTORIZACION PARA NUEVAS PLANTACIONES DE VIÑEDO")</f>
        <v>AUTORIZACION PARA NUEVAS PLANTACIONES DE VIÑEDO</v>
      </c>
      <c r="I40" s="3" t="s">
        <v>42</v>
      </c>
      <c r="J40" s="3" t="s">
        <v>41</v>
      </c>
      <c r="K40" s="3" t="s">
        <v>42</v>
      </c>
      <c r="L40" s="3" t="s">
        <v>41</v>
      </c>
    </row>
    <row r="41" spans="1:12" ht="57.6">
      <c r="A41" s="3" t="s">
        <v>3678</v>
      </c>
      <c r="B41" s="3" t="s">
        <v>3679</v>
      </c>
      <c r="C41" s="3" t="s">
        <v>45</v>
      </c>
      <c r="D41" s="3" t="s">
        <v>37</v>
      </c>
      <c r="E41" s="3" t="s">
        <v>3555</v>
      </c>
      <c r="F41" s="3" t="s">
        <v>3566</v>
      </c>
      <c r="G41" s="3" t="s">
        <v>3680</v>
      </c>
      <c r="H41" s="3" t="str">
        <f>HYPERLINK("http://www.jccm.es/sede/tramite/KK9","RENUNCIA A LA CONCESION DE AUTORIZACION PARA NUEVAS PLANTACIONES DE VIÑEDO")</f>
        <v>RENUNCIA A LA CONCESION DE AUTORIZACION PARA NUEVAS PLANTACIONES DE VIÑEDO</v>
      </c>
      <c r="I41" s="3" t="s">
        <v>42</v>
      </c>
      <c r="J41" s="3" t="s">
        <v>41</v>
      </c>
      <c r="K41" s="3" t="s">
        <v>42</v>
      </c>
      <c r="L41" s="3" t="s">
        <v>41</v>
      </c>
    </row>
    <row r="42" spans="1:12" ht="57.6">
      <c r="A42" s="3" t="s">
        <v>3681</v>
      </c>
      <c r="B42" s="3" t="s">
        <v>3646</v>
      </c>
      <c r="C42" s="3" t="s">
        <v>51</v>
      </c>
      <c r="D42" s="3" t="s">
        <v>46</v>
      </c>
      <c r="E42" s="3" t="s">
        <v>3555</v>
      </c>
      <c r="F42" s="3" t="s">
        <v>3566</v>
      </c>
      <c r="G42" s="3" t="s">
        <v>3682</v>
      </c>
      <c r="H42" s="3" t="str">
        <f>HYPERLINK("http://www.jccm.es/sede/tramite/KL4","COMUNICACION CAMBIO TITULARIDAD  DEL VITICULTOR")</f>
        <v>COMUNICACION CAMBIO TITULARIDAD  DEL VITICULTOR</v>
      </c>
      <c r="I42" s="3" t="s">
        <v>42</v>
      </c>
      <c r="J42" s="3" t="s">
        <v>41</v>
      </c>
      <c r="K42" s="3" t="s">
        <v>42</v>
      </c>
      <c r="L42" s="3" t="s">
        <v>41</v>
      </c>
    </row>
    <row r="43" spans="1:12" ht="57.6">
      <c r="A43" s="3" t="s">
        <v>3683</v>
      </c>
      <c r="B43" s="3" t="s">
        <v>3684</v>
      </c>
      <c r="C43" s="3" t="s">
        <v>95</v>
      </c>
      <c r="D43" s="3" t="s">
        <v>95</v>
      </c>
      <c r="E43" s="3" t="s">
        <v>3555</v>
      </c>
      <c r="F43" s="3" t="s">
        <v>3566</v>
      </c>
      <c r="G43" s="3" t="s">
        <v>3685</v>
      </c>
      <c r="H43" s="3" t="str">
        <f>HYPERLINK("http://www.jccm.es/sede/tramite/KLC","COMUNICACION DE PROGRAMAS DE TRASLADO DE COLMENAS")</f>
        <v>COMUNICACION DE PROGRAMAS DE TRASLADO DE COLMENAS</v>
      </c>
      <c r="I43" s="3" t="s">
        <v>42</v>
      </c>
      <c r="J43" s="3" t="s">
        <v>41</v>
      </c>
      <c r="K43" s="3" t="s">
        <v>41</v>
      </c>
      <c r="L43" s="3" t="s">
        <v>41</v>
      </c>
    </row>
    <row r="44" spans="1:12" ht="57.6">
      <c r="A44" s="3" t="s">
        <v>3686</v>
      </c>
      <c r="B44" s="3" t="s">
        <v>3687</v>
      </c>
      <c r="C44" s="3" t="s">
        <v>327</v>
      </c>
      <c r="D44" s="3" t="s">
        <v>37</v>
      </c>
      <c r="E44" s="3" t="s">
        <v>3555</v>
      </c>
      <c r="F44" s="3" t="s">
        <v>3616</v>
      </c>
      <c r="G44" s="3" t="s">
        <v>3688</v>
      </c>
      <c r="H44" s="3" t="str">
        <f>HYPERLINK("http://www.jccm.es/sede/tramite/KW1","SOLICITUD DE AUTORIZACION PROGRAMA DE RETIRADA BAJO CONTROL DE LOS SUBPRODUCTOS")</f>
        <v>SOLICITUD DE AUTORIZACION PROGRAMA DE RETIRADA BAJO CONTROL DE LOS SUBPRODUCTOS</v>
      </c>
      <c r="I44" s="3" t="s">
        <v>41</v>
      </c>
      <c r="J44" s="3" t="s">
        <v>41</v>
      </c>
      <c r="K44" s="3" t="s">
        <v>42</v>
      </c>
      <c r="L44" s="3" t="s">
        <v>41</v>
      </c>
    </row>
    <row r="45" spans="1:12" ht="57.6">
      <c r="A45" s="3" t="s">
        <v>3689</v>
      </c>
      <c r="B45" s="3" t="s">
        <v>3690</v>
      </c>
      <c r="C45" s="3" t="s">
        <v>95</v>
      </c>
      <c r="D45" s="3" t="s">
        <v>95</v>
      </c>
      <c r="E45" s="3" t="s">
        <v>3555</v>
      </c>
      <c r="F45" s="3" t="s">
        <v>3566</v>
      </c>
      <c r="G45" s="3" t="s">
        <v>3691</v>
      </c>
      <c r="H45" s="3" t="str">
        <f>HYPERLINK("http://www.jccm.es/sede/tramite/KZB","NOTIFICACION DE CASOS DE ABORTOS EN GANADO BOVINO, OVINO Y CAPRINO POR PARTE DEL VETERINARIO DE EXPLOTACION")</f>
        <v>NOTIFICACION DE CASOS DE ABORTOS EN GANADO BOVINO, OVINO Y CAPRINO POR PARTE DEL VETERINARIO DE EXPLOTACION</v>
      </c>
      <c r="I45" s="3" t="s">
        <v>42</v>
      </c>
      <c r="J45" s="3" t="s">
        <v>41</v>
      </c>
      <c r="K45" s="3" t="s">
        <v>42</v>
      </c>
      <c r="L45" s="3" t="s">
        <v>41</v>
      </c>
    </row>
    <row r="46" spans="1:12" ht="57.6">
      <c r="A46" s="3" t="s">
        <v>3692</v>
      </c>
      <c r="B46" s="3" t="s">
        <v>3693</v>
      </c>
      <c r="C46" s="3" t="s">
        <v>45</v>
      </c>
      <c r="D46" s="3" t="s">
        <v>37</v>
      </c>
      <c r="E46" s="3" t="s">
        <v>3555</v>
      </c>
      <c r="F46" s="3" t="s">
        <v>3616</v>
      </c>
      <c r="G46" s="3" t="s">
        <v>3694</v>
      </c>
      <c r="H46" s="3" t="str">
        <f>HYPERLINK("http://www.jccm.es/sede/tramite/L20","CONCESION DE LA EXENCION MARCADO HUEVOS CONFORME AL ARTICULO 11 DEL REGLAMENTO (CE) Nº 589/2008")</f>
        <v>CONCESION DE LA EXENCION MARCADO HUEVOS CONFORME AL ARTICULO 11 DEL REGLAMENTO (CE) Nº 589/2008</v>
      </c>
      <c r="I46" s="3" t="s">
        <v>42</v>
      </c>
      <c r="J46" s="3" t="s">
        <v>41</v>
      </c>
      <c r="K46" s="3" t="s">
        <v>42</v>
      </c>
      <c r="L46" s="3" t="s">
        <v>41</v>
      </c>
    </row>
    <row r="47" spans="1:12" ht="69">
      <c r="A47" s="3" t="s">
        <v>3695</v>
      </c>
      <c r="B47" s="3" t="s">
        <v>3696</v>
      </c>
      <c r="C47" s="3" t="s">
        <v>95</v>
      </c>
      <c r="D47" s="3" t="s">
        <v>95</v>
      </c>
      <c r="E47" s="3" t="s">
        <v>3555</v>
      </c>
      <c r="F47" s="3" t="s">
        <v>3697</v>
      </c>
      <c r="G47" s="3" t="s">
        <v>3698</v>
      </c>
      <c r="H47" s="3" t="str">
        <f>HYPERLINK("http://www.jccm.es/sede/tramite/L75","COMUNICACION DE RECINTOS EN LOS QUE SE SOLICITA LA AYUDA A LA AGRICULTURA ECOLOGICA TRATADOS CON PRODUCTOS FITOSANITARIOS")</f>
        <v>COMUNICACION DE RECINTOS EN LOS QUE SE SOLICITA LA AYUDA A LA AGRICULTURA ECOLOGICA TRATADOS CON PRODUCTOS FITOSANITARIOS</v>
      </c>
      <c r="I47" s="3" t="s">
        <v>42</v>
      </c>
      <c r="J47" s="3" t="s">
        <v>41</v>
      </c>
      <c r="K47" s="3" t="s">
        <v>42</v>
      </c>
      <c r="L47" s="3" t="s">
        <v>41</v>
      </c>
    </row>
    <row r="48" spans="1:12" ht="57.6">
      <c r="A48" s="3" t="s">
        <v>3699</v>
      </c>
      <c r="B48" s="3" t="s">
        <v>3700</v>
      </c>
      <c r="C48" s="3" t="s">
        <v>95</v>
      </c>
      <c r="D48" s="3" t="s">
        <v>95</v>
      </c>
      <c r="E48" s="3" t="s">
        <v>3555</v>
      </c>
      <c r="F48" s="3" t="s">
        <v>3566</v>
      </c>
      <c r="G48" s="3" t="s">
        <v>3701</v>
      </c>
      <c r="H48" s="3" t="str">
        <f>HYPERLINK("http://www.jccm.es/sede/tramite/L7D","AUTORIZACION EXCEPCIONAL USO PRODUCTOS FITOSANITARIOS")</f>
        <v>AUTORIZACION EXCEPCIONAL USO PRODUCTOS FITOSANITARIOS</v>
      </c>
      <c r="I48" s="3" t="s">
        <v>41</v>
      </c>
      <c r="J48" s="3" t="s">
        <v>41</v>
      </c>
      <c r="K48" s="3" t="s">
        <v>42</v>
      </c>
      <c r="L48" s="3" t="s">
        <v>41</v>
      </c>
    </row>
    <row r="49" spans="1:12" ht="57.6">
      <c r="A49" s="3" t="s">
        <v>3702</v>
      </c>
      <c r="B49" s="3" t="s">
        <v>3703</v>
      </c>
      <c r="C49" s="3" t="s">
        <v>3704</v>
      </c>
      <c r="D49" s="3" t="s">
        <v>95</v>
      </c>
      <c r="E49" s="3" t="s">
        <v>3555</v>
      </c>
      <c r="F49" s="3" t="s">
        <v>3566</v>
      </c>
      <c r="G49" s="3" t="s">
        <v>3705</v>
      </c>
      <c r="H49" s="3" t="str">
        <f>HYPERLINK("http://www.jccm.es/sede/tramite/LC9","COMUNICACION DESINFECCION DE SUELOS CON PRODUCTOS FITOSANITARIOS FORMULADOS A BASE DE 1,3 DICLOROPROPENO")</f>
        <v>COMUNICACION DESINFECCION DE SUELOS CON PRODUCTOS FITOSANITARIOS FORMULADOS A BASE DE 1,3 DICLOROPROPENO</v>
      </c>
      <c r="I49" s="3" t="s">
        <v>42</v>
      </c>
      <c r="J49" s="3" t="s">
        <v>41</v>
      </c>
      <c r="K49" s="3" t="s">
        <v>42</v>
      </c>
      <c r="L49" s="3" t="s">
        <v>41</v>
      </c>
    </row>
    <row r="50" spans="1:12" ht="57.6">
      <c r="A50" s="3" t="s">
        <v>3706</v>
      </c>
      <c r="B50" s="3" t="s">
        <v>3707</v>
      </c>
      <c r="C50" s="3" t="s">
        <v>95</v>
      </c>
      <c r="D50" s="3" t="s">
        <v>95</v>
      </c>
      <c r="E50" s="3" t="s">
        <v>3555</v>
      </c>
      <c r="F50" s="3" t="s">
        <v>3566</v>
      </c>
      <c r="G50" s="3" t="s">
        <v>3708</v>
      </c>
      <c r="H50" s="3" t="str">
        <f>HYPERLINK("http://www.jccm.es/sede/tramite/LE9","COMUNICACION DE TRATAMIENTO CON FOSFURO DE ALUMINIO")</f>
        <v>COMUNICACION DE TRATAMIENTO CON FOSFURO DE ALUMINIO</v>
      </c>
      <c r="I50" s="3" t="s">
        <v>41</v>
      </c>
      <c r="J50" s="3" t="s">
        <v>41</v>
      </c>
      <c r="K50" s="3" t="s">
        <v>42</v>
      </c>
      <c r="L50" s="3" t="s">
        <v>41</v>
      </c>
    </row>
    <row r="51" spans="1:12" ht="57.6">
      <c r="A51" s="3" t="s">
        <v>3709</v>
      </c>
      <c r="B51" s="3" t="s">
        <v>3710</v>
      </c>
      <c r="C51" s="3" t="s">
        <v>327</v>
      </c>
      <c r="D51" s="3" t="s">
        <v>46</v>
      </c>
      <c r="E51" s="3" t="s">
        <v>3555</v>
      </c>
      <c r="F51" s="3" t="s">
        <v>3556</v>
      </c>
      <c r="G51" s="3" t="s">
        <v>3711</v>
      </c>
      <c r="H51" s="3" t="str">
        <f>HYPERLINK("http://www.jccm.es/sede/tramite/LEY","DESAFECTACION DE PARCELAS DE USO RUSTICO DECLARADAS DE INTERES GENERAL O REGIONAL")</f>
        <v>DESAFECTACION DE PARCELAS DE USO RUSTICO DECLARADAS DE INTERES GENERAL O REGIONAL</v>
      </c>
      <c r="I51" s="3" t="s">
        <v>42</v>
      </c>
      <c r="J51" s="3" t="s">
        <v>41</v>
      </c>
      <c r="K51" s="3" t="s">
        <v>42</v>
      </c>
      <c r="L51" s="3" t="s">
        <v>41</v>
      </c>
    </row>
    <row r="52" spans="1:12" ht="57.6">
      <c r="A52" s="3" t="s">
        <v>3712</v>
      </c>
      <c r="B52" s="3" t="s">
        <v>3713</v>
      </c>
      <c r="C52" s="3" t="s">
        <v>45</v>
      </c>
      <c r="D52" s="3" t="s">
        <v>37</v>
      </c>
      <c r="E52" s="3" t="s">
        <v>3555</v>
      </c>
      <c r="F52" s="3" t="s">
        <v>3616</v>
      </c>
      <c r="G52" s="3" t="s">
        <v>3714</v>
      </c>
      <c r="H52" s="3" t="str">
        <f>HYPERLINK("http://www.jccm.es/sede/tramite/LEZ","AUTORIZACION ADMINISTRATIVA RELACIONADA CON EL  REGLAMENTO (CE) 834/2007 SOBRE PRODUCCION ECOLOGICA.")</f>
        <v>AUTORIZACION ADMINISTRATIVA RELACIONADA CON EL  REGLAMENTO (CE) 834/2007 SOBRE PRODUCCION ECOLOGICA.</v>
      </c>
      <c r="I52" s="3" t="s">
        <v>41</v>
      </c>
      <c r="J52" s="3" t="s">
        <v>41</v>
      </c>
      <c r="K52" s="3" t="s">
        <v>42</v>
      </c>
      <c r="L52" s="3" t="s">
        <v>41</v>
      </c>
    </row>
    <row r="53" spans="1:12" ht="57.6">
      <c r="A53" s="3" t="s">
        <v>3715</v>
      </c>
      <c r="B53" s="3" t="s">
        <v>3716</v>
      </c>
      <c r="C53" s="3" t="s">
        <v>45</v>
      </c>
      <c r="D53" s="3" t="s">
        <v>37</v>
      </c>
      <c r="E53" s="3" t="s">
        <v>3555</v>
      </c>
      <c r="F53" s="3" t="s">
        <v>3616</v>
      </c>
      <c r="G53" s="3" t="s">
        <v>3717</v>
      </c>
      <c r="H53" s="3" t="str">
        <f>HYPERLINK("http://www.jccm.es/sede/tramite/LFB","DESIGNACION DE LABORATORIO PARA CONTROL OFICIAL DE  PROGRAMAS DE PRODUCCION ECOLOGICA Y CALIDAD DIFERENCIADA")</f>
        <v>DESIGNACION DE LABORATORIO PARA CONTROL OFICIAL DE  PROGRAMAS DE PRODUCCION ECOLOGICA Y CALIDAD DIFERENCIADA</v>
      </c>
      <c r="I53" s="3" t="s">
        <v>41</v>
      </c>
      <c r="J53" s="3" t="s">
        <v>41</v>
      </c>
      <c r="K53" s="3" t="s">
        <v>42</v>
      </c>
      <c r="L53" s="3" t="s">
        <v>41</v>
      </c>
    </row>
    <row r="54" spans="1:12" ht="57.6">
      <c r="A54" s="3" t="s">
        <v>3718</v>
      </c>
      <c r="B54" s="3" t="s">
        <v>3719</v>
      </c>
      <c r="C54" s="3" t="s">
        <v>70</v>
      </c>
      <c r="D54" s="3" t="s">
        <v>37</v>
      </c>
      <c r="E54" s="3" t="s">
        <v>3555</v>
      </c>
      <c r="F54" s="3" t="s">
        <v>3566</v>
      </c>
      <c r="G54" s="3" t="s">
        <v>3720</v>
      </c>
      <c r="H54" s="3" t="str">
        <f>HYPERLINK("http://www.jccm.es/sede/tramite/LFJ","ALTA COMO REPRESENTANTE EN UVITI.")</f>
        <v>ALTA COMO REPRESENTANTE EN UVITI.</v>
      </c>
      <c r="I54" s="3" t="s">
        <v>41</v>
      </c>
      <c r="J54" s="3" t="s">
        <v>41</v>
      </c>
      <c r="K54" s="3" t="s">
        <v>42</v>
      </c>
      <c r="L54" s="3" t="s">
        <v>41</v>
      </c>
    </row>
    <row r="55" spans="1:12" ht="126.6">
      <c r="A55" s="3" t="s">
        <v>3721</v>
      </c>
      <c r="B55" s="3" t="s">
        <v>3722</v>
      </c>
      <c r="C55" s="3" t="s">
        <v>327</v>
      </c>
      <c r="D55" s="3" t="s">
        <v>37</v>
      </c>
      <c r="E55" s="3" t="s">
        <v>3555</v>
      </c>
      <c r="F55" s="3" t="s">
        <v>3616</v>
      </c>
      <c r="G55" s="3" t="s">
        <v>3723</v>
      </c>
      <c r="H55" s="3" t="str">
        <f>HYPERLINK("http://www.jccm.es/sede/tramite/LG7","SOLICITUD DE RECONOCIMIENTO E INSCRIPCION, MODIFICACION Y BAJA EN EL REGISTRO VENTA DIRECTA DE PRODUCTOS LIGADOS A LA ACTIVIDAD AGRICOLA Y GANADERA (PRODUCTOS TRANSFORMADOS SIN RGSEAA)")</f>
        <v>SOLICITUD DE RECONOCIMIENTO E INSCRIPCION, MODIFICACION Y BAJA EN EL REGISTRO VENTA DIRECTA DE PRODUCTOS LIGADOS A LA ACTIVIDAD AGRICOLA Y GANADERA (PRODUCTOS TRANSFORMADOS SIN RGSEAA)</v>
      </c>
      <c r="I55" s="3" t="s">
        <v>42</v>
      </c>
      <c r="J55" s="3" t="s">
        <v>41</v>
      </c>
      <c r="K55" s="3" t="s">
        <v>42</v>
      </c>
      <c r="L55" s="3" t="s">
        <v>41</v>
      </c>
    </row>
    <row r="56" spans="1:12" ht="69">
      <c r="A56" s="3" t="s">
        <v>3724</v>
      </c>
      <c r="B56" s="3" t="s">
        <v>3725</v>
      </c>
      <c r="C56" s="3" t="s">
        <v>3726</v>
      </c>
      <c r="D56" s="3" t="s">
        <v>46</v>
      </c>
      <c r="E56" s="3" t="s">
        <v>3555</v>
      </c>
      <c r="F56" s="3" t="s">
        <v>3555</v>
      </c>
      <c r="G56" s="3" t="s">
        <v>3727</v>
      </c>
      <c r="H56" s="3" t="str">
        <f>HYPERLINK("http://www.jccm.es/sede/tramite/LHT","SOLICITUD DE AUTORIZACION PARA RECIBIR FRUTAS Y HORTALIZAS PROCEDENTES DE RETIRADAS DEL MERCADO CON DESTINO A LA ALIMENTACION ANIMAL")</f>
        <v>SOLICITUD DE AUTORIZACION PARA RECIBIR FRUTAS Y HORTALIZAS PROCEDENTES DE RETIRADAS DEL MERCADO CON DESTINO A LA ALIMENTACION ANIMAL</v>
      </c>
      <c r="I56" s="3" t="s">
        <v>42</v>
      </c>
      <c r="J56" s="3" t="s">
        <v>41</v>
      </c>
      <c r="K56" s="3" t="s">
        <v>42</v>
      </c>
      <c r="L56" s="3" t="s">
        <v>41</v>
      </c>
    </row>
    <row r="57" spans="1:12" ht="57.6">
      <c r="A57" s="3" t="s">
        <v>3728</v>
      </c>
      <c r="B57" s="3" t="s">
        <v>3729</v>
      </c>
      <c r="C57" s="3" t="s">
        <v>232</v>
      </c>
      <c r="D57" s="3" t="s">
        <v>46</v>
      </c>
      <c r="E57" s="3" t="s">
        <v>3555</v>
      </c>
      <c r="F57" s="3" t="s">
        <v>3556</v>
      </c>
      <c r="G57" s="3" t="s">
        <v>3730</v>
      </c>
      <c r="H57" s="3" t="str">
        <f>HYPERLINK("http://www.jccm.es/sede/tramite/LK4","SOLICITUD DE AUTORIZACION CONCENTRACION PARCELARIA CASTILLA-LA MANCHA.")</f>
        <v>SOLICITUD DE AUTORIZACION CONCENTRACION PARCELARIA CASTILLA-LA MANCHA.</v>
      </c>
      <c r="I57" s="3" t="s">
        <v>42</v>
      </c>
      <c r="J57" s="3" t="s">
        <v>41</v>
      </c>
      <c r="K57" s="3" t="s">
        <v>42</v>
      </c>
      <c r="L57" s="3" t="s">
        <v>41</v>
      </c>
    </row>
    <row r="58" spans="1:12" ht="103.5">
      <c r="A58" s="3" t="s">
        <v>3731</v>
      </c>
      <c r="B58" s="3" t="s">
        <v>3732</v>
      </c>
      <c r="C58" s="3" t="s">
        <v>3733</v>
      </c>
      <c r="D58" s="3" t="s">
        <v>37</v>
      </c>
      <c r="E58" s="3" t="s">
        <v>3555</v>
      </c>
      <c r="F58" s="3" t="s">
        <v>3566</v>
      </c>
      <c r="G58" s="3" t="s">
        <v>3734</v>
      </c>
      <c r="H58" s="3" t="str">
        <f>HYPERLINK("http://www.jccm.es/sede/tramite/KFH","COMUNICACION DE EDICIONES DE CURSOS DE BIENESTAR ANIMAL, BIOSEGURIDAD, HIGIENE Y SANIDAD ANIMAL Y SUS MODIFICACIONES.")</f>
        <v>COMUNICACION DE EDICIONES DE CURSOS DE BIENESTAR ANIMAL, BIOSEGURIDAD, HIGIENE Y SANIDAD ANIMAL Y SUS MODIFICACIONES.</v>
      </c>
      <c r="I58" s="3" t="s">
        <v>41</v>
      </c>
      <c r="J58" s="3" t="s">
        <v>41</v>
      </c>
      <c r="K58" s="3" t="s">
        <v>42</v>
      </c>
      <c r="L58" s="3" t="s">
        <v>41</v>
      </c>
    </row>
    <row r="59" spans="1:12" ht="69">
      <c r="A59" s="3" t="s">
        <v>3735</v>
      </c>
      <c r="B59" s="3" t="s">
        <v>3736</v>
      </c>
      <c r="C59" s="3" t="s">
        <v>95</v>
      </c>
      <c r="D59" s="3" t="s">
        <v>95</v>
      </c>
      <c r="E59" s="3" t="s">
        <v>3555</v>
      </c>
      <c r="F59" s="3" t="s">
        <v>3566</v>
      </c>
      <c r="G59" s="3" t="s">
        <v>3737</v>
      </c>
      <c r="H59" s="3" t="str">
        <f>HYPERLINK("http://www.jccm.es/sede/tramite/KFG","EXPEDICION DEL CERTIFICADO DE COMPETENCIA, RENOVACION O DUPLICADO  EN MATERIA DE BIENESTAR ANIMAL, BIOSEGURIDAD, HIGIENE Y SANIDAD ANIMAL")</f>
        <v>EXPEDICION DEL CERTIFICADO DE COMPETENCIA, RENOVACION O DUPLICADO  EN MATERIA DE BIENESTAR ANIMAL, BIOSEGURIDAD, HIGIENE Y SANIDAD ANIMAL</v>
      </c>
      <c r="I59" s="3" t="s">
        <v>42</v>
      </c>
      <c r="J59" s="3" t="s">
        <v>41</v>
      </c>
      <c r="K59" s="3" t="s">
        <v>42</v>
      </c>
      <c r="L59" s="3" t="s">
        <v>41</v>
      </c>
    </row>
    <row r="60" spans="1:12" ht="80.45">
      <c r="A60" s="3" t="s">
        <v>3738</v>
      </c>
      <c r="B60" s="3" t="s">
        <v>3739</v>
      </c>
      <c r="C60" s="3" t="s">
        <v>95</v>
      </c>
      <c r="D60" s="3" t="s">
        <v>95</v>
      </c>
      <c r="E60" s="3" t="s">
        <v>3555</v>
      </c>
      <c r="F60" s="3" t="s">
        <v>3566</v>
      </c>
      <c r="G60" s="3" t="s">
        <v>3740</v>
      </c>
      <c r="H60" s="3" t="str">
        <f>HYPERLINK("http://www.jccm.es/sede/tramite/LL9","SOLICITUD DE ACOGIMIENTO A LA EXCEPCION DEL ARTICULO 4.4.A DEL REAL DECRETO 306/2020, DE 11 DE FEBRERO, RELATIVA AL CERTIFICADO DE COMPETENCIA EN GANADO PORCINO")</f>
        <v>SOLICITUD DE ACOGIMIENTO A LA EXCEPCION DEL ARTICULO 4.4.A DEL REAL DECRETO 306/2020, DE 11 DE FEBRERO, RELATIVA AL CERTIFICADO DE COMPETENCIA EN GANADO PORCINO</v>
      </c>
      <c r="I60" s="3" t="s">
        <v>42</v>
      </c>
      <c r="J60" s="3" t="s">
        <v>41</v>
      </c>
      <c r="K60" s="3" t="s">
        <v>42</v>
      </c>
      <c r="L60" s="3" t="s">
        <v>41</v>
      </c>
    </row>
    <row r="61" spans="1:12" ht="103.5">
      <c r="A61" s="3" t="s">
        <v>3741</v>
      </c>
      <c r="B61" s="3" t="s">
        <v>3742</v>
      </c>
      <c r="C61" s="3" t="s">
        <v>327</v>
      </c>
      <c r="D61" s="3" t="s">
        <v>37</v>
      </c>
      <c r="E61" s="3" t="s">
        <v>3555</v>
      </c>
      <c r="F61" s="3" t="s">
        <v>3566</v>
      </c>
      <c r="G61" s="3" t="s">
        <v>3743</v>
      </c>
      <c r="H61" s="3" t="str">
        <f>HYPERLINK("http://www.jccm.es/sede/tramite/LLZ","CATEGORIZACION DE ESPACIOS.")</f>
        <v>CATEGORIZACION DE ESPACIOS.</v>
      </c>
      <c r="I61" s="3" t="s">
        <v>42</v>
      </c>
      <c r="J61" s="3" t="s">
        <v>41</v>
      </c>
      <c r="K61" s="3" t="s">
        <v>42</v>
      </c>
      <c r="L61" s="3" t="s">
        <v>41</v>
      </c>
    </row>
    <row r="62" spans="1:12" ht="57.6">
      <c r="A62" s="3" t="s">
        <v>3744</v>
      </c>
      <c r="B62" s="3" t="s">
        <v>3745</v>
      </c>
      <c r="C62" s="3" t="s">
        <v>95</v>
      </c>
      <c r="D62" s="3" t="s">
        <v>95</v>
      </c>
      <c r="E62" s="3" t="s">
        <v>3555</v>
      </c>
      <c r="F62" s="3" t="s">
        <v>3616</v>
      </c>
      <c r="G62" s="3" t="s">
        <v>3746</v>
      </c>
      <c r="H62" s="3" t="str">
        <f>HYPERLINK("http://www.jccm.es/sede/tramite/LN9","INFORMACION RELATIVA A LA TRAZABILIDAD DE MATERIAS PRIMAS Y PRODUCTOS TERMINADOS A DESTILERIAS")</f>
        <v>INFORMACION RELATIVA A LA TRAZABILIDAD DE MATERIAS PRIMAS Y PRODUCTOS TERMINADOS A DESTILERIAS</v>
      </c>
      <c r="I62" s="3" t="s">
        <v>41</v>
      </c>
      <c r="J62" s="3" t="s">
        <v>41</v>
      </c>
      <c r="K62" s="3" t="s">
        <v>42</v>
      </c>
      <c r="L62" s="3" t="s">
        <v>41</v>
      </c>
    </row>
    <row r="63" spans="1:12" ht="57.6">
      <c r="A63" s="3" t="s">
        <v>3747</v>
      </c>
      <c r="B63" s="3" t="s">
        <v>3748</v>
      </c>
      <c r="C63" s="3" t="s">
        <v>70</v>
      </c>
      <c r="D63" s="3" t="s">
        <v>46</v>
      </c>
      <c r="E63" s="3" t="s">
        <v>3555</v>
      </c>
      <c r="F63" s="3" t="s">
        <v>3616</v>
      </c>
      <c r="G63" s="3" t="s">
        <v>3749</v>
      </c>
      <c r="H63" s="3" t="str">
        <f>HYPERLINK("http://www.jccm.es/sede/tramite/LO4","AUTORIZACION DEL USO DE LA MARCA DE GARANTIA  CAMPO Y ALMA .")</f>
        <v>AUTORIZACION DEL USO DE LA MARCA DE GARANTIA  CAMPO Y ALMA .</v>
      </c>
      <c r="I63" s="3" t="s">
        <v>41</v>
      </c>
      <c r="J63" s="3" t="s">
        <v>41</v>
      </c>
      <c r="K63" s="3" t="s">
        <v>42</v>
      </c>
      <c r="L63" s="3" t="s">
        <v>41</v>
      </c>
    </row>
    <row r="64" spans="1:12" ht="57.6">
      <c r="A64" s="3" t="s">
        <v>3750</v>
      </c>
      <c r="B64" s="3" t="s">
        <v>3751</v>
      </c>
      <c r="C64" s="3" t="s">
        <v>95</v>
      </c>
      <c r="D64" s="3" t="s">
        <v>95</v>
      </c>
      <c r="E64" s="3" t="s">
        <v>3555</v>
      </c>
      <c r="F64" s="3" t="s">
        <v>3616</v>
      </c>
      <c r="G64" s="3" t="s">
        <v>3752</v>
      </c>
      <c r="H64" s="3" t="str">
        <f>HYPERLINK("http://www.jccm.es/sede/tramite/LVM","COMUNICACION ACTIVIDAD OPERADORES PRODUCCION ECOLOGICA")</f>
        <v>COMUNICACION ACTIVIDAD OPERADORES PRODUCCION ECOLOGICA</v>
      </c>
      <c r="I64" s="3" t="s">
        <v>42</v>
      </c>
      <c r="J64" s="3" t="s">
        <v>41</v>
      </c>
      <c r="K64" s="3" t="s">
        <v>42</v>
      </c>
      <c r="L64" s="3" t="s">
        <v>41</v>
      </c>
    </row>
    <row r="65" spans="1:12" ht="57.6">
      <c r="A65" s="3" t="s">
        <v>3753</v>
      </c>
      <c r="B65" s="3" t="s">
        <v>3754</v>
      </c>
      <c r="C65" s="3" t="s">
        <v>3755</v>
      </c>
      <c r="D65" s="3" t="s">
        <v>37</v>
      </c>
      <c r="E65" s="3" t="s">
        <v>3555</v>
      </c>
      <c r="F65" s="3" t="s">
        <v>3566</v>
      </c>
      <c r="G65" s="3" t="s">
        <v>3756</v>
      </c>
      <c r="H65" s="3" t="str">
        <f>HYPERLINK("http://www.jccm.es/sede/tramite/LYI","SOLICITUD DE AUTORIZACION EXCEPCIONAL PARA LA QUEMA DE RESIDUOS AGRICOLAS POR MOTIVOS FITOSANITARIOS")</f>
        <v>SOLICITUD DE AUTORIZACION EXCEPCIONAL PARA LA QUEMA DE RESIDUOS AGRICOLAS POR MOTIVOS FITOSANITARIOS</v>
      </c>
      <c r="I65" s="3" t="s">
        <v>41</v>
      </c>
      <c r="J65" s="3" t="s">
        <v>41</v>
      </c>
      <c r="K65" s="3" t="s">
        <v>42</v>
      </c>
      <c r="L65" s="3" t="s">
        <v>41</v>
      </c>
    </row>
    <row r="66" spans="1:12" ht="57.6">
      <c r="A66" s="3" t="s">
        <v>3757</v>
      </c>
      <c r="B66" s="3" t="s">
        <v>3758</v>
      </c>
      <c r="C66" s="3" t="s">
        <v>95</v>
      </c>
      <c r="D66" s="3" t="s">
        <v>95</v>
      </c>
      <c r="E66" s="3" t="s">
        <v>3555</v>
      </c>
      <c r="F66" s="3" t="s">
        <v>3566</v>
      </c>
      <c r="G66" s="3" t="s">
        <v>3759</v>
      </c>
      <c r="H66" s="3" t="str">
        <f>HYPERLINK("http://www.jccm.es/sede/tramite/L2K","DECLARACION DEL CENSO DE ANIMALES DE NUCLEOS ZOOLOGICOS")</f>
        <v>DECLARACION DEL CENSO DE ANIMALES DE NUCLEOS ZOOLOGICOS</v>
      </c>
      <c r="I66" s="3" t="s">
        <v>42</v>
      </c>
      <c r="J66" s="3" t="s">
        <v>41</v>
      </c>
      <c r="K66" s="3" t="s">
        <v>42</v>
      </c>
      <c r="L66" s="3" t="s">
        <v>41</v>
      </c>
    </row>
    <row r="67" spans="1:12" ht="57.6">
      <c r="A67" s="3" t="s">
        <v>3760</v>
      </c>
      <c r="B67" s="3" t="s">
        <v>3761</v>
      </c>
      <c r="C67" s="3" t="s">
        <v>95</v>
      </c>
      <c r="D67" s="3" t="s">
        <v>95</v>
      </c>
      <c r="E67" s="3" t="s">
        <v>3555</v>
      </c>
      <c r="F67" s="3" t="s">
        <v>3566</v>
      </c>
      <c r="G67" s="3" t="s">
        <v>3762</v>
      </c>
      <c r="H67" s="3" t="str">
        <f>HYPERLINK("http://www.jccm.es/sede/tramite/JOF","DECLARACION DEL CENSO DE ANIMALES DE LA EXPLOTACION GANADERA")</f>
        <v>DECLARACION DEL CENSO DE ANIMALES DE LA EXPLOTACION GANADERA</v>
      </c>
      <c r="I67" s="3" t="s">
        <v>42</v>
      </c>
      <c r="J67" s="3" t="s">
        <v>41</v>
      </c>
      <c r="K67" s="3" t="s">
        <v>42</v>
      </c>
      <c r="L67" s="3" t="s">
        <v>41</v>
      </c>
    </row>
    <row r="68" spans="1:12" ht="57.6">
      <c r="A68" s="3" t="s">
        <v>3763</v>
      </c>
      <c r="B68" s="3" t="s">
        <v>3764</v>
      </c>
      <c r="C68" s="3" t="s">
        <v>95</v>
      </c>
      <c r="D68" s="3" t="s">
        <v>95</v>
      </c>
      <c r="E68" s="3" t="s">
        <v>3555</v>
      </c>
      <c r="F68" s="3" t="s">
        <v>3566</v>
      </c>
      <c r="G68" s="3" t="s">
        <v>3765</v>
      </c>
      <c r="H68" s="3" t="str">
        <f>HYPERLINK("http://www.jccm.es/sede/tramite/K70","OBTENCION ELEMENTOS DE IDENTIFICACION ANIMAL")</f>
        <v>OBTENCION ELEMENTOS DE IDENTIFICACION ANIMAL</v>
      </c>
      <c r="I68" s="3" t="s">
        <v>42</v>
      </c>
      <c r="J68" s="3" t="s">
        <v>41</v>
      </c>
      <c r="K68" s="3" t="s">
        <v>42</v>
      </c>
      <c r="L68" s="3" t="s">
        <v>41</v>
      </c>
    </row>
    <row r="69" spans="1:12" ht="57.6">
      <c r="A69" s="3" t="s">
        <v>3766</v>
      </c>
      <c r="B69" s="3" t="s">
        <v>3767</v>
      </c>
      <c r="C69" s="3" t="s">
        <v>95</v>
      </c>
      <c r="D69" s="3" t="s">
        <v>95</v>
      </c>
      <c r="E69" s="3" t="s">
        <v>3555</v>
      </c>
      <c r="F69" s="3" t="s">
        <v>3566</v>
      </c>
      <c r="G69" s="3" t="s">
        <v>3768</v>
      </c>
      <c r="H69" s="3" t="str">
        <f>HYPERLINK("http://www.jccm.es/sede/tramite/K71","OBTENCION DUPLICADOS DE ELEMENTOS DE IDENTIFICACION ANIMAL")</f>
        <v>OBTENCION DUPLICADOS DE ELEMENTOS DE IDENTIFICACION ANIMAL</v>
      </c>
      <c r="I69" s="3" t="s">
        <v>42</v>
      </c>
      <c r="J69" s="3" t="s">
        <v>41</v>
      </c>
      <c r="K69" s="3" t="s">
        <v>42</v>
      </c>
      <c r="L69" s="3" t="s">
        <v>41</v>
      </c>
    </row>
    <row r="70" spans="1:12" ht="57.6">
      <c r="A70" s="3" t="s">
        <v>3769</v>
      </c>
      <c r="B70" s="3" t="s">
        <v>3770</v>
      </c>
      <c r="C70" s="3" t="s">
        <v>95</v>
      </c>
      <c r="D70" s="3" t="s">
        <v>95</v>
      </c>
      <c r="E70" s="3" t="s">
        <v>3555</v>
      </c>
      <c r="F70" s="3" t="s">
        <v>3566</v>
      </c>
      <c r="G70" s="3" t="s">
        <v>3771</v>
      </c>
      <c r="H70" s="3" t="str">
        <f>HYPERLINK("http://www.jccm.es/sede/tramite/KEZ","COMUNICACION DE INICIO DE ACTIVIDAD DE ITEAF AUTORIZADA FUERA DE CASTILLA  LA MANCHA")</f>
        <v>COMUNICACION DE INICIO DE ACTIVIDAD DE ITEAF AUTORIZADA FUERA DE CASTILLA  LA MANCHA</v>
      </c>
      <c r="I70" s="3" t="s">
        <v>41</v>
      </c>
      <c r="J70" s="3" t="s">
        <v>41</v>
      </c>
      <c r="K70" s="3" t="s">
        <v>42</v>
      </c>
      <c r="L70" s="3" t="s">
        <v>41</v>
      </c>
    </row>
    <row r="71" spans="1:12" ht="57.6">
      <c r="A71" s="3" t="s">
        <v>3772</v>
      </c>
      <c r="B71" s="3" t="s">
        <v>3773</v>
      </c>
      <c r="C71" s="3" t="s">
        <v>95</v>
      </c>
      <c r="D71" s="3" t="s">
        <v>95</v>
      </c>
      <c r="E71" s="3" t="s">
        <v>3555</v>
      </c>
      <c r="F71" s="3" t="s">
        <v>3566</v>
      </c>
      <c r="G71" s="3" t="s">
        <v>3774</v>
      </c>
      <c r="H71" s="3" t="str">
        <f>HYPERLINK("http://www.jccm.es/sede/tramite/KF0","COMUNICACION DE CAMBIOS EN LAS CONDICIONES Y/O REQUISITOS DE LA AUTORIZACION DE ITEAF")</f>
        <v>COMUNICACION DE CAMBIOS EN LAS CONDICIONES Y/O REQUISITOS DE LA AUTORIZACION DE ITEAF</v>
      </c>
      <c r="I71" s="3" t="s">
        <v>41</v>
      </c>
      <c r="J71" s="3" t="s">
        <v>41</v>
      </c>
      <c r="K71" s="3" t="s">
        <v>42</v>
      </c>
      <c r="L71" s="3" t="s">
        <v>41</v>
      </c>
    </row>
    <row r="72" spans="1:12" ht="57.6">
      <c r="A72" s="3" t="s">
        <v>3775</v>
      </c>
      <c r="B72" s="3" t="s">
        <v>3776</v>
      </c>
      <c r="C72" s="3" t="s">
        <v>95</v>
      </c>
      <c r="D72" s="3" t="s">
        <v>95</v>
      </c>
      <c r="E72" s="3" t="s">
        <v>3555</v>
      </c>
      <c r="F72" s="3" t="s">
        <v>3566</v>
      </c>
      <c r="G72" s="3" t="s">
        <v>3777</v>
      </c>
      <c r="H72" s="3" t="str">
        <f>HYPERLINK("http://www.jccm.es/sede/tramite/KF1","COMUNICACION DEL CALENDARIO DE INSPECCIONES A REALIZAR POR LA ITEAF.")</f>
        <v>COMUNICACION DEL CALENDARIO DE INSPECCIONES A REALIZAR POR LA ITEAF.</v>
      </c>
      <c r="I72" s="3" t="s">
        <v>41</v>
      </c>
      <c r="J72" s="3" t="s">
        <v>41</v>
      </c>
      <c r="K72" s="3" t="s">
        <v>42</v>
      </c>
      <c r="L72" s="3" t="s">
        <v>41</v>
      </c>
    </row>
    <row r="73" spans="1:12" ht="57.6">
      <c r="A73" s="3" t="s">
        <v>3778</v>
      </c>
      <c r="B73" s="3" t="s">
        <v>3779</v>
      </c>
      <c r="C73" s="3" t="s">
        <v>45</v>
      </c>
      <c r="D73" s="3" t="s">
        <v>37</v>
      </c>
      <c r="E73" s="3" t="s">
        <v>3555</v>
      </c>
      <c r="F73" s="3" t="s">
        <v>3566</v>
      </c>
      <c r="G73" s="3" t="s">
        <v>3780</v>
      </c>
      <c r="H73" s="3" t="str">
        <f>HYPERLINK("http://www.jccm.es/sede/tramite/KIS","AUTORIZACION PARA LA CONVERSION DE DERECHOS DE PLANTACION EN AUTORIZACION DE PLANTACION DE VIÑEDO")</f>
        <v>AUTORIZACION PARA LA CONVERSION DE DERECHOS DE PLANTACION EN AUTORIZACION DE PLANTACION DE VIÑEDO</v>
      </c>
      <c r="I73" s="3" t="s">
        <v>42</v>
      </c>
      <c r="J73" s="3" t="s">
        <v>41</v>
      </c>
      <c r="K73" s="3" t="s">
        <v>42</v>
      </c>
      <c r="L73" s="3" t="s">
        <v>41</v>
      </c>
    </row>
    <row r="74" spans="1:12" ht="57.6">
      <c r="A74" s="3" t="s">
        <v>3781</v>
      </c>
      <c r="B74" s="3" t="s">
        <v>3782</v>
      </c>
      <c r="C74" s="3" t="s">
        <v>45</v>
      </c>
      <c r="D74" s="3" t="s">
        <v>37</v>
      </c>
      <c r="E74" s="3" t="s">
        <v>3555</v>
      </c>
      <c r="F74" s="3" t="s">
        <v>3566</v>
      </c>
      <c r="G74" s="3" t="s">
        <v>3783</v>
      </c>
      <c r="H74" s="3" t="str">
        <f>HYPERLINK("http://www.jccm.es/sede/tramite/KJZ","AUTORIZACION DE REPLANTACION DE PARCELAS DE VIÑEDO")</f>
        <v>AUTORIZACION DE REPLANTACION DE PARCELAS DE VIÑEDO</v>
      </c>
      <c r="I74" s="3" t="s">
        <v>42</v>
      </c>
      <c r="J74" s="3" t="s">
        <v>41</v>
      </c>
      <c r="K74" s="3" t="s">
        <v>42</v>
      </c>
      <c r="L74" s="3" t="s">
        <v>41</v>
      </c>
    </row>
    <row r="75" spans="1:12" ht="57.6">
      <c r="A75" s="3" t="s">
        <v>3784</v>
      </c>
      <c r="B75" s="3" t="s">
        <v>3785</v>
      </c>
      <c r="C75" s="3" t="s">
        <v>45</v>
      </c>
      <c r="D75" s="3" t="s">
        <v>37</v>
      </c>
      <c r="E75" s="3" t="s">
        <v>3555</v>
      </c>
      <c r="F75" s="3" t="s">
        <v>3566</v>
      </c>
      <c r="G75" s="3" t="s">
        <v>3786</v>
      </c>
      <c r="H75" s="3" t="str">
        <f>HYPERLINK("http://www.jccm.es/sede/tramite/KK1","TRANSFERENCIA DE AUTORIZACIONES DE PLANTACION Y/O DERECHOS DE PLANTACION")</f>
        <v>TRANSFERENCIA DE AUTORIZACIONES DE PLANTACION Y/O DERECHOS DE PLANTACION</v>
      </c>
      <c r="I75" s="3" t="s">
        <v>42</v>
      </c>
      <c r="J75" s="3" t="s">
        <v>41</v>
      </c>
      <c r="K75" s="3" t="s">
        <v>42</v>
      </c>
      <c r="L75" s="3" t="s">
        <v>41</v>
      </c>
    </row>
    <row r="76" spans="1:12" ht="57.6">
      <c r="A76" s="3" t="s">
        <v>3787</v>
      </c>
      <c r="B76" s="3" t="s">
        <v>3788</v>
      </c>
      <c r="C76" s="3" t="s">
        <v>45</v>
      </c>
      <c r="D76" s="3" t="s">
        <v>37</v>
      </c>
      <c r="E76" s="3" t="s">
        <v>3555</v>
      </c>
      <c r="F76" s="3" t="s">
        <v>3566</v>
      </c>
      <c r="G76" s="3" t="s">
        <v>3789</v>
      </c>
      <c r="H76" s="3" t="str">
        <f>HYPERLINK("http://www.jccm.es/sede/tramite/KKA","MODIFICACION DE LA LOCALIZACION DE LA AUTORIZACION DE PLANTACION DE PARCELAS DE VIÑEDO")</f>
        <v>MODIFICACION DE LA LOCALIZACION DE LA AUTORIZACION DE PLANTACION DE PARCELAS DE VIÑEDO</v>
      </c>
      <c r="I76" s="3" t="s">
        <v>42</v>
      </c>
      <c r="J76" s="3" t="s">
        <v>41</v>
      </c>
      <c r="K76" s="3" t="s">
        <v>42</v>
      </c>
      <c r="L76" s="3" t="s">
        <v>41</v>
      </c>
    </row>
    <row r="77" spans="1:12" ht="57.6">
      <c r="A77" s="3" t="s">
        <v>3790</v>
      </c>
      <c r="B77" s="3" t="s">
        <v>3791</v>
      </c>
      <c r="C77" s="3" t="s">
        <v>45</v>
      </c>
      <c r="D77" s="3" t="s">
        <v>37</v>
      </c>
      <c r="E77" s="3" t="s">
        <v>3555</v>
      </c>
      <c r="F77" s="3" t="s">
        <v>3566</v>
      </c>
      <c r="G77" s="3" t="s">
        <v>3792</v>
      </c>
      <c r="H77" s="3" t="str">
        <f>HYPERLINK("http://www.jccm.es/sede/tramite/KKB","REPOSICION DE MARRAS EN PARCELAS DE VIÑEDO")</f>
        <v>REPOSICION DE MARRAS EN PARCELAS DE VIÑEDO</v>
      </c>
      <c r="I77" s="3" t="s">
        <v>42</v>
      </c>
      <c r="J77" s="3" t="s">
        <v>41</v>
      </c>
      <c r="K77" s="3" t="s">
        <v>42</v>
      </c>
      <c r="L77" s="3" t="s">
        <v>41</v>
      </c>
    </row>
    <row r="78" spans="1:12" ht="57.6">
      <c r="A78" s="3" t="s">
        <v>3793</v>
      </c>
      <c r="B78" s="3" t="s">
        <v>3794</v>
      </c>
      <c r="C78" s="3" t="s">
        <v>45</v>
      </c>
      <c r="D78" s="3" t="s">
        <v>37</v>
      </c>
      <c r="E78" s="3" t="s">
        <v>3555</v>
      </c>
      <c r="F78" s="3" t="s">
        <v>3566</v>
      </c>
      <c r="G78" s="3" t="s">
        <v>3795</v>
      </c>
      <c r="H78" s="3" t="str">
        <f>HYPERLINK("http://www.jccm.es/sede/tramite/L2D","AUTORIZACION PARA REPLANTACION ANTICIPADA DE PARCELAS DE VIÑEDO")</f>
        <v>AUTORIZACION PARA REPLANTACION ANTICIPADA DE PARCELAS DE VIÑEDO</v>
      </c>
      <c r="I78" s="3" t="s">
        <v>42</v>
      </c>
      <c r="J78" s="3" t="s">
        <v>41</v>
      </c>
      <c r="K78" s="3" t="s">
        <v>42</v>
      </c>
      <c r="L78" s="3" t="s">
        <v>41</v>
      </c>
    </row>
    <row r="79" spans="1:12" ht="57.6">
      <c r="A79" s="3" t="s">
        <v>3796</v>
      </c>
      <c r="B79" s="3" t="s">
        <v>3797</v>
      </c>
      <c r="C79" s="3" t="s">
        <v>327</v>
      </c>
      <c r="D79" s="3" t="s">
        <v>37</v>
      </c>
      <c r="E79" s="3" t="s">
        <v>3555</v>
      </c>
      <c r="F79" s="3" t="s">
        <v>3566</v>
      </c>
      <c r="G79" s="3" t="s">
        <v>3798</v>
      </c>
      <c r="H79" s="3" t="str">
        <f>HYPERLINK("http://www.jccm.es/sede/tramite/KJV","COMUNICACION DE PLANTACION DE VIÑEDO")</f>
        <v>COMUNICACION DE PLANTACION DE VIÑEDO</v>
      </c>
      <c r="I79" s="3" t="s">
        <v>42</v>
      </c>
      <c r="J79" s="3" t="s">
        <v>41</v>
      </c>
      <c r="K79" s="3" t="s">
        <v>42</v>
      </c>
      <c r="L79" s="3" t="s">
        <v>41</v>
      </c>
    </row>
    <row r="80" spans="1:12" ht="57.6">
      <c r="A80" s="3" t="s">
        <v>3799</v>
      </c>
      <c r="B80" s="3" t="s">
        <v>3800</v>
      </c>
      <c r="C80" s="3" t="s">
        <v>327</v>
      </c>
      <c r="D80" s="3" t="s">
        <v>37</v>
      </c>
      <c r="E80" s="3" t="s">
        <v>3555</v>
      </c>
      <c r="F80" s="3" t="s">
        <v>3566</v>
      </c>
      <c r="G80" s="3" t="s">
        <v>3801</v>
      </c>
      <c r="H80" s="3" t="str">
        <f>HYPERLINK("http://www.jccm.es/sede/tramite/KJW","COMUNICACION DE PLANTACIONES PARA AUTOCONSUMO")</f>
        <v>COMUNICACION DE PLANTACIONES PARA AUTOCONSUMO</v>
      </c>
      <c r="I80" s="3" t="s">
        <v>42</v>
      </c>
      <c r="J80" s="3" t="s">
        <v>41</v>
      </c>
      <c r="K80" s="3" t="s">
        <v>42</v>
      </c>
      <c r="L80" s="3" t="s">
        <v>41</v>
      </c>
    </row>
    <row r="81" spans="1:12" ht="57.6">
      <c r="A81" s="3" t="s">
        <v>3802</v>
      </c>
      <c r="B81" s="3" t="s">
        <v>3803</v>
      </c>
      <c r="C81" s="3" t="s">
        <v>327</v>
      </c>
      <c r="D81" s="3" t="s">
        <v>37</v>
      </c>
      <c r="E81" s="3" t="s">
        <v>3555</v>
      </c>
      <c r="F81" s="3" t="s">
        <v>3566</v>
      </c>
      <c r="G81" s="3" t="s">
        <v>3804</v>
      </c>
      <c r="H81" s="3" t="str">
        <f>HYPERLINK("http://www.jccm.es/sede/tramite/KJU","COMUNICACION DE PLANTACIONES EXPERIMENTALES")</f>
        <v>COMUNICACION DE PLANTACIONES EXPERIMENTALES</v>
      </c>
      <c r="I81" s="3" t="s">
        <v>42</v>
      </c>
      <c r="J81" s="3" t="s">
        <v>41</v>
      </c>
      <c r="K81" s="3" t="s">
        <v>42</v>
      </c>
      <c r="L81" s="3" t="s">
        <v>41</v>
      </c>
    </row>
    <row r="82" spans="1:12" ht="57.6">
      <c r="A82" s="3" t="s">
        <v>3805</v>
      </c>
      <c r="B82" s="3" t="s">
        <v>3806</v>
      </c>
      <c r="C82" s="3" t="s">
        <v>327</v>
      </c>
      <c r="D82" s="3" t="s">
        <v>37</v>
      </c>
      <c r="E82" s="3" t="s">
        <v>3555</v>
      </c>
      <c r="F82" s="3" t="s">
        <v>3566</v>
      </c>
      <c r="G82" s="3" t="s">
        <v>3807</v>
      </c>
      <c r="H82" s="3" t="str">
        <f>HYPERLINK("http://www.jccm.es/sede/tramite/KIT","COMUNICACION DE ARRANQUE DE VIÑEDO")</f>
        <v>COMUNICACION DE ARRANQUE DE VIÑEDO</v>
      </c>
      <c r="I82" s="3" t="s">
        <v>42</v>
      </c>
      <c r="J82" s="3" t="s">
        <v>41</v>
      </c>
      <c r="K82" s="3" t="s">
        <v>42</v>
      </c>
      <c r="L82" s="3" t="s">
        <v>41</v>
      </c>
    </row>
    <row r="83" spans="1:12" ht="57.6">
      <c r="A83" s="3" t="s">
        <v>3808</v>
      </c>
      <c r="B83" s="3" t="s">
        <v>3809</v>
      </c>
      <c r="C83" s="3" t="s">
        <v>327</v>
      </c>
      <c r="D83" s="3" t="s">
        <v>37</v>
      </c>
      <c r="E83" s="3" t="s">
        <v>3555</v>
      </c>
      <c r="F83" s="3" t="s">
        <v>3566</v>
      </c>
      <c r="G83" s="3" t="s">
        <v>3810</v>
      </c>
      <c r="H83" s="3" t="str">
        <f>HYPERLINK("http://www.jccm.es/sede/tramite/KJY","AUTORIZACION DE ARRANQUE DE VIÑEDO")</f>
        <v>AUTORIZACION DE ARRANQUE DE VIÑEDO</v>
      </c>
      <c r="I83" s="3" t="s">
        <v>42</v>
      </c>
      <c r="J83" s="3" t="s">
        <v>41</v>
      </c>
      <c r="K83" s="3" t="s">
        <v>42</v>
      </c>
      <c r="L83" s="3" t="s">
        <v>41</v>
      </c>
    </row>
    <row r="84" spans="1:12" ht="80.45">
      <c r="A84" s="3" t="s">
        <v>3811</v>
      </c>
      <c r="B84" s="3" t="s">
        <v>3812</v>
      </c>
      <c r="C84" s="3" t="s">
        <v>327</v>
      </c>
      <c r="D84" s="3" t="s">
        <v>37</v>
      </c>
      <c r="E84" s="3" t="s">
        <v>3555</v>
      </c>
      <c r="F84" s="3" t="s">
        <v>3616</v>
      </c>
      <c r="G84" s="3" t="s">
        <v>3813</v>
      </c>
      <c r="H84" s="3" t="str">
        <f>HYPERLINK("http://www.jccm.es/sede/tramite/KW3","COMUNICACION DE VARIACIONES EN LA DESTILERIA AUTORIZADA PARA SOLICITAR AYUDAS A LA DESTILACION DE SUBPRODUCTOS DE LA VINIFICACION")</f>
        <v>COMUNICACION DE VARIACIONES EN LA DESTILERIA AUTORIZADA PARA SOLICITAR AYUDAS A LA DESTILACION DE SUBPRODUCTOS DE LA VINIFICACION</v>
      </c>
      <c r="I84" s="3" t="s">
        <v>41</v>
      </c>
      <c r="J84" s="3" t="s">
        <v>41</v>
      </c>
      <c r="K84" s="3" t="s">
        <v>42</v>
      </c>
      <c r="L84" s="3" t="s">
        <v>41</v>
      </c>
    </row>
    <row r="85" spans="1:12" ht="57.6">
      <c r="A85" s="3" t="s">
        <v>3814</v>
      </c>
      <c r="B85" s="3" t="s">
        <v>3815</v>
      </c>
      <c r="C85" s="3" t="s">
        <v>327</v>
      </c>
      <c r="D85" s="3" t="s">
        <v>37</v>
      </c>
      <c r="E85" s="3" t="s">
        <v>3555</v>
      </c>
      <c r="F85" s="3" t="s">
        <v>3616</v>
      </c>
      <c r="G85" s="3" t="s">
        <v>3816</v>
      </c>
      <c r="H85" s="3" t="str">
        <f>HYPERLINK("http://www.jccm.es/sede/tramite/KW2","COMUNICACION DE LA CONTINUACION O SUSPENSION  DE LA ACTIVIDAD PARA SOLICITAR LAS AYUDAS A LA DESTILACION")</f>
        <v>COMUNICACION DE LA CONTINUACION O SUSPENSION  DE LA ACTIVIDAD PARA SOLICITAR LAS AYUDAS A LA DESTILACION</v>
      </c>
      <c r="I85" s="3" t="s">
        <v>41</v>
      </c>
      <c r="J85" s="3" t="s">
        <v>41</v>
      </c>
      <c r="K85" s="3" t="s">
        <v>42</v>
      </c>
      <c r="L85" s="3" t="s">
        <v>41</v>
      </c>
    </row>
    <row r="86" spans="1:12" ht="69">
      <c r="A86" s="3" t="s">
        <v>3817</v>
      </c>
      <c r="B86" s="3" t="s">
        <v>3818</v>
      </c>
      <c r="C86" s="3" t="s">
        <v>327</v>
      </c>
      <c r="D86" s="3" t="s">
        <v>37</v>
      </c>
      <c r="E86" s="3" t="s">
        <v>3555</v>
      </c>
      <c r="F86" s="3" t="s">
        <v>3616</v>
      </c>
      <c r="G86" s="3" t="s">
        <v>3819</v>
      </c>
      <c r="H86" s="3" t="str">
        <f>HYPERLINK("http://www.jccm.es/sede/tramite/J34","SOLICITUD DE AUTORIZACION DE LOS DESTILADORES PARA SOLICITAR AYUDAS A LA DESTILACION DE SUBPRODUCTOS DE LA VINIFICACION")</f>
        <v>SOLICITUD DE AUTORIZACION DE LOS DESTILADORES PARA SOLICITAR AYUDAS A LA DESTILACION DE SUBPRODUCTOS DE LA VINIFICACION</v>
      </c>
      <c r="I86" s="3" t="s">
        <v>41</v>
      </c>
      <c r="J86" s="3" t="s">
        <v>41</v>
      </c>
      <c r="K86" s="3" t="s">
        <v>42</v>
      </c>
      <c r="L86" s="3" t="s">
        <v>41</v>
      </c>
    </row>
    <row r="87" spans="1:12" ht="57.6">
      <c r="A87" s="3" t="s">
        <v>3820</v>
      </c>
      <c r="B87" s="3" t="s">
        <v>3821</v>
      </c>
      <c r="C87" s="3" t="s">
        <v>95</v>
      </c>
      <c r="D87" s="3" t="s">
        <v>95</v>
      </c>
      <c r="E87" s="3" t="s">
        <v>3555</v>
      </c>
      <c r="F87" s="3" t="s">
        <v>3616</v>
      </c>
      <c r="G87" s="3" t="s">
        <v>3822</v>
      </c>
      <c r="H87" s="3" t="str">
        <f>HYPERLINK("http://www.jccm.es/sede/tramite/KW4","PRESENTACION CERTIFICADOS DE ENTREGAS DE SUBPRODUCTOS")</f>
        <v>PRESENTACION CERTIFICADOS DE ENTREGAS DE SUBPRODUCTOS</v>
      </c>
      <c r="I87" s="3" t="s">
        <v>41</v>
      </c>
      <c r="J87" s="3" t="s">
        <v>41</v>
      </c>
      <c r="K87" s="3" t="s">
        <v>42</v>
      </c>
      <c r="L87" s="3" t="s">
        <v>41</v>
      </c>
    </row>
    <row r="88" spans="1:12" ht="57.6">
      <c r="A88" s="3" t="s">
        <v>3823</v>
      </c>
      <c r="B88" s="3" t="s">
        <v>3824</v>
      </c>
      <c r="C88" s="3" t="s">
        <v>95</v>
      </c>
      <c r="D88" s="3" t="s">
        <v>95</v>
      </c>
      <c r="E88" s="3" t="s">
        <v>3555</v>
      </c>
      <c r="F88" s="3" t="s">
        <v>3616</v>
      </c>
      <c r="G88" s="3" t="s">
        <v>3825</v>
      </c>
      <c r="H88" s="3" t="str">
        <f>HYPERLINK("http://www.jccm.es/sede/tramite/KW5","PRESENTACION DE DOCUMENTACION DE MATERIAS PRIMAS DESTILADAS Y ALCOHOL OBTENIDO")</f>
        <v>PRESENTACION DE DOCUMENTACION DE MATERIAS PRIMAS DESTILADAS Y ALCOHOL OBTENIDO</v>
      </c>
      <c r="I88" s="3" t="s">
        <v>41</v>
      </c>
      <c r="J88" s="3" t="s">
        <v>41</v>
      </c>
      <c r="K88" s="3" t="s">
        <v>42</v>
      </c>
      <c r="L88" s="3" t="s">
        <v>41</v>
      </c>
    </row>
    <row r="89" spans="1:12" ht="80.45">
      <c r="A89" s="3" t="s">
        <v>3826</v>
      </c>
      <c r="B89" s="3" t="s">
        <v>3827</v>
      </c>
      <c r="C89" s="3" t="s">
        <v>45</v>
      </c>
      <c r="D89" s="3" t="s">
        <v>37</v>
      </c>
      <c r="E89" s="3" t="s">
        <v>3555</v>
      </c>
      <c r="F89" s="3" t="s">
        <v>3566</v>
      </c>
      <c r="G89" s="3" t="s">
        <v>3828</v>
      </c>
      <c r="H89" s="3" t="str">
        <f>HYPERLINK("http://www.jccm.es/sede/tramite/L85","SOLICITUD DE CESE COMO LABORATORIO AUTORIZADO PARA REALIZAR CONTROLES ANALITICOS DE SALMONELLA EN EL MARCO DE LOS PROGRAMAS DE AUTOCONTROL")</f>
        <v>SOLICITUD DE CESE COMO LABORATORIO AUTORIZADO PARA REALIZAR CONTROLES ANALITICOS DE SALMONELLA EN EL MARCO DE LOS PROGRAMAS DE AUTOCONTROL</v>
      </c>
      <c r="I89" s="3" t="s">
        <v>41</v>
      </c>
      <c r="J89" s="3" t="s">
        <v>41</v>
      </c>
      <c r="K89" s="3" t="s">
        <v>42</v>
      </c>
      <c r="L89" s="3" t="s">
        <v>41</v>
      </c>
    </row>
    <row r="90" spans="1:12" ht="92.1">
      <c r="A90" s="3" t="s">
        <v>3829</v>
      </c>
      <c r="B90" s="3" t="s">
        <v>3830</v>
      </c>
      <c r="C90" s="3" t="s">
        <v>45</v>
      </c>
      <c r="D90" s="3" t="s">
        <v>37</v>
      </c>
      <c r="E90" s="3" t="s">
        <v>3555</v>
      </c>
      <c r="F90" s="3" t="s">
        <v>3566</v>
      </c>
      <c r="G90" s="3" t="s">
        <v>3831</v>
      </c>
      <c r="H90" s="3" t="str">
        <f>HYPERLINK("http://www.jccm.es/sede/tramite/L84","SOLICITUD DE MODIFICACION DE DATOS EN LOS LABORATORIOS AUTORIZADOS PARA REALIZAR CONTROLES ANALITICOS DE SALMONELLA EN EL MARCO DE LOS PROGRAMAS DE AUTOCONTROL")</f>
        <v>SOLICITUD DE MODIFICACION DE DATOS EN LOS LABORATORIOS AUTORIZADOS PARA REALIZAR CONTROLES ANALITICOS DE SALMONELLA EN EL MARCO DE LOS PROGRAMAS DE AUTOCONTROL</v>
      </c>
      <c r="I90" s="3" t="s">
        <v>41</v>
      </c>
      <c r="J90" s="3" t="s">
        <v>41</v>
      </c>
      <c r="K90" s="3" t="s">
        <v>42</v>
      </c>
      <c r="L90" s="3" t="s">
        <v>41</v>
      </c>
    </row>
    <row r="91" spans="1:12" ht="80.45">
      <c r="A91" s="3" t="s">
        <v>3832</v>
      </c>
      <c r="B91" s="3" t="s">
        <v>3833</v>
      </c>
      <c r="C91" s="3" t="s">
        <v>45</v>
      </c>
      <c r="D91" s="3" t="s">
        <v>37</v>
      </c>
      <c r="E91" s="3" t="s">
        <v>3555</v>
      </c>
      <c r="F91" s="3" t="s">
        <v>3566</v>
      </c>
      <c r="G91" s="3" t="s">
        <v>3834</v>
      </c>
      <c r="H91" s="3" t="str">
        <f>HYPERLINK("http://www.jccm.es/sede/tramite/L83","SOLICITUD DE REGISTRO DE LABORATORIOS PARA REALIZAR CONTROLES ANALITICOS DE SALMONELLA EN EL MARCO DE LOS PROGRAMAS DE AUTOCONTROL")</f>
        <v>SOLICITUD DE REGISTRO DE LABORATORIOS PARA REALIZAR CONTROLES ANALITICOS DE SALMONELLA EN EL MARCO DE LOS PROGRAMAS DE AUTOCONTROL</v>
      </c>
      <c r="I91" s="3" t="s">
        <v>41</v>
      </c>
      <c r="J91" s="3" t="s">
        <v>41</v>
      </c>
      <c r="K91" s="3" t="s">
        <v>42</v>
      </c>
      <c r="L91" s="3" t="s">
        <v>41</v>
      </c>
    </row>
    <row r="92" spans="1:12" ht="57.6">
      <c r="A92" s="3" t="s">
        <v>3835</v>
      </c>
      <c r="B92" s="3" t="s">
        <v>3836</v>
      </c>
      <c r="C92" s="3" t="s">
        <v>95</v>
      </c>
      <c r="D92" s="3" t="s">
        <v>95</v>
      </c>
      <c r="E92" s="3" t="s">
        <v>3555</v>
      </c>
      <c r="F92" s="3" t="s">
        <v>3566</v>
      </c>
      <c r="G92" s="3" t="s">
        <v>3837</v>
      </c>
      <c r="H92" s="3" t="str">
        <f>HYPERLINK("http://www.jccm.es/sede/tramite/LLU","COMUNICACION PREVIA A LA GESTION DE RESTOS CINEGETICOS.")</f>
        <v>COMUNICACION PREVIA A LA GESTION DE RESTOS CINEGETICOS.</v>
      </c>
      <c r="I92" s="3" t="s">
        <v>42</v>
      </c>
      <c r="J92" s="3" t="s">
        <v>41</v>
      </c>
      <c r="K92" s="3" t="s">
        <v>42</v>
      </c>
      <c r="L92" s="3" t="s">
        <v>41</v>
      </c>
    </row>
    <row r="93" spans="1:12" ht="57.6">
      <c r="A93" s="3" t="s">
        <v>3838</v>
      </c>
      <c r="B93" s="3" t="s">
        <v>3839</v>
      </c>
      <c r="C93" s="3" t="s">
        <v>95</v>
      </c>
      <c r="D93" s="3" t="s">
        <v>95</v>
      </c>
      <c r="E93" s="3" t="s">
        <v>3555</v>
      </c>
      <c r="F93" s="3" t="s">
        <v>3566</v>
      </c>
      <c r="G93" s="3" t="s">
        <v>3840</v>
      </c>
      <c r="H93" s="3" t="str">
        <f>HYPERLINK("http://www.jccm.es/sede/tramite/LLV","COMUNICACION PREVIA AL FUNCIONAMIENTO DE UN PUNTO DE DEPOSITO DE RESTOS CINEGETICOS.")</f>
        <v>COMUNICACION PREVIA AL FUNCIONAMIENTO DE UN PUNTO DE DEPOSITO DE RESTOS CINEGETICOS.</v>
      </c>
      <c r="I93" s="3" t="s">
        <v>42</v>
      </c>
      <c r="J93" s="3" t="s">
        <v>41</v>
      </c>
      <c r="K93" s="3" t="s">
        <v>42</v>
      </c>
      <c r="L93" s="3" t="s">
        <v>41</v>
      </c>
    </row>
    <row r="94" spans="1:12" ht="57.6">
      <c r="A94" s="3" t="s">
        <v>3841</v>
      </c>
      <c r="B94" s="3" t="s">
        <v>3842</v>
      </c>
      <c r="C94" s="3" t="s">
        <v>327</v>
      </c>
      <c r="D94" s="3" t="s">
        <v>46</v>
      </c>
      <c r="E94" s="3" t="s">
        <v>3555</v>
      </c>
      <c r="F94" s="3" t="s">
        <v>3616</v>
      </c>
      <c r="G94" s="3" t="s">
        <v>3843</v>
      </c>
      <c r="H94" s="3" t="str">
        <f>HYPERLINK("http://www.jccm.es/sede/tramite/JHO","RECONOCIMIENTO Y REGISTRO DE ORGANIZACIONES INTERPROFESIONALES AGROALIMENTARIAS")</f>
        <v>RECONOCIMIENTO Y REGISTRO DE ORGANIZACIONES INTERPROFESIONALES AGROALIMENTARIAS</v>
      </c>
      <c r="I94" s="3" t="s">
        <v>41</v>
      </c>
      <c r="J94" s="3" t="s">
        <v>41</v>
      </c>
      <c r="K94" s="3" t="s">
        <v>42</v>
      </c>
      <c r="L94" s="3" t="s">
        <v>41</v>
      </c>
    </row>
    <row r="95" spans="1:12" ht="57.6">
      <c r="A95" s="3" t="s">
        <v>3844</v>
      </c>
      <c r="B95" s="3" t="s">
        <v>3845</v>
      </c>
      <c r="C95" s="3" t="s">
        <v>45</v>
      </c>
      <c r="D95" s="3" t="s">
        <v>46</v>
      </c>
      <c r="E95" s="3" t="s">
        <v>3555</v>
      </c>
      <c r="F95" s="3" t="s">
        <v>3616</v>
      </c>
      <c r="G95" s="3" t="s">
        <v>3846</v>
      </c>
      <c r="H95" s="3" t="str">
        <f>HYPERLINK("http://www.jccm.es/sede/tramite/JHR","RECONOCIMIENTO Y REGISTRO DE AGRUPACIONES DE PRODUCTORES DEL SECTOR VITIVINICOLA")</f>
        <v>RECONOCIMIENTO Y REGISTRO DE AGRUPACIONES DE PRODUCTORES DEL SECTOR VITIVINICOLA</v>
      </c>
      <c r="I95" s="3" t="s">
        <v>41</v>
      </c>
      <c r="J95" s="3" t="s">
        <v>41</v>
      </c>
      <c r="K95" s="3" t="s">
        <v>42</v>
      </c>
      <c r="L95" s="3" t="s">
        <v>41</v>
      </c>
    </row>
    <row r="96" spans="1:12" ht="57.6">
      <c r="A96" s="3" t="s">
        <v>3847</v>
      </c>
      <c r="B96" s="3" t="s">
        <v>3848</v>
      </c>
      <c r="C96" s="3" t="s">
        <v>327</v>
      </c>
      <c r="D96" s="3" t="s">
        <v>37</v>
      </c>
      <c r="E96" s="3" t="s">
        <v>3555</v>
      </c>
      <c r="F96" s="3" t="s">
        <v>3616</v>
      </c>
      <c r="G96" s="3" t="s">
        <v>3849</v>
      </c>
      <c r="H96" s="3" t="str">
        <f>HYPERLINK("http://www.jccm.es/sede/tramite/720","TRAMITES ADMINISTRATIVOS DEL REGISTRO DE SOCIEDADES AGRARIAS DE TRANSFORMACION (S.A.T)")</f>
        <v>TRAMITES ADMINISTRATIVOS DEL REGISTRO DE SOCIEDADES AGRARIAS DE TRANSFORMACION (S.A.T)</v>
      </c>
      <c r="I96" s="3" t="s">
        <v>41</v>
      </c>
      <c r="J96" s="3" t="s">
        <v>41</v>
      </c>
      <c r="K96" s="3" t="s">
        <v>42</v>
      </c>
      <c r="L96" s="3" t="s">
        <v>41</v>
      </c>
    </row>
    <row r="97" spans="1:12" ht="57.6">
      <c r="A97" s="3" t="s">
        <v>3850</v>
      </c>
      <c r="B97" s="3" t="s">
        <v>3851</v>
      </c>
      <c r="C97" s="3" t="s">
        <v>327</v>
      </c>
      <c r="D97" s="3" t="s">
        <v>37</v>
      </c>
      <c r="E97" s="3" t="s">
        <v>3555</v>
      </c>
      <c r="F97" s="3" t="s">
        <v>3616</v>
      </c>
      <c r="G97" s="3" t="s">
        <v>3852</v>
      </c>
      <c r="H97" s="3" t="str">
        <f>HYPERLINK("http://www.jccm.es/sede/tramite/J6Q","REGISTRO DE ENTIDADES DE CONTROL DE PRODUCTOS AGROALIMENTARIOS DE CASTILLA-LA MANCHA")</f>
        <v>REGISTRO DE ENTIDADES DE CONTROL DE PRODUCTOS AGROALIMENTARIOS DE CASTILLA-LA MANCHA</v>
      </c>
      <c r="I97" s="3" t="s">
        <v>41</v>
      </c>
      <c r="J97" s="3" t="s">
        <v>41</v>
      </c>
      <c r="K97" s="3" t="s">
        <v>42</v>
      </c>
      <c r="L97" s="3" t="s">
        <v>41</v>
      </c>
    </row>
    <row r="98" spans="1:12" ht="57.6">
      <c r="A98" s="3" t="s">
        <v>3853</v>
      </c>
      <c r="B98" s="3" t="s">
        <v>3854</v>
      </c>
      <c r="C98" s="3" t="s">
        <v>62</v>
      </c>
      <c r="D98" s="3" t="s">
        <v>37</v>
      </c>
      <c r="E98" s="3" t="s">
        <v>3555</v>
      </c>
      <c r="F98" s="3" t="s">
        <v>3616</v>
      </c>
      <c r="G98" s="3" t="s">
        <v>3855</v>
      </c>
      <c r="H98" s="3" t="str">
        <f>HYPERLINK("http://www.jccm.es/sede/tramite/707","REGISTRO DE INDUSTRIAS AGROALIMENTARIAS")</f>
        <v>REGISTRO DE INDUSTRIAS AGROALIMENTARIAS</v>
      </c>
      <c r="I98" s="3" t="s">
        <v>42</v>
      </c>
      <c r="J98" s="3" t="s">
        <v>41</v>
      </c>
      <c r="K98" s="3" t="s">
        <v>42</v>
      </c>
      <c r="L98" s="3" t="s">
        <v>42</v>
      </c>
    </row>
    <row r="99" spans="1:12" ht="57.6">
      <c r="A99" s="3" t="s">
        <v>3856</v>
      </c>
      <c r="B99" s="3" t="s">
        <v>3857</v>
      </c>
      <c r="C99" s="3" t="s">
        <v>45</v>
      </c>
      <c r="D99" s="3" t="s">
        <v>37</v>
      </c>
      <c r="E99" s="3" t="s">
        <v>3555</v>
      </c>
      <c r="F99" s="3" t="s">
        <v>3566</v>
      </c>
      <c r="G99" s="3" t="s">
        <v>3858</v>
      </c>
      <c r="H99" s="3" t="str">
        <f>HYPERLINK("http://www.jccm.es/sede/tramite/J6W","REGISTRO GENERAL DE ESTABLECIMIENTOS EN EL SECTOR DE ALIMENTACION ANIMAL")</f>
        <v>REGISTRO GENERAL DE ESTABLECIMIENTOS EN EL SECTOR DE ALIMENTACION ANIMAL</v>
      </c>
      <c r="I99" s="3" t="s">
        <v>42</v>
      </c>
      <c r="J99" s="3" t="s">
        <v>41</v>
      </c>
      <c r="K99" s="3" t="s">
        <v>42</v>
      </c>
      <c r="L99" s="3" t="s">
        <v>42</v>
      </c>
    </row>
    <row r="100" spans="1:12" ht="57.6">
      <c r="A100" s="3" t="s">
        <v>3859</v>
      </c>
      <c r="B100" s="3" t="s">
        <v>3860</v>
      </c>
      <c r="C100" s="3" t="s">
        <v>51</v>
      </c>
      <c r="D100" s="3" t="s">
        <v>46</v>
      </c>
      <c r="E100" s="3" t="s">
        <v>3555</v>
      </c>
      <c r="F100" s="3" t="s">
        <v>3566</v>
      </c>
      <c r="G100" s="3" t="s">
        <v>3861</v>
      </c>
      <c r="H100" s="3" t="str">
        <f>HYPERLINK("http://www.jccm.es/sede/tramite/J6V","SOLICITUD ALTA/MODIFICACION EN EL REGISTRO DE EXPLOTACIONES GANADERAS Y NUCLEOS ZOOLOGICOS")</f>
        <v>SOLICITUD ALTA/MODIFICACION EN EL REGISTRO DE EXPLOTACIONES GANADERAS Y NUCLEOS ZOOLOGICOS</v>
      </c>
      <c r="I100" s="3" t="s">
        <v>42</v>
      </c>
      <c r="J100" s="3" t="s">
        <v>41</v>
      </c>
      <c r="K100" s="3" t="s">
        <v>42</v>
      </c>
      <c r="L100" s="3" t="s">
        <v>41</v>
      </c>
    </row>
    <row r="101" spans="1:12" ht="57.6">
      <c r="A101" s="3" t="s">
        <v>3862</v>
      </c>
      <c r="B101" s="3" t="s">
        <v>3863</v>
      </c>
      <c r="C101" s="3" t="s">
        <v>45</v>
      </c>
      <c r="D101" s="3" t="s">
        <v>37</v>
      </c>
      <c r="E101" s="3" t="s">
        <v>3555</v>
      </c>
      <c r="F101" s="3" t="s">
        <v>3566</v>
      </c>
      <c r="G101" s="3" t="s">
        <v>3864</v>
      </c>
      <c r="H101" s="3" t="str">
        <f>HYPERLINK("http://www.jccm.es/sede/tramite/161","AUTORIZACION E INSCRIPCION EN EL REGISTRO DE EMPRESAS TRANSPORTISTAS, ASI COMO CONTENEDORES Y MEDIOS DE TRANSPORTE DE ANIMALES VIVOS")</f>
        <v>AUTORIZACION E INSCRIPCION EN EL REGISTRO DE EMPRESAS TRANSPORTISTAS, ASI COMO CONTENEDORES Y MEDIOS DE TRANSPORTE DE ANIMALES VIVOS</v>
      </c>
      <c r="I101" s="3" t="s">
        <v>42</v>
      </c>
      <c r="J101" s="3" t="s">
        <v>41</v>
      </c>
      <c r="K101" s="3" t="s">
        <v>42</v>
      </c>
      <c r="L101" s="3" t="s">
        <v>42</v>
      </c>
    </row>
    <row r="102" spans="1:12" ht="57.6">
      <c r="A102" s="3" t="s">
        <v>3865</v>
      </c>
      <c r="B102" s="3" t="s">
        <v>3866</v>
      </c>
      <c r="C102" s="3" t="s">
        <v>45</v>
      </c>
      <c r="D102" s="3" t="s">
        <v>37</v>
      </c>
      <c r="E102" s="3" t="s">
        <v>3555</v>
      </c>
      <c r="F102" s="3" t="s">
        <v>3566</v>
      </c>
      <c r="G102" s="3" t="s">
        <v>3867</v>
      </c>
      <c r="H102" s="3" t="str">
        <f>HYPERLINK("http://www.jccm.es/sede/tramite/IO1","REGISTRO DE CENTROS DE LIMPIEZA Y DESINFECCION DE VEHICULOS DESTINADOS AL TRANSPORTE DE GANADO.")</f>
        <v>REGISTRO DE CENTROS DE LIMPIEZA Y DESINFECCION DE VEHICULOS DESTINADOS AL TRANSPORTE DE GANADO.</v>
      </c>
      <c r="I102" s="3" t="s">
        <v>42</v>
      </c>
      <c r="J102" s="3" t="s">
        <v>41</v>
      </c>
      <c r="K102" s="3" t="s">
        <v>42</v>
      </c>
      <c r="L102" s="3" t="s">
        <v>41</v>
      </c>
    </row>
    <row r="103" spans="1:12" ht="57.6">
      <c r="A103" s="3" t="s">
        <v>3868</v>
      </c>
      <c r="B103" s="3" t="s">
        <v>3869</v>
      </c>
      <c r="C103" s="3" t="s">
        <v>45</v>
      </c>
      <c r="D103" s="3" t="s">
        <v>37</v>
      </c>
      <c r="E103" s="3" t="s">
        <v>3555</v>
      </c>
      <c r="F103" s="3" t="s">
        <v>3616</v>
      </c>
      <c r="G103" s="3" t="s">
        <v>3870</v>
      </c>
      <c r="H103" s="3" t="str">
        <f>HYPERLINK("http://www.jccm.es/sede/tramite/JIT","SOLICITUD DE AUTORIZACION PARA LA UTILIZACION DE LOS REGISTROS INFORMATIZADOS QUE SE HAN DE LLEVAR EN EL SECTOR VITIVINICOLA")</f>
        <v>SOLICITUD DE AUTORIZACION PARA LA UTILIZACION DE LOS REGISTROS INFORMATIZADOS QUE SE HAN DE LLEVAR EN EL SECTOR VITIVINICOLA</v>
      </c>
      <c r="I103" s="3" t="s">
        <v>42</v>
      </c>
      <c r="J103" s="3" t="s">
        <v>41</v>
      </c>
      <c r="K103" s="3" t="s">
        <v>42</v>
      </c>
      <c r="L103" s="3" t="s">
        <v>41</v>
      </c>
    </row>
    <row r="104" spans="1:12" ht="57.6">
      <c r="A104" s="3" t="s">
        <v>3871</v>
      </c>
      <c r="B104" s="3" t="s">
        <v>3872</v>
      </c>
      <c r="C104" s="3" t="s">
        <v>45</v>
      </c>
      <c r="D104" s="3" t="s">
        <v>46</v>
      </c>
      <c r="E104" s="3" t="s">
        <v>3555</v>
      </c>
      <c r="F104" s="3" t="s">
        <v>3566</v>
      </c>
      <c r="G104" s="3" t="s">
        <v>3873</v>
      </c>
      <c r="H104" s="3" t="str">
        <f>HYPERLINK("http://www.jccm.es/sede/tramite/JO6","INSCRIPCION ALTA/BAJA/EMISION DE DUPLICADOS EN EL REGISTRO OFICIAL DE MAQUINARIA AGRICOLA")</f>
        <v>INSCRIPCION ALTA/BAJA/EMISION DE DUPLICADOS EN EL REGISTRO OFICIAL DE MAQUINARIA AGRICOLA</v>
      </c>
      <c r="I104" s="3" t="s">
        <v>42</v>
      </c>
      <c r="J104" s="3" t="s">
        <v>41</v>
      </c>
      <c r="K104" s="3" t="s">
        <v>42</v>
      </c>
      <c r="L104" s="3" t="s">
        <v>41</v>
      </c>
    </row>
    <row r="105" spans="1:12" ht="57.6">
      <c r="A105" s="3" t="s">
        <v>3874</v>
      </c>
      <c r="B105" s="3" t="s">
        <v>3875</v>
      </c>
      <c r="C105" s="3" t="s">
        <v>45</v>
      </c>
      <c r="D105" s="3" t="s">
        <v>37</v>
      </c>
      <c r="E105" s="3" t="s">
        <v>3555</v>
      </c>
      <c r="F105" s="3" t="s">
        <v>3566</v>
      </c>
      <c r="G105" s="3" t="s">
        <v>3876</v>
      </c>
      <c r="H105" s="3" t="str">
        <f>HYPERLINK("http://www.jccm.es/sede/tramite/717","SOLICITUD DE INSCRIPCION EN EL REGISTRO OFICIAL DE PRODUCTORES Y OPERADORES DE MEDIOS DE DEFENSA FITOSANITARIOS")</f>
        <v>SOLICITUD DE INSCRIPCION EN EL REGISTRO OFICIAL DE PRODUCTORES Y OPERADORES DE MEDIOS DE DEFENSA FITOSANITARIOS</v>
      </c>
      <c r="I105" s="3" t="s">
        <v>42</v>
      </c>
      <c r="J105" s="3" t="s">
        <v>41</v>
      </c>
      <c r="K105" s="3" t="s">
        <v>42</v>
      </c>
      <c r="L105" s="3" t="s">
        <v>42</v>
      </c>
    </row>
    <row r="106" spans="1:12" ht="69">
      <c r="A106" s="3" t="s">
        <v>3877</v>
      </c>
      <c r="B106" s="3" t="s">
        <v>3878</v>
      </c>
      <c r="C106" s="3" t="s">
        <v>45</v>
      </c>
      <c r="D106" s="3" t="s">
        <v>37</v>
      </c>
      <c r="E106" s="3" t="s">
        <v>3555</v>
      </c>
      <c r="F106" s="3" t="s">
        <v>3643</v>
      </c>
      <c r="G106" s="3" t="s">
        <v>3879</v>
      </c>
      <c r="H106" s="3" t="str">
        <f>HYPERLINK("http://www.jccm.es/sede/tramite/JSJ","REGISTRO DE TITULARIDAD COMPARTIDA DE EXPLOTACIONES AGRARIAS DE CASTILLA LA MANCHA")</f>
        <v>REGISTRO DE TITULARIDAD COMPARTIDA DE EXPLOTACIONES AGRARIAS DE CASTILLA LA MANCHA</v>
      </c>
      <c r="I106" s="3" t="s">
        <v>42</v>
      </c>
      <c r="J106" s="3" t="s">
        <v>41</v>
      </c>
      <c r="K106" s="3" t="s">
        <v>42</v>
      </c>
      <c r="L106" s="3" t="s">
        <v>41</v>
      </c>
    </row>
    <row r="107" spans="1:12" ht="57.6">
      <c r="A107" s="3" t="s">
        <v>3880</v>
      </c>
      <c r="B107" s="3" t="s">
        <v>3881</v>
      </c>
      <c r="C107" s="3" t="s">
        <v>327</v>
      </c>
      <c r="D107" s="3" t="s">
        <v>46</v>
      </c>
      <c r="E107" s="3" t="s">
        <v>3555</v>
      </c>
      <c r="F107" s="3" t="s">
        <v>3566</v>
      </c>
      <c r="G107" s="3" t="s">
        <v>3882</v>
      </c>
      <c r="H107" s="3" t="str">
        <f>HYPERLINK("http://www.jccm.es/sede/tramite/JTR","ACTUALIZACION DE DATOS DEL REGISTRO VITICOLA")</f>
        <v>ACTUALIZACION DE DATOS DEL REGISTRO VITICOLA</v>
      </c>
      <c r="I107" s="3" t="s">
        <v>42</v>
      </c>
      <c r="J107" s="3" t="s">
        <v>41</v>
      </c>
      <c r="K107" s="3" t="s">
        <v>42</v>
      </c>
      <c r="L107" s="3" t="s">
        <v>41</v>
      </c>
    </row>
    <row r="108" spans="1:12" ht="57.6">
      <c r="A108" s="3" t="s">
        <v>3883</v>
      </c>
      <c r="B108" s="3" t="s">
        <v>3884</v>
      </c>
      <c r="C108" s="3" t="s">
        <v>327</v>
      </c>
      <c r="D108" s="3" t="s">
        <v>46</v>
      </c>
      <c r="E108" s="3" t="s">
        <v>3555</v>
      </c>
      <c r="F108" s="3" t="s">
        <v>3566</v>
      </c>
      <c r="G108" s="3" t="s">
        <v>3885</v>
      </c>
      <c r="H108" s="3" t="str">
        <f>HYPERLINK("http://www.jccm.es/sede/tramite/JUB","SOLICITUD DE AUTORIZACION DE SANDACH PARA ALIMENTACION DE NECROFAGAS EN MULADARES O COMEDEROS Y DE EXPLOTACIONES GANADERAS")</f>
        <v>SOLICITUD DE AUTORIZACION DE SANDACH PARA ALIMENTACION DE NECROFAGAS EN MULADARES O COMEDEROS Y DE EXPLOTACIONES GANADERAS</v>
      </c>
      <c r="I108" s="3" t="s">
        <v>42</v>
      </c>
      <c r="J108" s="3" t="s">
        <v>41</v>
      </c>
      <c r="K108" s="3" t="s">
        <v>42</v>
      </c>
      <c r="L108" s="3" t="s">
        <v>41</v>
      </c>
    </row>
    <row r="109" spans="1:12" ht="57.6">
      <c r="A109" s="3" t="s">
        <v>3886</v>
      </c>
      <c r="B109" s="3" t="s">
        <v>3887</v>
      </c>
      <c r="C109" s="3" t="s">
        <v>51</v>
      </c>
      <c r="D109" s="3" t="s">
        <v>46</v>
      </c>
      <c r="E109" s="3" t="s">
        <v>3555</v>
      </c>
      <c r="F109" s="3" t="s">
        <v>3566</v>
      </c>
      <c r="G109" s="3" t="s">
        <v>3888</v>
      </c>
      <c r="H109" s="3" t="str">
        <f>HYPERLINK("http://www.jccm.es/sede/tramite/JWY","REGISTRO DE MERCADOS AMBULANTES (MERCADILLOS) DE AMBITO MUNICIPAL PARA LA VENTA DE ANIMALES")</f>
        <v>REGISTRO DE MERCADOS AMBULANTES (MERCADILLOS) DE AMBITO MUNICIPAL PARA LA VENTA DE ANIMALES</v>
      </c>
      <c r="I109" s="3" t="s">
        <v>42</v>
      </c>
      <c r="J109" s="3" t="s">
        <v>41</v>
      </c>
      <c r="K109" s="3" t="s">
        <v>42</v>
      </c>
      <c r="L109" s="3" t="s">
        <v>41</v>
      </c>
    </row>
    <row r="110" spans="1:12" ht="80.45">
      <c r="A110" s="3" t="s">
        <v>3889</v>
      </c>
      <c r="B110" s="3" t="s">
        <v>3890</v>
      </c>
      <c r="C110" s="3" t="s">
        <v>327</v>
      </c>
      <c r="D110" s="3" t="s">
        <v>37</v>
      </c>
      <c r="E110" s="3" t="s">
        <v>3555</v>
      </c>
      <c r="F110" s="3" t="s">
        <v>3616</v>
      </c>
      <c r="G110" s="3" t="s">
        <v>3891</v>
      </c>
      <c r="H110" s="3" t="str">
        <f>HYPERLINK("http://www.jccm.es/sede/tramite/KH9","SOLICITUD DE RECONOCIMIENTO E INSCRIPCION, MODIFICACION Y BAJA EN EL REGISTRO DE ENTIDADES ASOCIATIVAS PRIORITARIAS DE INTERES REGIONAL DE CASTILLA-LA MANCHA EAPIR")</f>
        <v>SOLICITUD DE RECONOCIMIENTO E INSCRIPCION, MODIFICACION Y BAJA EN EL REGISTRO DE ENTIDADES ASOCIATIVAS PRIORITARIAS DE INTERES REGIONAL DE CASTILLA-LA MANCHA EAPIR</v>
      </c>
      <c r="I110" s="3" t="s">
        <v>41</v>
      </c>
      <c r="J110" s="3" t="s">
        <v>41</v>
      </c>
      <c r="K110" s="3" t="s">
        <v>42</v>
      </c>
      <c r="L110" s="3" t="s">
        <v>41</v>
      </c>
    </row>
    <row r="111" spans="1:12" ht="57.6">
      <c r="A111" s="3" t="s">
        <v>3892</v>
      </c>
      <c r="B111" s="3" t="s">
        <v>3893</v>
      </c>
      <c r="C111" s="3" t="s">
        <v>45</v>
      </c>
      <c r="D111" s="3" t="s">
        <v>37</v>
      </c>
      <c r="E111" s="3" t="s">
        <v>3555</v>
      </c>
      <c r="F111" s="3" t="s">
        <v>3616</v>
      </c>
      <c r="G111" s="3" t="s">
        <v>3894</v>
      </c>
      <c r="H111" s="3" t="str">
        <f>HYPERLINK("http://www.jccm.es/sede/tramite/KI0","INSCRIPCION, MODIFICACION Y BAJA EN EL REGISTRO DE PRIMEROS COMPRADORES DE LECHE DE VACA, OVEJA Y CABRA.")</f>
        <v>INSCRIPCION, MODIFICACION Y BAJA EN EL REGISTRO DE PRIMEROS COMPRADORES DE LECHE DE VACA, OVEJA Y CABRA.</v>
      </c>
      <c r="I111" s="3" t="s">
        <v>42</v>
      </c>
      <c r="J111" s="3" t="s">
        <v>41</v>
      </c>
      <c r="K111" s="3" t="s">
        <v>42</v>
      </c>
      <c r="L111" s="3" t="s">
        <v>41</v>
      </c>
    </row>
    <row r="112" spans="1:12" ht="57.6">
      <c r="A112" s="3" t="s">
        <v>3895</v>
      </c>
      <c r="B112" s="3" t="s">
        <v>3896</v>
      </c>
      <c r="C112" s="3" t="s">
        <v>45</v>
      </c>
      <c r="D112" s="3" t="s">
        <v>37</v>
      </c>
      <c r="E112" s="3" t="s">
        <v>3555</v>
      </c>
      <c r="F112" s="3" t="s">
        <v>3616</v>
      </c>
      <c r="G112" s="3" t="s">
        <v>3897</v>
      </c>
      <c r="H112" s="3" t="str">
        <f>HYPERLINK("http://www.jccm.es/sede/tramite/KIW","ALTA, BAJA O MODIFICACION DEL REGISTRO GENERAL DE OPERADORES E INSTALACIONES DEL SECTOR VITIVINICOLA (REOVI)")</f>
        <v>ALTA, BAJA O MODIFICACION DEL REGISTRO GENERAL DE OPERADORES E INSTALACIONES DEL SECTOR VITIVINICOLA (REOVI)</v>
      </c>
      <c r="I112" s="3" t="s">
        <v>42</v>
      </c>
      <c r="J112" s="3" t="s">
        <v>41</v>
      </c>
      <c r="K112" s="3" t="s">
        <v>42</v>
      </c>
      <c r="L112" s="3" t="s">
        <v>41</v>
      </c>
    </row>
    <row r="113" spans="1:12" ht="57.6">
      <c r="A113" s="3" t="s">
        <v>3898</v>
      </c>
      <c r="B113" s="3" t="s">
        <v>3899</v>
      </c>
      <c r="C113" s="3" t="s">
        <v>51</v>
      </c>
      <c r="D113" s="3" t="s">
        <v>46</v>
      </c>
      <c r="E113" s="3" t="s">
        <v>3555</v>
      </c>
      <c r="F113" s="3" t="s">
        <v>3566</v>
      </c>
      <c r="G113" s="3" t="s">
        <v>3900</v>
      </c>
      <c r="H113" s="3" t="str">
        <f>HYPERLINK("http://www.jccm.es/sede/tramite/KLB","SOLICITUD DE INSCRIPCION/BAJA/MODIFICACION DE EXPLOTACIONES APICOLAS")</f>
        <v>SOLICITUD DE INSCRIPCION/BAJA/MODIFICACION DE EXPLOTACIONES APICOLAS</v>
      </c>
      <c r="I113" s="3" t="s">
        <v>42</v>
      </c>
      <c r="J113" s="3" t="s">
        <v>41</v>
      </c>
      <c r="K113" s="3" t="s">
        <v>42</v>
      </c>
      <c r="L113" s="3" t="s">
        <v>41</v>
      </c>
    </row>
    <row r="114" spans="1:12" ht="57.6">
      <c r="A114" s="3" t="s">
        <v>3901</v>
      </c>
      <c r="B114" s="3" t="s">
        <v>3902</v>
      </c>
      <c r="C114" s="3" t="s">
        <v>327</v>
      </c>
      <c r="D114" s="3" t="s">
        <v>46</v>
      </c>
      <c r="E114" s="3" t="s">
        <v>3555</v>
      </c>
      <c r="F114" s="3" t="s">
        <v>3616</v>
      </c>
      <c r="G114" s="3" t="s">
        <v>3903</v>
      </c>
      <c r="H114" s="3" t="str">
        <f>HYPERLINK("http://www.jccm.es/sede/tramite/KS1","MODIFICACION/BAJA EN EL REGISTRO DE AGRUPACIONES DE PRODUCTORES DE PRODUCTOS AGROALIMENTARIOS (APPAA)")</f>
        <v>MODIFICACION/BAJA EN EL REGISTRO DE AGRUPACIONES DE PRODUCTORES DE PRODUCTOS AGROALIMENTARIOS (APPAA)</v>
      </c>
      <c r="I114" s="3" t="s">
        <v>41</v>
      </c>
      <c r="J114" s="3" t="s">
        <v>41</v>
      </c>
      <c r="K114" s="3" t="s">
        <v>42</v>
      </c>
      <c r="L114" s="3" t="s">
        <v>41</v>
      </c>
    </row>
    <row r="115" spans="1:12" ht="57.6">
      <c r="A115" s="3" t="s">
        <v>3904</v>
      </c>
      <c r="B115" s="3" t="s">
        <v>3905</v>
      </c>
      <c r="C115" s="3" t="s">
        <v>45</v>
      </c>
      <c r="D115" s="3" t="s">
        <v>37</v>
      </c>
      <c r="E115" s="3" t="s">
        <v>3555</v>
      </c>
      <c r="F115" s="3" t="s">
        <v>3556</v>
      </c>
      <c r="G115" s="3" t="s">
        <v>3906</v>
      </c>
      <c r="H115" s="3" t="str">
        <f>HYPERLINK("http://www.jccm.es/sede/tramite/KZH","SOLICITUD DE INSCRIPCION EN EL CATALOGO DE EXPLOTACIONES PRIORITARIAS")</f>
        <v>SOLICITUD DE INSCRIPCION EN EL CATALOGO DE EXPLOTACIONES PRIORITARIAS</v>
      </c>
      <c r="I115" s="3" t="s">
        <v>42</v>
      </c>
      <c r="J115" s="3" t="s">
        <v>41</v>
      </c>
      <c r="K115" s="3" t="s">
        <v>42</v>
      </c>
      <c r="L115" s="3" t="s">
        <v>41</v>
      </c>
    </row>
    <row r="116" spans="1:12" ht="92.1">
      <c r="A116" s="3" t="s">
        <v>3907</v>
      </c>
      <c r="B116" s="3" t="s">
        <v>3908</v>
      </c>
      <c r="C116" s="3" t="s">
        <v>70</v>
      </c>
      <c r="D116" s="3" t="s">
        <v>37</v>
      </c>
      <c r="E116" s="3" t="s">
        <v>3555</v>
      </c>
      <c r="F116" s="3" t="s">
        <v>3566</v>
      </c>
      <c r="G116" s="3" t="s">
        <v>3909</v>
      </c>
      <c r="H116" s="3" t="str">
        <f>HYPERLINK("http://www.jccm.es/sede/tramite/L1O","SOLICITUD DE INCORPORACION AL PROGRAMA SANITARIO DE PREVENCION Y CONTROL DE LA RINOTRAQUEITIS INFECCIOSA BOVINA Y LA DIARREA VIRICA BOVINA")</f>
        <v>SOLICITUD DE INCORPORACION AL PROGRAMA SANITARIO DE PREVENCION Y CONTROL DE LA RINOTRAQUEITIS INFECCIOSA BOVINA Y LA DIARREA VIRICA BOVINA</v>
      </c>
      <c r="I116" s="3" t="s">
        <v>42</v>
      </c>
      <c r="J116" s="3" t="s">
        <v>41</v>
      </c>
      <c r="K116" s="3" t="s">
        <v>42</v>
      </c>
      <c r="L116" s="3" t="s">
        <v>41</v>
      </c>
    </row>
    <row r="117" spans="1:12" ht="69">
      <c r="A117" s="3" t="s">
        <v>3910</v>
      </c>
      <c r="B117" s="3" t="s">
        <v>3911</v>
      </c>
      <c r="C117" s="3" t="s">
        <v>70</v>
      </c>
      <c r="D117" s="3" t="s">
        <v>37</v>
      </c>
      <c r="E117" s="3" t="s">
        <v>3555</v>
      </c>
      <c r="F117" s="3" t="s">
        <v>3566</v>
      </c>
      <c r="G117" s="3" t="s">
        <v>3912</v>
      </c>
      <c r="H117" s="3" t="str">
        <f>HYPERLINK("http://www.jccm.es/sede/tramite/L2A","SOLICITUD DE REALIZACION DE PRUEBAS DE TUBERCULOSIS CAPRINA EN EXPLOTACIONES NO INCLUIDAS EN EL PROGRAMA NACIONAL DE  ERRADICACION DE TUBERCULOSIS BOVINA")</f>
        <v>SOLICITUD DE REALIZACION DE PRUEBAS DE TUBERCULOSIS CAPRINA EN EXPLOTACIONES NO INCLUIDAS EN EL PROGRAMA NACIONAL DE  ERRADICACION DE TUBERCULOSIS BOVINA</v>
      </c>
      <c r="I117" s="3" t="s">
        <v>42</v>
      </c>
      <c r="J117" s="3" t="s">
        <v>41</v>
      </c>
      <c r="K117" s="3" t="s">
        <v>42</v>
      </c>
      <c r="L117" s="3" t="s">
        <v>41</v>
      </c>
    </row>
    <row r="118" spans="1:12" ht="57.6">
      <c r="A118" s="3" t="s">
        <v>3913</v>
      </c>
      <c r="B118" s="3" t="s">
        <v>3914</v>
      </c>
      <c r="C118" s="3" t="s">
        <v>51</v>
      </c>
      <c r="D118" s="3" t="s">
        <v>37</v>
      </c>
      <c r="E118" s="3" t="s">
        <v>3555</v>
      </c>
      <c r="F118" s="3" t="s">
        <v>3566</v>
      </c>
      <c r="G118" s="3" t="s">
        <v>3915</v>
      </c>
      <c r="H118" s="3" t="str">
        <f>HYPERLINK("http://www.jccm.es/sede/tramite/L4K","SOLICITUD INACTIVACION/REACTIVACION/BAJA EN EL REGISTRO DE EXPLOTACIONES GANADERAS Y NUCLEOS ZOOLOGICOS")</f>
        <v>SOLICITUD INACTIVACION/REACTIVACION/BAJA EN EL REGISTRO DE EXPLOTACIONES GANADERAS Y NUCLEOS ZOOLOGICOS</v>
      </c>
      <c r="I118" s="3" t="s">
        <v>42</v>
      </c>
      <c r="J118" s="3" t="s">
        <v>41</v>
      </c>
      <c r="K118" s="3" t="s">
        <v>42</v>
      </c>
      <c r="L118" s="3" t="s">
        <v>41</v>
      </c>
    </row>
    <row r="119" spans="1:12" ht="57.6">
      <c r="A119" s="3" t="s">
        <v>3916</v>
      </c>
      <c r="B119" s="3" t="s">
        <v>3917</v>
      </c>
      <c r="C119" s="3" t="s">
        <v>45</v>
      </c>
      <c r="D119" s="3" t="s">
        <v>37</v>
      </c>
      <c r="E119" s="3" t="s">
        <v>3555</v>
      </c>
      <c r="F119" s="3" t="s">
        <v>3616</v>
      </c>
      <c r="G119" s="3" t="s">
        <v>3918</v>
      </c>
      <c r="H119" s="3" t="str">
        <f>HYPERLINK("http://www.jccm.es/sede/tramite/L6B","INSCRIPCION, MODIFICACION, BAJA Y CESE TEMPORAL EN EL CENSO DE INSTALACIONES Y OPERADORES OLEICOLAS")</f>
        <v>INSCRIPCION, MODIFICACION, BAJA Y CESE TEMPORAL EN EL CENSO DE INSTALACIONES Y OPERADORES OLEICOLAS</v>
      </c>
      <c r="I119" s="3" t="s">
        <v>42</v>
      </c>
      <c r="J119" s="3" t="s">
        <v>41</v>
      </c>
      <c r="K119" s="3" t="s">
        <v>42</v>
      </c>
      <c r="L119" s="3" t="s">
        <v>41</v>
      </c>
    </row>
    <row r="120" spans="1:12" ht="57.6">
      <c r="A120" s="3" t="s">
        <v>3919</v>
      </c>
      <c r="B120" s="3" t="s">
        <v>3920</v>
      </c>
      <c r="C120" s="3" t="s">
        <v>3921</v>
      </c>
      <c r="D120" s="3" t="s">
        <v>37</v>
      </c>
      <c r="E120" s="3" t="s">
        <v>3555</v>
      </c>
      <c r="F120" s="3" t="s">
        <v>3566</v>
      </c>
      <c r="G120" s="3" t="s">
        <v>3922</v>
      </c>
      <c r="H120" s="3" t="str">
        <f>HYPERLINK("http://www.jccm.es/sede/tramite/L6P","COMUNICACION DE MODIFICACIONES EN LOS DATOS O SOCIOS DE LAS ADSG Y SU REGISTRO REGIONAL")</f>
        <v>COMUNICACION DE MODIFICACIONES EN LOS DATOS O SOCIOS DE LAS ADSG Y SU REGISTRO REGIONAL</v>
      </c>
      <c r="I120" s="3" t="s">
        <v>41</v>
      </c>
      <c r="J120" s="3" t="s">
        <v>41</v>
      </c>
      <c r="K120" s="3" t="s">
        <v>42</v>
      </c>
      <c r="L120" s="3" t="s">
        <v>41</v>
      </c>
    </row>
    <row r="121" spans="1:12" ht="80.45">
      <c r="A121" s="3" t="s">
        <v>3923</v>
      </c>
      <c r="B121" s="3" t="s">
        <v>3924</v>
      </c>
      <c r="C121" s="3" t="s">
        <v>45</v>
      </c>
      <c r="D121" s="3" t="s">
        <v>37</v>
      </c>
      <c r="E121" s="3" t="s">
        <v>3555</v>
      </c>
      <c r="F121" s="3" t="s">
        <v>3566</v>
      </c>
      <c r="G121" s="3" t="s">
        <v>3925</v>
      </c>
      <c r="H121" s="3" t="str">
        <f>HYPERLINK("http://www.jccm.es/sede/tramite/L6Q","SOLICITUD DE PERDIDA DE LA CONDICION DE ADSG Y CANCELACION DE LA INSCRIPCION EN EL REGISTRO REGIONAL DE AGRUPACION DE DEFENSA SANITARIA GANADERA")</f>
        <v>SOLICITUD DE PERDIDA DE LA CONDICION DE ADSG Y CANCELACION DE LA INSCRIPCION EN EL REGISTRO REGIONAL DE AGRUPACION DE DEFENSA SANITARIA GANADERA</v>
      </c>
      <c r="I121" s="3" t="s">
        <v>41</v>
      </c>
      <c r="J121" s="3" t="s">
        <v>41</v>
      </c>
      <c r="K121" s="3" t="s">
        <v>42</v>
      </c>
      <c r="L121" s="3" t="s">
        <v>41</v>
      </c>
    </row>
    <row r="122" spans="1:12" ht="57.6">
      <c r="A122" s="3" t="s">
        <v>3926</v>
      </c>
      <c r="B122" s="3" t="s">
        <v>3927</v>
      </c>
      <c r="C122" s="3" t="s">
        <v>45</v>
      </c>
      <c r="D122" s="3" t="s">
        <v>46</v>
      </c>
      <c r="E122" s="3" t="s">
        <v>3555</v>
      </c>
      <c r="F122" s="3" t="s">
        <v>3566</v>
      </c>
      <c r="G122" s="3" t="s">
        <v>3928</v>
      </c>
      <c r="H122" s="3" t="str">
        <f>HYPERLINK("http://www.jccm.es/sede/tramite/LDV","REGISTRO OFICIAL DE OPERADORES PROFESIONALES DE VEGETALES EN CASTILLA-LA MANCHA")</f>
        <v>REGISTRO OFICIAL DE OPERADORES PROFESIONALES DE VEGETALES EN CASTILLA-LA MANCHA</v>
      </c>
      <c r="I122" s="3" t="s">
        <v>41</v>
      </c>
      <c r="J122" s="3" t="s">
        <v>41</v>
      </c>
      <c r="K122" s="3" t="s">
        <v>42</v>
      </c>
      <c r="L122" s="3" t="s">
        <v>41</v>
      </c>
    </row>
    <row r="123" spans="1:12" ht="57.6">
      <c r="A123" s="3" t="s">
        <v>3929</v>
      </c>
      <c r="B123" s="3" t="s">
        <v>3930</v>
      </c>
      <c r="C123" s="3" t="s">
        <v>36</v>
      </c>
      <c r="D123" s="3" t="s">
        <v>46</v>
      </c>
      <c r="E123" s="3" t="s">
        <v>3555</v>
      </c>
      <c r="F123" s="3" t="s">
        <v>3616</v>
      </c>
      <c r="G123" s="3" t="s">
        <v>3931</v>
      </c>
      <c r="H123" s="3" t="str">
        <f>HYPERLINK("http://www.jccm.es/sede/tramite/LK6","RECONOCIMIENTO COMO ORGANIZACION DE PRODUCTORES DE FRUTAS Y HORTALIZAS")</f>
        <v>RECONOCIMIENTO COMO ORGANIZACION DE PRODUCTORES DE FRUTAS Y HORTALIZAS</v>
      </c>
      <c r="I123" s="3" t="s">
        <v>41</v>
      </c>
      <c r="J123" s="3" t="s">
        <v>41</v>
      </c>
      <c r="K123" s="3" t="s">
        <v>42</v>
      </c>
      <c r="L123" s="3" t="s">
        <v>41</v>
      </c>
    </row>
    <row r="124" spans="1:12" ht="57.6">
      <c r="A124" s="3" t="s">
        <v>3932</v>
      </c>
      <c r="B124" s="3" t="s">
        <v>3933</v>
      </c>
      <c r="C124" s="3" t="s">
        <v>327</v>
      </c>
      <c r="D124" s="3" t="s">
        <v>37</v>
      </c>
      <c r="E124" s="3" t="s">
        <v>3555</v>
      </c>
      <c r="F124" s="3" t="s">
        <v>3616</v>
      </c>
      <c r="G124" s="3" t="s">
        <v>3934</v>
      </c>
      <c r="H124" s="3" t="str">
        <f>HYPERLINK("http://www.jccm.es/sede/tramite/LL7","SOLICITUD RECONOCIMIENTO LONJAS DE REFERENCIA")</f>
        <v>SOLICITUD RECONOCIMIENTO LONJAS DE REFERENCIA</v>
      </c>
      <c r="I124" s="3" t="s">
        <v>41</v>
      </c>
      <c r="J124" s="3" t="s">
        <v>41</v>
      </c>
      <c r="K124" s="3" t="s">
        <v>42</v>
      </c>
      <c r="L124" s="3" t="s">
        <v>41</v>
      </c>
    </row>
    <row r="125" spans="1:12" ht="34.5">
      <c r="A125" s="3" t="s">
        <v>3935</v>
      </c>
      <c r="B125" s="3" t="s">
        <v>3936</v>
      </c>
      <c r="C125" s="3" t="s">
        <v>95</v>
      </c>
      <c r="D125" s="3" t="s">
        <v>46</v>
      </c>
      <c r="E125" s="3" t="s">
        <v>3555</v>
      </c>
      <c r="F125" s="3" t="s">
        <v>3555</v>
      </c>
      <c r="G125" s="3" t="s">
        <v>3937</v>
      </c>
      <c r="H125" s="3" t="str">
        <f>HYPERLINK("http://www.jccm.es/sede/tramite/LWB","AUTORIZACION Y REGISTRO DE OPERADORES PRODUCTORES DE BROTES")</f>
        <v>AUTORIZACION Y REGISTRO DE OPERADORES PRODUCTORES DE BROTES</v>
      </c>
      <c r="I125" s="3" t="s">
        <v>42</v>
      </c>
      <c r="J125" s="3" t="s">
        <v>41</v>
      </c>
      <c r="K125" s="3" t="s">
        <v>42</v>
      </c>
      <c r="L125" s="3" t="s">
        <v>41</v>
      </c>
    </row>
    <row r="126" spans="1:12" ht="34.5">
      <c r="A126" s="3" t="s">
        <v>3938</v>
      </c>
      <c r="B126" s="3" t="s">
        <v>3939</v>
      </c>
      <c r="C126" s="3" t="s">
        <v>459</v>
      </c>
      <c r="D126" s="3" t="s">
        <v>37</v>
      </c>
      <c r="E126" s="3" t="s">
        <v>3555</v>
      </c>
      <c r="F126" s="3" t="s">
        <v>3555</v>
      </c>
      <c r="G126" s="3" t="s">
        <v>3940</v>
      </c>
      <c r="H126" s="3" t="str">
        <f>HYPERLINK("http://www.jccm.es/sede/tramite/LWS","INSCRIPCION/BAJA/DUPLICADO DE TANQUE DE LECHE")</f>
        <v>INSCRIPCION/BAJA/DUPLICADO DE TANQUE DE LECHE</v>
      </c>
      <c r="I126" s="3" t="s">
        <v>42</v>
      </c>
      <c r="J126" s="3" t="s">
        <v>41</v>
      </c>
      <c r="K126" s="3" t="s">
        <v>42</v>
      </c>
      <c r="L126" s="3" t="s">
        <v>41</v>
      </c>
    </row>
    <row r="127" spans="1:12" ht="57.6">
      <c r="A127" s="3" t="s">
        <v>3941</v>
      </c>
      <c r="B127" s="3" t="s">
        <v>3942</v>
      </c>
      <c r="C127" s="3" t="s">
        <v>327</v>
      </c>
      <c r="D127" s="3" t="s">
        <v>37</v>
      </c>
      <c r="E127" s="3" t="s">
        <v>3555</v>
      </c>
      <c r="F127" s="3" t="s">
        <v>3555</v>
      </c>
      <c r="G127" s="3" t="s">
        <v>3943</v>
      </c>
      <c r="H127" s="3" t="str">
        <f>HYPERLINK("http://www.jccm.es/sede/tramite/LYZ","PRESENTACION DE EJERCICIOS ECONOMICOS ANUALES AL REGISTRO DE SOCIEDADES AGRARIAS DE TRANSFORMACION (S.A.T.)")</f>
        <v>PRESENTACION DE EJERCICIOS ECONOMICOS ANUALES AL REGISTRO DE SOCIEDADES AGRARIAS DE TRANSFORMACION (S.A.T.)</v>
      </c>
      <c r="I127" s="3" t="s">
        <v>41</v>
      </c>
      <c r="J127" s="3" t="s">
        <v>41</v>
      </c>
      <c r="K127" s="3" t="s">
        <v>42</v>
      </c>
      <c r="L127" s="3" t="s">
        <v>41</v>
      </c>
    </row>
    <row r="128" spans="1:12" ht="57.6">
      <c r="A128" s="3" t="s">
        <v>3944</v>
      </c>
      <c r="B128" s="3" t="s">
        <v>3945</v>
      </c>
      <c r="C128" s="3" t="s">
        <v>45</v>
      </c>
      <c r="D128" s="3" t="s">
        <v>46</v>
      </c>
      <c r="E128" s="3" t="s">
        <v>3555</v>
      </c>
      <c r="F128" s="3" t="s">
        <v>3616</v>
      </c>
      <c r="G128" s="3" t="s">
        <v>3946</v>
      </c>
      <c r="H128" s="3" t="str">
        <f>HYPERLINK("http://www.jccm.es/sede/tramite/698","SOLICITUD DE INSCRIPCION EN EL REGISTRO DE EMBOTELLADORES Y ENVASADORES DE VINO DE CASTILLA-LA MANCHA")</f>
        <v>SOLICITUD DE INSCRIPCION EN EL REGISTRO DE EMBOTELLADORES Y ENVASADORES DE VINO DE CASTILLA-LA MANCHA</v>
      </c>
      <c r="I128" s="3" t="s">
        <v>42</v>
      </c>
      <c r="J128" s="3" t="s">
        <v>41</v>
      </c>
      <c r="K128" s="3" t="s">
        <v>42</v>
      </c>
      <c r="L128" s="3" t="s">
        <v>42</v>
      </c>
    </row>
    <row r="129" spans="1:12" ht="57.6">
      <c r="A129" s="3" t="s">
        <v>3947</v>
      </c>
      <c r="B129" s="3" t="s">
        <v>3948</v>
      </c>
      <c r="C129" s="3" t="s">
        <v>45</v>
      </c>
      <c r="D129" s="3" t="s">
        <v>46</v>
      </c>
      <c r="E129" s="3" t="s">
        <v>3555</v>
      </c>
      <c r="F129" s="3" t="s">
        <v>3616</v>
      </c>
      <c r="G129" s="3" t="s">
        <v>3949</v>
      </c>
      <c r="H129" s="3" t="str">
        <f>HYPERLINK("http://www.jccm.es/sede/tramite/LJL","SOLICITUD DE MODIFICACION EN EL REGISTRO DE EMBOTELLADORES Y ENVASADORES DE VINO DE CASTILLA-LA MANCHA.")</f>
        <v>SOLICITUD DE MODIFICACION EN EL REGISTRO DE EMBOTELLADORES Y ENVASADORES DE VINO DE CASTILLA-LA MANCHA.</v>
      </c>
      <c r="I129" s="3" t="s">
        <v>42</v>
      </c>
      <c r="J129" s="3" t="s">
        <v>41</v>
      </c>
      <c r="K129" s="3" t="s">
        <v>42</v>
      </c>
      <c r="L129" s="3" t="s">
        <v>41</v>
      </c>
    </row>
    <row r="130" spans="1:12" ht="69">
      <c r="A130" s="3" t="s">
        <v>3950</v>
      </c>
      <c r="B130" s="3" t="s">
        <v>3951</v>
      </c>
      <c r="C130" s="3" t="s">
        <v>327</v>
      </c>
      <c r="D130" s="3" t="s">
        <v>46</v>
      </c>
      <c r="E130" s="3" t="s">
        <v>3555</v>
      </c>
      <c r="F130" s="3" t="s">
        <v>3616</v>
      </c>
      <c r="G130" s="3" t="s">
        <v>3952</v>
      </c>
      <c r="H130" s="3" t="str">
        <f>HYPERLINK("http://www.jccm.es/sede/tramite/KT9","RECONOCIMIENTO E INSCRIPCION EN EL REGISTRO DE AGRUPACIONES DE PRODUCTORES DE PRODUCTOS AGROALIMENTARIOS (APPAA)")</f>
        <v>RECONOCIMIENTO E INSCRIPCION EN EL REGISTRO DE AGRUPACIONES DE PRODUCTORES DE PRODUCTOS AGROALIMENTARIOS (APPAA)</v>
      </c>
      <c r="I130" s="3" t="s">
        <v>41</v>
      </c>
      <c r="J130" s="3" t="s">
        <v>41</v>
      </c>
      <c r="K130" s="3" t="s">
        <v>42</v>
      </c>
      <c r="L130" s="3" t="s">
        <v>41</v>
      </c>
    </row>
    <row r="131" spans="1:12" ht="57.6">
      <c r="A131" s="3" t="s">
        <v>3953</v>
      </c>
      <c r="B131" s="3" t="s">
        <v>3954</v>
      </c>
      <c r="C131" s="3" t="s">
        <v>327</v>
      </c>
      <c r="D131" s="3" t="s">
        <v>46</v>
      </c>
      <c r="E131" s="3" t="s">
        <v>3555</v>
      </c>
      <c r="F131" s="3" t="s">
        <v>3555</v>
      </c>
      <c r="G131" s="3" t="s">
        <v>3955</v>
      </c>
      <c r="H131" s="3" t="str">
        <f>HYPERLINK("http://www.jccm.es/sede/tramite/LW1","MODIFICACION Y/O BAJA EN EL REGISTRO DE AGRUPACIONES DE PRODUCTORES DE PRODUCTOS AGROALIMENTARIOS (APPAA)")</f>
        <v>MODIFICACION Y/O BAJA EN EL REGISTRO DE AGRUPACIONES DE PRODUCTORES DE PRODUCTOS AGROALIMENTARIOS (APPAA)</v>
      </c>
      <c r="I131" s="3" t="s">
        <v>41</v>
      </c>
      <c r="J131" s="3" t="s">
        <v>41</v>
      </c>
      <c r="K131" s="3" t="s">
        <v>42</v>
      </c>
      <c r="L131" s="3" t="s">
        <v>41</v>
      </c>
    </row>
    <row r="132" spans="1:12" ht="69">
      <c r="A132" s="3" t="s">
        <v>3956</v>
      </c>
      <c r="B132" s="3" t="s">
        <v>3957</v>
      </c>
      <c r="C132" s="3" t="s">
        <v>327</v>
      </c>
      <c r="D132" s="3" t="s">
        <v>46</v>
      </c>
      <c r="E132" s="3" t="s">
        <v>3555</v>
      </c>
      <c r="F132" s="3" t="s">
        <v>3555</v>
      </c>
      <c r="G132" s="3" t="s">
        <v>3958</v>
      </c>
      <c r="H132" s="3" t="str">
        <f>HYPERLINK("http://www.jccm.es/sede/tramite/LW2","COMUNICACION MANTENIMIENTO CONDICION DE AGRUPACION DE PRODUCTORES DE PRODUCTOS AGROALIMENTARIAS")</f>
        <v>COMUNICACION MANTENIMIENTO CONDICION DE AGRUPACION DE PRODUCTORES DE PRODUCTOS AGROALIMENTARIAS</v>
      </c>
      <c r="I132" s="3" t="s">
        <v>41</v>
      </c>
      <c r="J132" s="3" t="s">
        <v>41</v>
      </c>
      <c r="K132" s="3" t="s">
        <v>42</v>
      </c>
      <c r="L132" s="3" t="s">
        <v>41</v>
      </c>
    </row>
    <row r="133" spans="1:12" ht="57.6">
      <c r="A133" s="3" t="s">
        <v>3959</v>
      </c>
      <c r="B133" s="3" t="s">
        <v>3960</v>
      </c>
      <c r="C133" s="3" t="s">
        <v>45</v>
      </c>
      <c r="D133" s="3" t="s">
        <v>37</v>
      </c>
      <c r="E133" s="3" t="s">
        <v>3555</v>
      </c>
      <c r="F133" s="3" t="s">
        <v>3566</v>
      </c>
      <c r="G133" s="3" t="s">
        <v>3961</v>
      </c>
      <c r="H133" s="3" t="str">
        <f>HYPERLINK("http://www.jccm.es/sede/tramite/L1I","COMUNICACION DE ANIMALES PRESENTES EN LA EXPLOTACION.")</f>
        <v>COMUNICACION DE ANIMALES PRESENTES EN LA EXPLOTACION.</v>
      </c>
      <c r="I133" s="3" t="s">
        <v>42</v>
      </c>
      <c r="J133" s="3" t="s">
        <v>41</v>
      </c>
      <c r="K133" s="3" t="s">
        <v>42</v>
      </c>
      <c r="L133" s="3" t="s">
        <v>41</v>
      </c>
    </row>
    <row r="134" spans="1:12" ht="57.6">
      <c r="A134" s="3" t="s">
        <v>3962</v>
      </c>
      <c r="B134" s="3" t="s">
        <v>3963</v>
      </c>
      <c r="C134" s="3" t="s">
        <v>45</v>
      </c>
      <c r="D134" s="3" t="s">
        <v>37</v>
      </c>
      <c r="E134" s="3" t="s">
        <v>3555</v>
      </c>
      <c r="F134" s="3" t="s">
        <v>3566</v>
      </c>
      <c r="G134" s="3" t="s">
        <v>3964</v>
      </c>
      <c r="H134" s="3" t="str">
        <f>HYPERLINK("http://www.jccm.es/sede/tramite/L1H","SOLICITUD DE INCORPORACION AL PROGRAMA SANITARIO DE CONTROL DE AGALAXIA CONTAGIOSA.")</f>
        <v>SOLICITUD DE INCORPORACION AL PROGRAMA SANITARIO DE CONTROL DE AGALAXIA CONTAGIOSA.</v>
      </c>
      <c r="I134" s="3" t="s">
        <v>42</v>
      </c>
      <c r="J134" s="3" t="s">
        <v>41</v>
      </c>
      <c r="K134" s="3" t="s">
        <v>42</v>
      </c>
      <c r="L134" s="3" t="s">
        <v>41</v>
      </c>
    </row>
    <row r="135" spans="1:12" ht="80.45">
      <c r="A135" s="3" t="s">
        <v>3965</v>
      </c>
      <c r="B135" s="3" t="s">
        <v>3966</v>
      </c>
      <c r="C135" s="3" t="s">
        <v>192</v>
      </c>
      <c r="D135" s="3" t="s">
        <v>46</v>
      </c>
      <c r="E135" s="3" t="s">
        <v>3555</v>
      </c>
      <c r="F135" s="3" t="s">
        <v>3566</v>
      </c>
      <c r="G135" s="3" t="s">
        <v>3967</v>
      </c>
      <c r="H135" s="3" t="str">
        <f>HYPERLINK("http://www.jccm.es/sede/tramite/787","SOLICITUD DE AYUDA A LAS ADSG PARA LA EJECUCION DE LOS PROGRAMAS NACIONALES DE ERRADICACION DE ENFERMEDADES ANIMALES (PNEEA) REGULADAS POR EL CAPITULO III DE LA ORDEN 29/2018")</f>
        <v>SOLICITUD DE AYUDA A LAS ADSG PARA LA EJECUCION DE LOS PROGRAMAS NACIONALES DE ERRADICACION DE ENFERMEDADES ANIMALES (PNEEA) REGULADAS POR EL CAPITULO III DE LA ORDEN 29/2018</v>
      </c>
      <c r="I135" s="3" t="s">
        <v>41</v>
      </c>
      <c r="J135" s="3" t="s">
        <v>41</v>
      </c>
      <c r="K135" s="3" t="s">
        <v>42</v>
      </c>
      <c r="L135" s="3" t="s">
        <v>41</v>
      </c>
    </row>
    <row r="136" spans="1:12" ht="92.1">
      <c r="A136" s="3" t="s">
        <v>3968</v>
      </c>
      <c r="B136" s="3" t="s">
        <v>3969</v>
      </c>
      <c r="C136" s="3" t="s">
        <v>62</v>
      </c>
      <c r="D136" s="3" t="s">
        <v>46</v>
      </c>
      <c r="E136" s="3" t="s">
        <v>3555</v>
      </c>
      <c r="F136" s="3" t="s">
        <v>3643</v>
      </c>
      <c r="G136" s="3" t="s">
        <v>3970</v>
      </c>
      <c r="H136" s="3" t="str">
        <f>HYPERLINK("http://www.jccm.es/sede/tramite/ITN","AYUDAS A LAS ORGANIZACIONES PROFESIONALES AGRARIAS Y A LAS ENTIDADES ASOCIATIVAS SIN ANIMO DE LUCRO REPRESENTATIVAS DE LAS COOPERATIVAS AGRARIAS DE CASTILLA-LA MANCHA")</f>
        <v>AYUDAS A LAS ORGANIZACIONES PROFESIONALES AGRARIAS Y A LAS ENTIDADES ASOCIATIVAS SIN ANIMO DE LUCRO REPRESENTATIVAS DE LAS COOPERATIVAS AGRARIAS DE CASTILLA-LA MANCHA</v>
      </c>
      <c r="I136" s="3" t="s">
        <v>41</v>
      </c>
      <c r="J136" s="3" t="s">
        <v>41</v>
      </c>
      <c r="K136" s="3" t="s">
        <v>42</v>
      </c>
      <c r="L136" s="3" t="s">
        <v>41</v>
      </c>
    </row>
    <row r="137" spans="1:12" ht="69">
      <c r="A137" s="3" t="s">
        <v>3971</v>
      </c>
      <c r="B137" s="3" t="s">
        <v>3972</v>
      </c>
      <c r="C137" s="3" t="s">
        <v>45</v>
      </c>
      <c r="D137" s="3" t="s">
        <v>46</v>
      </c>
      <c r="E137" s="3" t="s">
        <v>3555</v>
      </c>
      <c r="F137" s="3" t="s">
        <v>3697</v>
      </c>
      <c r="G137" s="3" t="s">
        <v>3973</v>
      </c>
      <c r="H137" s="3" t="str">
        <f>HYPERLINK("http://www.jccm.es/sede/tramite/J3G","AYUDAS EN REGIMEN DE MINIMIS PARA PALIAR LOS DAÑOS PRODUCIDOS POR AVES NECROFAGAS AL GANADO DOMESTICO EN CASTILLA-LA MANCHA.")</f>
        <v>AYUDAS EN REGIMEN DE MINIMIS PARA PALIAR LOS DAÑOS PRODUCIDOS POR AVES NECROFAGAS AL GANADO DOMESTICO EN CASTILLA-LA MANCHA.</v>
      </c>
      <c r="I137" s="3" t="s">
        <v>42</v>
      </c>
      <c r="J137" s="3" t="s">
        <v>41</v>
      </c>
      <c r="K137" s="3" t="s">
        <v>42</v>
      </c>
      <c r="L137" s="3" t="s">
        <v>41</v>
      </c>
    </row>
    <row r="138" spans="1:12" ht="57.6">
      <c r="A138" s="3" t="s">
        <v>3974</v>
      </c>
      <c r="B138" s="3" t="s">
        <v>3975</v>
      </c>
      <c r="C138" s="3" t="s">
        <v>95</v>
      </c>
      <c r="D138" s="3" t="s">
        <v>95</v>
      </c>
      <c r="E138" s="3" t="s">
        <v>3555</v>
      </c>
      <c r="F138" s="3" t="s">
        <v>3616</v>
      </c>
      <c r="G138" s="3" t="s">
        <v>3976</v>
      </c>
      <c r="H138" s="3" t="str">
        <f>HYPERLINK("http://www.jccm.es/sede/tramite/IID","CONCURSO OFICIAL GRAN SELECCION CAMPO Y ALMA")</f>
        <v>CONCURSO OFICIAL GRAN SELECCION CAMPO Y ALMA</v>
      </c>
      <c r="I138" s="3" t="s">
        <v>41</v>
      </c>
      <c r="J138" s="3" t="s">
        <v>41</v>
      </c>
      <c r="K138" s="3" t="s">
        <v>42</v>
      </c>
      <c r="L138" s="3" t="s">
        <v>41</v>
      </c>
    </row>
    <row r="139" spans="1:12" ht="57.6">
      <c r="A139" s="3" t="s">
        <v>3977</v>
      </c>
      <c r="B139" s="3" t="s">
        <v>3978</v>
      </c>
      <c r="C139" s="3" t="s">
        <v>45</v>
      </c>
      <c r="D139" s="3" t="s">
        <v>46</v>
      </c>
      <c r="E139" s="3" t="s">
        <v>3555</v>
      </c>
      <c r="F139" s="3" t="s">
        <v>3616</v>
      </c>
      <c r="G139" s="3" t="s">
        <v>3979</v>
      </c>
      <c r="H139" s="3" t="str">
        <f>HYPERLINK("http://www.jccm.es/sede/tramite/K4D","PRESENTACION JUSTIFICANTES DEL DESTINO DEL ALCOHOL")</f>
        <v>PRESENTACION JUSTIFICANTES DEL DESTINO DEL ALCOHOL</v>
      </c>
      <c r="I139" s="3" t="s">
        <v>41</v>
      </c>
      <c r="J139" s="3" t="s">
        <v>41</v>
      </c>
      <c r="K139" s="3" t="s">
        <v>42</v>
      </c>
      <c r="L139" s="3" t="s">
        <v>41</v>
      </c>
    </row>
    <row r="140" spans="1:12" ht="57.6">
      <c r="A140" s="3" t="s">
        <v>3980</v>
      </c>
      <c r="B140" s="3" t="s">
        <v>3981</v>
      </c>
      <c r="C140" s="3" t="s">
        <v>327</v>
      </c>
      <c r="D140" s="3" t="s">
        <v>46</v>
      </c>
      <c r="E140" s="3" t="s">
        <v>3555</v>
      </c>
      <c r="F140" s="3" t="s">
        <v>3566</v>
      </c>
      <c r="G140" s="3" t="s">
        <v>3982</v>
      </c>
      <c r="H140" s="3" t="str">
        <f>HYPERLINK("http://www.jccm.es/sede/tramite/K5S","PAGO POR ANTICIPO")</f>
        <v>PAGO POR ANTICIPO</v>
      </c>
      <c r="I140" s="3" t="s">
        <v>41</v>
      </c>
      <c r="J140" s="3" t="s">
        <v>41</v>
      </c>
      <c r="K140" s="3" t="s">
        <v>42</v>
      </c>
      <c r="L140" s="3" t="s">
        <v>41</v>
      </c>
    </row>
    <row r="141" spans="1:12" ht="80.45">
      <c r="A141" s="3" t="s">
        <v>3983</v>
      </c>
      <c r="B141" s="3" t="s">
        <v>3984</v>
      </c>
      <c r="C141" s="3" t="s">
        <v>45</v>
      </c>
      <c r="D141" s="3" t="s">
        <v>46</v>
      </c>
      <c r="E141" s="3" t="s">
        <v>3555</v>
      </c>
      <c r="F141" s="3" t="s">
        <v>3697</v>
      </c>
      <c r="G141" s="3" t="s">
        <v>3985</v>
      </c>
      <c r="H141" s="3" t="str">
        <f>HYPERLINK("http://www.jccm.es/sede/tramite/KG0","AYUDAS EN REGIMEN DE MINIMIS PARA PALIAR LOS DAÑOS RELACIONADOS CON ATAQUES DE LOBO IBERICO (CANIS LUPUS SIGNATUS) AL GANADO DOMESTICO EN CASTILLA-LA MANCHA")</f>
        <v>AYUDAS EN REGIMEN DE MINIMIS PARA PALIAR LOS DAÑOS RELACIONADOS CON ATAQUES DE LOBO IBERICO (CANIS LUPUS SIGNATUS) AL GANADO DOMESTICO EN CASTILLA-LA MANCHA</v>
      </c>
      <c r="I141" s="3" t="s">
        <v>42</v>
      </c>
      <c r="J141" s="3" t="s">
        <v>41</v>
      </c>
      <c r="K141" s="3" t="s">
        <v>42</v>
      </c>
      <c r="L141" s="3" t="s">
        <v>41</v>
      </c>
    </row>
    <row r="142" spans="1:12" ht="80.45">
      <c r="A142" s="3" t="s">
        <v>3986</v>
      </c>
      <c r="B142" s="3" t="s">
        <v>3987</v>
      </c>
      <c r="C142" s="3" t="s">
        <v>45</v>
      </c>
      <c r="D142" s="3" t="s">
        <v>46</v>
      </c>
      <c r="E142" s="3" t="s">
        <v>3555</v>
      </c>
      <c r="F142" s="3" t="s">
        <v>3556</v>
      </c>
      <c r="G142" s="3" t="s">
        <v>3988</v>
      </c>
      <c r="H142" s="3" t="str">
        <f>HYPERLINK("http://www.jccm.es/sede/tramite/KKM","AYUDA  PARA LA PARTICIPACION EN LA SELECCION DE GRUPOS DE ACCION LOCAL Y ESTRATEGIAS DE DESARROLLO LOCAL")</f>
        <v>AYUDA  PARA LA PARTICIPACION EN LA SELECCION DE GRUPOS DE ACCION LOCAL Y ESTRATEGIAS DE DESARROLLO LOCAL</v>
      </c>
      <c r="I142" s="3" t="s">
        <v>42</v>
      </c>
      <c r="J142" s="3" t="s">
        <v>41</v>
      </c>
      <c r="K142" s="3" t="s">
        <v>42</v>
      </c>
      <c r="L142" s="3" t="s">
        <v>41</v>
      </c>
    </row>
    <row r="143" spans="1:12" ht="103.5">
      <c r="A143" s="3" t="s">
        <v>3989</v>
      </c>
      <c r="B143" s="3" t="s">
        <v>3990</v>
      </c>
      <c r="C143" s="3" t="s">
        <v>3991</v>
      </c>
      <c r="D143" s="3" t="s">
        <v>46</v>
      </c>
      <c r="E143" s="3" t="s">
        <v>3555</v>
      </c>
      <c r="F143" s="3" t="s">
        <v>3556</v>
      </c>
      <c r="G143" s="3" t="s">
        <v>3992</v>
      </c>
      <c r="H143" s="3" t="str">
        <f>HYPERLINK("http://www.jccm.es/sede/tramite/KVH","MODIFICACION SOLICITUD AYUDA A LA MODERNIZACION Y TRANSFORMACION DE REGADIOS")</f>
        <v>MODIFICACION SOLICITUD AYUDA A LA MODERNIZACION Y TRANSFORMACION DE REGADIOS</v>
      </c>
      <c r="I143" s="3" t="s">
        <v>41</v>
      </c>
      <c r="J143" s="3" t="s">
        <v>41</v>
      </c>
      <c r="K143" s="3" t="s">
        <v>42</v>
      </c>
      <c r="L143" s="3" t="s">
        <v>41</v>
      </c>
    </row>
    <row r="144" spans="1:12" ht="80.45">
      <c r="A144" s="3" t="s">
        <v>3993</v>
      </c>
      <c r="B144" s="3" t="s">
        <v>3994</v>
      </c>
      <c r="C144" s="3" t="s">
        <v>45</v>
      </c>
      <c r="D144" s="3" t="s">
        <v>46</v>
      </c>
      <c r="E144" s="3" t="s">
        <v>3555</v>
      </c>
      <c r="F144" s="3" t="s">
        <v>3616</v>
      </c>
      <c r="G144" s="3" t="s">
        <v>3995</v>
      </c>
      <c r="H144" s="3" t="str">
        <f>HYPERLINK("http://www.jccm.es/sede/tramite/KWH","AYUDAS PARA EL SUMINISTRO Y DISTRIBUCION DE FRUTAS Y HORTALIZAS, Y LECHE Y PRODUCTOS LACTEOS  EN LOS CENTROS ESCOLARES DE CASTILLA-LA MANCHA PARA EL CURSO ESCOLAR 2019-2020")</f>
        <v>AYUDAS PARA EL SUMINISTRO Y DISTRIBUCION DE FRUTAS Y HORTALIZAS, Y LECHE Y PRODUCTOS LACTEOS  EN LOS CENTROS ESCOLARES DE CASTILLA-LA MANCHA PARA EL CURSO ESCOLAR 2019-2020</v>
      </c>
      <c r="I144" s="3" t="s">
        <v>41</v>
      </c>
      <c r="J144" s="3" t="s">
        <v>41</v>
      </c>
      <c r="K144" s="3" t="s">
        <v>42</v>
      </c>
      <c r="L144" s="3" t="s">
        <v>41</v>
      </c>
    </row>
    <row r="145" spans="1:12" ht="92.1">
      <c r="A145" s="3" t="s">
        <v>3996</v>
      </c>
      <c r="B145" s="3" t="s">
        <v>3997</v>
      </c>
      <c r="C145" s="3" t="s">
        <v>62</v>
      </c>
      <c r="D145" s="3" t="s">
        <v>46</v>
      </c>
      <c r="E145" s="3" t="s">
        <v>3555</v>
      </c>
      <c r="F145" s="3" t="s">
        <v>3616</v>
      </c>
      <c r="G145" s="3" t="s">
        <v>3998</v>
      </c>
      <c r="H145" s="3" t="str">
        <f>HYPERLINK("http://www.jccm.es/sede/tramite/KWI","SOLICITUD DE PAGO DE LAS AYUDAS PARA EL SUMINISTRO Y DISTRIBUCION DE FRUTAS Y HORTALIZAS, Y LECHE Y PRODUCTOS LACTEOS EN LOS CENTROS ESCOLARES DE CASTILLA-LA MANCHA PARA EL CURSO ESCOLAR 2019-2020")</f>
        <v>SOLICITUD DE PAGO DE LAS AYUDAS PARA EL SUMINISTRO Y DISTRIBUCION DE FRUTAS Y HORTALIZAS, Y LECHE Y PRODUCTOS LACTEOS EN LOS CENTROS ESCOLARES DE CASTILLA-LA MANCHA PARA EL CURSO ESCOLAR 2019-2020</v>
      </c>
      <c r="I145" s="3" t="s">
        <v>41</v>
      </c>
      <c r="J145" s="3" t="s">
        <v>41</v>
      </c>
      <c r="K145" s="3" t="s">
        <v>42</v>
      </c>
      <c r="L145" s="3" t="s">
        <v>41</v>
      </c>
    </row>
    <row r="146" spans="1:12" ht="103.5">
      <c r="A146" s="3" t="s">
        <v>3999</v>
      </c>
      <c r="B146" s="3" t="s">
        <v>4000</v>
      </c>
      <c r="C146" s="3" t="s">
        <v>95</v>
      </c>
      <c r="D146" s="3" t="s">
        <v>95</v>
      </c>
      <c r="E146" s="3" t="s">
        <v>3555</v>
      </c>
      <c r="F146" s="3" t="s">
        <v>3697</v>
      </c>
      <c r="G146" s="3" t="s">
        <v>4001</v>
      </c>
      <c r="H146" s="3" t="str">
        <f>HYPERLINK("http://www.jccm.es/sede/tramite/KYD","COMUNICACION DE CAMBIO DE TITULARIDAD Y ACEPTACION EXPRESA POR EL NUEVO TITULAR DE LAS CONDICIONES DE LA AYUDAS DE PAGOS COMPENSATORIOS POR ZONAS AGRICOLAS DE LA RED NATURA 2000")</f>
        <v>COMUNICACION DE CAMBIO DE TITULARIDAD Y ACEPTACION EXPRESA POR EL NUEVO TITULAR DE LAS CONDICIONES DE LA AYUDAS DE PAGOS COMPENSATORIOS POR ZONAS AGRICOLAS DE LA RED NATURA 2000</v>
      </c>
      <c r="I146" s="3" t="s">
        <v>41</v>
      </c>
      <c r="J146" s="3" t="s">
        <v>41</v>
      </c>
      <c r="K146" s="3" t="s">
        <v>42</v>
      </c>
      <c r="L146" s="3" t="s">
        <v>41</v>
      </c>
    </row>
    <row r="147" spans="1:12" ht="69">
      <c r="A147" s="3" t="s">
        <v>4002</v>
      </c>
      <c r="B147" s="3" t="s">
        <v>4003</v>
      </c>
      <c r="C147" s="3" t="s">
        <v>45</v>
      </c>
      <c r="D147" s="3" t="s">
        <v>46</v>
      </c>
      <c r="E147" s="3" t="s">
        <v>3555</v>
      </c>
      <c r="F147" s="3" t="s">
        <v>3556</v>
      </c>
      <c r="G147" s="3" t="s">
        <v>4004</v>
      </c>
      <c r="H147" s="3" t="str">
        <f>HYPERLINK("http://www.jccm.es/sede/tramite/KYV","AYUDAS EN ESPECIE CONSISTENTES EN LA EJECUCION DE ACTUACIONES DE MEJORA Y ACONDICIONAMIENTO DE CAMINOS RURALES")</f>
        <v>AYUDAS EN ESPECIE CONSISTENTES EN LA EJECUCION DE ACTUACIONES DE MEJORA Y ACONDICIONAMIENTO DE CAMINOS RURALES</v>
      </c>
      <c r="I147" s="3" t="s">
        <v>41</v>
      </c>
      <c r="J147" s="3" t="s">
        <v>41</v>
      </c>
      <c r="K147" s="3" t="s">
        <v>42</v>
      </c>
      <c r="L147" s="3" t="s">
        <v>41</v>
      </c>
    </row>
    <row r="148" spans="1:12" ht="138">
      <c r="A148" s="3" t="s">
        <v>4005</v>
      </c>
      <c r="B148" s="3" t="s">
        <v>4006</v>
      </c>
      <c r="C148" s="3" t="s">
        <v>95</v>
      </c>
      <c r="D148" s="3" t="s">
        <v>95</v>
      </c>
      <c r="E148" s="3" t="s">
        <v>3555</v>
      </c>
      <c r="F148" s="3" t="s">
        <v>3697</v>
      </c>
      <c r="G148" s="3" t="s">
        <v>4007</v>
      </c>
      <c r="H148" s="3" t="str">
        <f>HYPERLINK("http://www.jccm.es/sede/tramite/KYW","COMUNICACION DE CAMBIO DE TITULARIDAD Y ACEPTACION EXPRESA POR EL NUEVO TITULAR DE LAS CONDICIONES DE LA AYUDAS DE PAGOS COMPENSATORIOS POR ZONAS AGRICOLAS DE LA RN 2000 1ª AMPLIACION ZONA A")</f>
        <v>COMUNICACION DE CAMBIO DE TITULARIDAD Y ACEPTACION EXPRESA POR EL NUEVO TITULAR DE LAS CONDICIONES DE LA AYUDAS DE PAGOS COMPENSATORIOS POR ZONAS AGRICOLAS DE LA RN 2000 1ª AMPLIACION ZONA A</v>
      </c>
      <c r="I148" s="3" t="s">
        <v>41</v>
      </c>
      <c r="J148" s="3" t="s">
        <v>41</v>
      </c>
      <c r="K148" s="3" t="s">
        <v>42</v>
      </c>
      <c r="L148" s="3" t="s">
        <v>41</v>
      </c>
    </row>
    <row r="149" spans="1:12" ht="69">
      <c r="A149" s="3" t="s">
        <v>4008</v>
      </c>
      <c r="B149" s="3" t="s">
        <v>4009</v>
      </c>
      <c r="C149" s="3" t="s">
        <v>95</v>
      </c>
      <c r="D149" s="3" t="s">
        <v>95</v>
      </c>
      <c r="E149" s="3" t="s">
        <v>3555</v>
      </c>
      <c r="F149" s="3" t="s">
        <v>3566</v>
      </c>
      <c r="G149" s="3" t="s">
        <v>4010</v>
      </c>
      <c r="H149" s="3" t="str">
        <f>HYPERLINK("http://www.jccm.es/sede/tramite/KZC","SOLICITUD DE INDEMNIZACION POR SACRIFICIO OBLIGATORIO DE ANIMALES POSITIVOS A ENFERMEDADES OBJETO DE PROGRAMAS DE ERRADICACION")</f>
        <v>SOLICITUD DE INDEMNIZACION POR SACRIFICIO OBLIGATORIO DE ANIMALES POSITIVOS A ENFERMEDADES OBJETO DE PROGRAMAS DE ERRADICACION</v>
      </c>
      <c r="I149" s="3" t="s">
        <v>42</v>
      </c>
      <c r="J149" s="3" t="s">
        <v>41</v>
      </c>
      <c r="K149" s="3" t="s">
        <v>42</v>
      </c>
      <c r="L149" s="3" t="s">
        <v>41</v>
      </c>
    </row>
    <row r="150" spans="1:12" ht="57.6">
      <c r="A150" s="3" t="s">
        <v>4011</v>
      </c>
      <c r="B150" s="3" t="s">
        <v>4012</v>
      </c>
      <c r="C150" s="3" t="s">
        <v>95</v>
      </c>
      <c r="D150" s="3" t="s">
        <v>95</v>
      </c>
      <c r="E150" s="3" t="s">
        <v>3555</v>
      </c>
      <c r="F150" s="3" t="s">
        <v>3616</v>
      </c>
      <c r="G150" s="3" t="s">
        <v>4013</v>
      </c>
      <c r="H150" s="3" t="str">
        <f>HYPERLINK("http://www.jccm.es/sede/tramite/KZR","CONCURSO MEJOR EMPRESA ECOLOGICA")</f>
        <v>CONCURSO MEJOR EMPRESA ECOLOGICA</v>
      </c>
      <c r="I150" s="3" t="s">
        <v>42</v>
      </c>
      <c r="J150" s="3" t="s">
        <v>41</v>
      </c>
      <c r="K150" s="3" t="s">
        <v>42</v>
      </c>
      <c r="L150" s="3" t="s">
        <v>41</v>
      </c>
    </row>
    <row r="151" spans="1:12" ht="69">
      <c r="A151" s="3" t="s">
        <v>4014</v>
      </c>
      <c r="B151" s="3" t="s">
        <v>4015</v>
      </c>
      <c r="C151" s="3" t="s">
        <v>4016</v>
      </c>
      <c r="D151" s="3" t="s">
        <v>46</v>
      </c>
      <c r="E151" s="3" t="s">
        <v>3555</v>
      </c>
      <c r="F151" s="3" t="s">
        <v>3566</v>
      </c>
      <c r="G151" s="3" t="s">
        <v>4017</v>
      </c>
      <c r="H151" s="3" t="str">
        <f>HYPERLINK("http://www.jccm.es/sede/tramite/L0Y","SOLICITUD DE MODIFICACION DE PROYECTOS PILOTO INNOVADORES EN LA PRODUCCION PRIMARIA AGRICOLA Y GANADERA.")</f>
        <v>SOLICITUD DE MODIFICACION DE PROYECTOS PILOTO INNOVADORES EN LA PRODUCCION PRIMARIA AGRICOLA Y GANADERA.</v>
      </c>
      <c r="I151" s="3" t="s">
        <v>41</v>
      </c>
      <c r="J151" s="3" t="s">
        <v>41</v>
      </c>
      <c r="K151" s="3" t="s">
        <v>42</v>
      </c>
      <c r="L151" s="3" t="s">
        <v>41</v>
      </c>
    </row>
    <row r="152" spans="1:12" ht="149.44999999999999">
      <c r="A152" s="3" t="s">
        <v>4018</v>
      </c>
      <c r="B152" s="3" t="s">
        <v>4019</v>
      </c>
      <c r="C152" s="3" t="s">
        <v>232</v>
      </c>
      <c r="D152" s="3" t="s">
        <v>46</v>
      </c>
      <c r="E152" s="3" t="s">
        <v>3555</v>
      </c>
      <c r="F152" s="3" t="s">
        <v>3616</v>
      </c>
      <c r="G152" s="3" t="s">
        <v>4020</v>
      </c>
      <c r="H152" s="3" t="str">
        <f>HYPERLINK("http://www.jccm.es/sede/tramite/L14","SOLICITUD DE MODIFICACION DE LA RESOLUCION DE CONCESION DE AYUDA DESTINADA A PROMOVER LA COOPERACION INNOVADORA EN EL SECTOR AGROALIMENTARIO.")</f>
        <v>SOLICITUD DE MODIFICACION DE LA RESOLUCION DE CONCESION DE AYUDA DESTINADA A PROMOVER LA COOPERACION INNOVADORA EN EL SECTOR AGROALIMENTARIO.</v>
      </c>
      <c r="I152" s="3" t="s">
        <v>41</v>
      </c>
      <c r="J152" s="3" t="s">
        <v>41</v>
      </c>
      <c r="K152" s="3" t="s">
        <v>42</v>
      </c>
      <c r="L152" s="3" t="s">
        <v>41</v>
      </c>
    </row>
    <row r="153" spans="1:12" ht="138">
      <c r="A153" s="3" t="s">
        <v>4021</v>
      </c>
      <c r="B153" s="3" t="s">
        <v>4022</v>
      </c>
      <c r="C153" s="3" t="s">
        <v>51</v>
      </c>
      <c r="D153" s="3" t="s">
        <v>46</v>
      </c>
      <c r="E153" s="3" t="s">
        <v>3555</v>
      </c>
      <c r="F153" s="3" t="s">
        <v>3616</v>
      </c>
      <c r="G153" s="3" t="s">
        <v>4023</v>
      </c>
      <c r="H153" s="3" t="str">
        <f>HYPERLINK("http://www.jccm.es/sede/tramite/L5Q","SOLICITUD  DE MODIFICACION DE LAS AYUDAS PARA LA COOPERACION ENTRE LOS AGENTES DE LA CADENA DE SUMINISTRO PARA LA CREACION Y EL DESARROLLO DE CADENAS DE DISTRIBUCION CORTAS Y MERCADOS LOCALES.")</f>
        <v>SOLICITUD  DE MODIFICACION DE LAS AYUDAS PARA LA COOPERACION ENTRE LOS AGENTES DE LA CADENA DE SUMINISTRO PARA LA CREACION Y EL DESARROLLO DE CADENAS DE DISTRIBUCION CORTAS Y MERCADOS LOCALES.</v>
      </c>
      <c r="I153" s="3" t="s">
        <v>42</v>
      </c>
      <c r="J153" s="3" t="s">
        <v>41</v>
      </c>
      <c r="K153" s="3" t="s">
        <v>42</v>
      </c>
      <c r="L153" s="3" t="s">
        <v>41</v>
      </c>
    </row>
    <row r="154" spans="1:12" ht="57.6">
      <c r="A154" s="3" t="s">
        <v>4024</v>
      </c>
      <c r="B154" s="3" t="s">
        <v>4025</v>
      </c>
      <c r="C154" s="3" t="s">
        <v>95</v>
      </c>
      <c r="D154" s="3" t="s">
        <v>95</v>
      </c>
      <c r="E154" s="3" t="s">
        <v>3555</v>
      </c>
      <c r="F154" s="3" t="s">
        <v>3556</v>
      </c>
      <c r="G154" s="3" t="s">
        <v>4026</v>
      </c>
      <c r="H154" s="3" t="str">
        <f>HYPERLINK("http://www.jccm.es/sede/tramite/LD7","JUSTIFICACION DE  SUBVENCION A LA RED CASTELLANO MANCHEGA DE DESARROLLO RURAL")</f>
        <v>JUSTIFICACION DE  SUBVENCION A LA RED CASTELLANO MANCHEGA DE DESARROLLO RURAL</v>
      </c>
      <c r="I154" s="3" t="s">
        <v>41</v>
      </c>
      <c r="J154" s="3" t="s">
        <v>41</v>
      </c>
      <c r="K154" s="3" t="s">
        <v>42</v>
      </c>
      <c r="L154" s="3" t="s">
        <v>41</v>
      </c>
    </row>
    <row r="155" spans="1:12" ht="57.6">
      <c r="A155" s="3" t="s">
        <v>4027</v>
      </c>
      <c r="B155" s="3" t="s">
        <v>4028</v>
      </c>
      <c r="C155" s="3" t="s">
        <v>4029</v>
      </c>
      <c r="D155" s="3" t="s">
        <v>46</v>
      </c>
      <c r="E155" s="3" t="s">
        <v>3555</v>
      </c>
      <c r="F155" s="3" t="s">
        <v>3556</v>
      </c>
      <c r="G155" s="3" t="s">
        <v>4030</v>
      </c>
      <c r="H155" s="3" t="str">
        <f>HYPERLINK("http://www.jccm.es/sede/tramite/LF9","ASIGNACION FINANCIERA EXTRAORDINARIA PARA GAL POR COVID-19")</f>
        <v>ASIGNACION FINANCIERA EXTRAORDINARIA PARA GAL POR COVID-19</v>
      </c>
      <c r="I155" s="3" t="s">
        <v>41</v>
      </c>
      <c r="J155" s="3" t="s">
        <v>41</v>
      </c>
      <c r="K155" s="3" t="s">
        <v>42</v>
      </c>
      <c r="L155" s="3" t="s">
        <v>41</v>
      </c>
    </row>
    <row r="156" spans="1:12" ht="57.6">
      <c r="A156" s="3" t="s">
        <v>4031</v>
      </c>
      <c r="B156" s="3" t="s">
        <v>4032</v>
      </c>
      <c r="C156" s="3" t="s">
        <v>327</v>
      </c>
      <c r="D156" s="3" t="s">
        <v>46</v>
      </c>
      <c r="E156" s="3" t="s">
        <v>3555</v>
      </c>
      <c r="F156" s="3" t="s">
        <v>3566</v>
      </c>
      <c r="G156" s="3" t="s">
        <v>4033</v>
      </c>
      <c r="H156" s="3" t="str">
        <f>HYPERLINK("http://www.jccm.es/sede/tramite/LFK","SUBVENCION CERDO IBERICO AÑO 2020")</f>
        <v>SUBVENCION CERDO IBERICO AÑO 2020</v>
      </c>
      <c r="I156" s="3" t="s">
        <v>42</v>
      </c>
      <c r="J156" s="3" t="s">
        <v>41</v>
      </c>
      <c r="K156" s="3" t="s">
        <v>42</v>
      </c>
      <c r="L156" s="3" t="s">
        <v>41</v>
      </c>
    </row>
    <row r="157" spans="1:12" ht="57.6">
      <c r="A157" s="3" t="s">
        <v>4034</v>
      </c>
      <c r="B157" s="3" t="s">
        <v>4035</v>
      </c>
      <c r="C157" s="3" t="s">
        <v>4036</v>
      </c>
      <c r="D157" s="3" t="s">
        <v>46</v>
      </c>
      <c r="E157" s="3" t="s">
        <v>3555</v>
      </c>
      <c r="F157" s="3" t="s">
        <v>3616</v>
      </c>
      <c r="G157" s="3" t="s">
        <v>4037</v>
      </c>
      <c r="H157" s="3" t="str">
        <f>HYPERLINK("http://www.jccm.es/sede/tramite/LGQ","SOLICITUD DE PAGO DE LA AYUDA PARA EL ALMACENAMIENTO PRIVADO DE QUESO.")</f>
        <v>SOLICITUD DE PAGO DE LA AYUDA PARA EL ALMACENAMIENTO PRIVADO DE QUESO.</v>
      </c>
      <c r="I157" s="3" t="s">
        <v>41</v>
      </c>
      <c r="J157" s="3" t="s">
        <v>41</v>
      </c>
      <c r="K157" s="3" t="s">
        <v>42</v>
      </c>
      <c r="L157" s="3" t="s">
        <v>41</v>
      </c>
    </row>
    <row r="158" spans="1:12" ht="57.6">
      <c r="A158" s="3" t="s">
        <v>4038</v>
      </c>
      <c r="B158" s="3" t="s">
        <v>4039</v>
      </c>
      <c r="C158" s="3" t="s">
        <v>327</v>
      </c>
      <c r="D158" s="3" t="s">
        <v>46</v>
      </c>
      <c r="E158" s="3" t="s">
        <v>3555</v>
      </c>
      <c r="F158" s="3" t="s">
        <v>3566</v>
      </c>
      <c r="G158" s="3" t="s">
        <v>4040</v>
      </c>
      <c r="H158" s="3" t="str">
        <f>HYPERLINK("http://www.jccm.es/sede/tramite/LGV","AYUDAS AL SECTOR DE LA FLOR CORTADA Y PLANTA ORNAMENTAL")</f>
        <v>AYUDAS AL SECTOR DE LA FLOR CORTADA Y PLANTA ORNAMENTAL</v>
      </c>
      <c r="I158" s="3" t="s">
        <v>41</v>
      </c>
      <c r="J158" s="3" t="s">
        <v>41</v>
      </c>
      <c r="K158" s="3" t="s">
        <v>42</v>
      </c>
      <c r="L158" s="3" t="s">
        <v>41</v>
      </c>
    </row>
    <row r="159" spans="1:12" ht="80.45">
      <c r="A159" s="3" t="s">
        <v>4041</v>
      </c>
      <c r="B159" s="3" t="s">
        <v>4042</v>
      </c>
      <c r="C159" s="3" t="s">
        <v>4043</v>
      </c>
      <c r="D159" s="3" t="s">
        <v>37</v>
      </c>
      <c r="E159" s="3" t="s">
        <v>3555</v>
      </c>
      <c r="F159" s="3" t="s">
        <v>3616</v>
      </c>
      <c r="G159" s="3" t="s">
        <v>4044</v>
      </c>
      <c r="H159" s="3" t="str">
        <f>HYPERLINK("http://www.jccm.es/sede/tramite/KTP","SOLICITUD DE AYUDA DEL PROGRAMA OPERATIVO")</f>
        <v>SOLICITUD DE AYUDA DEL PROGRAMA OPERATIVO</v>
      </c>
      <c r="I159" s="3" t="s">
        <v>41</v>
      </c>
      <c r="J159" s="3" t="s">
        <v>41</v>
      </c>
      <c r="K159" s="3" t="s">
        <v>42</v>
      </c>
      <c r="L159" s="3" t="s">
        <v>41</v>
      </c>
    </row>
    <row r="160" spans="1:12" ht="57.6">
      <c r="A160" s="3" t="s">
        <v>4045</v>
      </c>
      <c r="B160" s="3" t="s">
        <v>4046</v>
      </c>
      <c r="C160" s="3" t="s">
        <v>95</v>
      </c>
      <c r="D160" s="3" t="s">
        <v>95</v>
      </c>
      <c r="E160" s="3" t="s">
        <v>3555</v>
      </c>
      <c r="F160" s="3" t="s">
        <v>3616</v>
      </c>
      <c r="G160" s="3" t="s">
        <v>4047</v>
      </c>
      <c r="H160" s="3" t="str">
        <f>HYPERLINK("http://www.jccm.es/sede/tramite/LKR","CONCURSO MEJOR EMPRESA DE VENTA DIRECTA")</f>
        <v>CONCURSO MEJOR EMPRESA DE VENTA DIRECTA</v>
      </c>
      <c r="I160" s="3" t="s">
        <v>42</v>
      </c>
      <c r="J160" s="3" t="s">
        <v>41</v>
      </c>
      <c r="K160" s="3" t="s">
        <v>42</v>
      </c>
      <c r="L160" s="3" t="s">
        <v>41</v>
      </c>
    </row>
    <row r="161" spans="1:12" ht="114.95">
      <c r="A161" s="3" t="s">
        <v>4048</v>
      </c>
      <c r="B161" s="3" t="s">
        <v>4049</v>
      </c>
      <c r="C161" s="3" t="s">
        <v>232</v>
      </c>
      <c r="D161" s="3" t="s">
        <v>46</v>
      </c>
      <c r="E161" s="3" t="s">
        <v>3555</v>
      </c>
      <c r="F161" s="3" t="s">
        <v>3566</v>
      </c>
      <c r="G161" s="3" t="s">
        <v>4050</v>
      </c>
      <c r="H161" s="3" t="str">
        <f>HYPERLINK("http://www.jccm.es/sede/tramite/LO8","AYUDAS PARA LA REPOBLACION EN EXPLOTACIONES DE GANADO BOVINO, OVINO Y CAPRINO EN CASO DE VACIADO SANITARIO")</f>
        <v>AYUDAS PARA LA REPOBLACION EN EXPLOTACIONES DE GANADO BOVINO, OVINO Y CAPRINO EN CASO DE VACIADO SANITARIO</v>
      </c>
      <c r="I161" s="3" t="s">
        <v>42</v>
      </c>
      <c r="J161" s="3" t="s">
        <v>41</v>
      </c>
      <c r="K161" s="3" t="s">
        <v>42</v>
      </c>
      <c r="L161" s="3" t="s">
        <v>41</v>
      </c>
    </row>
    <row r="162" spans="1:12" ht="57.6">
      <c r="A162" s="3" t="s">
        <v>4051</v>
      </c>
      <c r="B162" s="3" t="s">
        <v>4052</v>
      </c>
      <c r="C162" s="3" t="s">
        <v>95</v>
      </c>
      <c r="D162" s="3" t="s">
        <v>95</v>
      </c>
      <c r="E162" s="3" t="s">
        <v>3555</v>
      </c>
      <c r="F162" s="3" t="s">
        <v>3566</v>
      </c>
      <c r="G162" s="3" t="s">
        <v>4053</v>
      </c>
      <c r="H162" s="3" t="str">
        <f>HYPERLINK("http://www.jccm.es/sede/tramite/LS1","FORMACION OBLIGATORIA PARA EMISORES DEL PASAPORTE FITOSANITARIO")</f>
        <v>FORMACION OBLIGATORIA PARA EMISORES DEL PASAPORTE FITOSANITARIO</v>
      </c>
      <c r="I162" s="3" t="s">
        <v>41</v>
      </c>
      <c r="J162" s="3" t="s">
        <v>41</v>
      </c>
      <c r="K162" s="3" t="s">
        <v>42</v>
      </c>
      <c r="L162" s="3" t="s">
        <v>41</v>
      </c>
    </row>
    <row r="163" spans="1:12" ht="92.1">
      <c r="A163" s="3" t="s">
        <v>4054</v>
      </c>
      <c r="B163" s="3" t="s">
        <v>4055</v>
      </c>
      <c r="C163" s="3" t="s">
        <v>95</v>
      </c>
      <c r="D163" s="3" t="s">
        <v>95</v>
      </c>
      <c r="E163" s="3" t="s">
        <v>3555</v>
      </c>
      <c r="F163" s="3" t="s">
        <v>3566</v>
      </c>
      <c r="G163" s="3" t="s">
        <v>4056</v>
      </c>
      <c r="H163" s="3" t="str">
        <f>HYPERLINK("http://www.jccm.es/sede/tramite/LTD","DECLARACION RESPONSABLE DEL CUMPLIMIENTO DE LOS REQUISITOS PARA LA CONCESION DE LA SUBVENCION A LOS TITULARES DE EXPLOTACIONES DE GANADO VACUNO DE LECHE CASTILLA-LA MANCHA")</f>
        <v>DECLARACION RESPONSABLE DEL CUMPLIMIENTO DE LOS REQUISITOS PARA LA CONCESION DE LA SUBVENCION A LOS TITULARES DE EXPLOTACIONES DE GANADO VACUNO DE LECHE CASTILLA-LA MANCHA</v>
      </c>
      <c r="I163" s="3" t="s">
        <v>42</v>
      </c>
      <c r="J163" s="3" t="s">
        <v>41</v>
      </c>
      <c r="K163" s="3" t="s">
        <v>42</v>
      </c>
      <c r="L163" s="3" t="s">
        <v>41</v>
      </c>
    </row>
    <row r="164" spans="1:12" ht="69">
      <c r="A164" s="3" t="s">
        <v>4057</v>
      </c>
      <c r="B164" s="3" t="s">
        <v>4058</v>
      </c>
      <c r="C164" s="3" t="s">
        <v>4059</v>
      </c>
      <c r="D164" s="3" t="s">
        <v>46</v>
      </c>
      <c r="E164" s="3" t="s">
        <v>3555</v>
      </c>
      <c r="F164" s="3" t="s">
        <v>3566</v>
      </c>
      <c r="G164" s="3" t="s">
        <v>4060</v>
      </c>
      <c r="H164" s="3" t="str">
        <f>HYPERLINK("http://www.jccm.es/sede/tramite/LTG","SOLICITUD DE AYUDA A LA INSTALACION DE PUNTOS DE DEPOSITO DE RESTOS CINEGETICOS EN CASTILLA-LA MANCHA REGULADAS POR LA ORDEN 154/2021.")</f>
        <v>SOLICITUD DE AYUDA A LA INSTALACION DE PUNTOS DE DEPOSITO DE RESTOS CINEGETICOS EN CASTILLA-LA MANCHA REGULADAS POR LA ORDEN 154/2021.</v>
      </c>
      <c r="I164" s="3" t="s">
        <v>42</v>
      </c>
      <c r="J164" s="3" t="s">
        <v>41</v>
      </c>
      <c r="K164" s="3" t="s">
        <v>42</v>
      </c>
      <c r="L164" s="3" t="s">
        <v>41</v>
      </c>
    </row>
    <row r="165" spans="1:12" ht="57.6">
      <c r="A165" s="3" t="s">
        <v>4061</v>
      </c>
      <c r="B165" s="3" t="s">
        <v>4062</v>
      </c>
      <c r="C165" s="3" t="s">
        <v>95</v>
      </c>
      <c r="D165" s="3" t="s">
        <v>95</v>
      </c>
      <c r="E165" s="3" t="s">
        <v>3555</v>
      </c>
      <c r="F165" s="3" t="s">
        <v>3616</v>
      </c>
      <c r="G165" s="3" t="s">
        <v>4063</v>
      </c>
      <c r="H165" s="3" t="str">
        <f>HYPERLINK("http://www.jccm.es/sede/tramite/LU4","CONCURSO MEJOR EMPRESA DE MANIPULACION Y ELABORACION DE CARNE DE CAZA")</f>
        <v>CONCURSO MEJOR EMPRESA DE MANIPULACION Y ELABORACION DE CARNE DE CAZA</v>
      </c>
      <c r="I165" s="3" t="s">
        <v>42</v>
      </c>
      <c r="J165" s="3" t="s">
        <v>41</v>
      </c>
      <c r="K165" s="3" t="s">
        <v>42</v>
      </c>
      <c r="L165" s="3" t="s">
        <v>41</v>
      </c>
    </row>
    <row r="166" spans="1:12" ht="80.45">
      <c r="A166" s="3" t="s">
        <v>4064</v>
      </c>
      <c r="B166" s="3" t="s">
        <v>4065</v>
      </c>
      <c r="C166" s="3" t="s">
        <v>4066</v>
      </c>
      <c r="D166" s="3" t="s">
        <v>46</v>
      </c>
      <c r="E166" s="3" t="s">
        <v>3555</v>
      </c>
      <c r="F166" s="3" t="s">
        <v>3566</v>
      </c>
      <c r="G166" s="3" t="s">
        <v>4067</v>
      </c>
      <c r="H166" s="3" t="str">
        <f>HYPERLINK("http://www.jccm.es/sede/tramite/LU8","AYUDAS BIOSEGURIDAD VIVEROS")</f>
        <v>AYUDAS BIOSEGURIDAD VIVEROS</v>
      </c>
      <c r="I166" s="3" t="s">
        <v>41</v>
      </c>
      <c r="J166" s="3" t="s">
        <v>41</v>
      </c>
      <c r="K166" s="3" t="s">
        <v>42</v>
      </c>
      <c r="L166" s="3" t="s">
        <v>41</v>
      </c>
    </row>
    <row r="167" spans="1:12" ht="92.1">
      <c r="A167" s="3" t="s">
        <v>4068</v>
      </c>
      <c r="B167" s="3" t="s">
        <v>4069</v>
      </c>
      <c r="C167" s="3" t="s">
        <v>95</v>
      </c>
      <c r="D167" s="3" t="s">
        <v>46</v>
      </c>
      <c r="E167" s="3" t="s">
        <v>3555</v>
      </c>
      <c r="F167" s="3" t="s">
        <v>3555</v>
      </c>
      <c r="G167" s="3" t="s">
        <v>4070</v>
      </c>
      <c r="H167" s="3" t="str">
        <f>HYPERLINK("http://www.jccm.es/sede/tramite/LUN","PAGO AYUDA DIRECTA PARA LA FINANCIACION DE LAS OBRAS DE MODERNIZACION Y CONSOLIDACION DE LOS REGADIOS DE LA COMUNIDAD DE REGANTES BALAZOTE-LA HERRERA")</f>
        <v>PAGO AYUDA DIRECTA PARA LA FINANCIACION DE LAS OBRAS DE MODERNIZACION Y CONSOLIDACION DE LOS REGADIOS DE LA COMUNIDAD DE REGANTES BALAZOTE-LA HERRERA</v>
      </c>
      <c r="I167" s="3" t="s">
        <v>41</v>
      </c>
      <c r="J167" s="3" t="s">
        <v>41</v>
      </c>
      <c r="K167" s="3" t="s">
        <v>42</v>
      </c>
      <c r="L167" s="3" t="s">
        <v>41</v>
      </c>
    </row>
    <row r="168" spans="1:12" ht="103.5">
      <c r="A168" s="3" t="s">
        <v>4071</v>
      </c>
      <c r="B168" s="3" t="s">
        <v>4072</v>
      </c>
      <c r="C168" s="3" t="s">
        <v>95</v>
      </c>
      <c r="D168" s="3" t="s">
        <v>95</v>
      </c>
      <c r="E168" s="3" t="s">
        <v>3555</v>
      </c>
      <c r="F168" s="3" t="s">
        <v>3556</v>
      </c>
      <c r="G168" s="3" t="s">
        <v>4073</v>
      </c>
      <c r="H168" s="3" t="str">
        <f>HYPERLINK("http://www.jccm.es/sede/tramite/LUO","PAGO AYUDA DIRECTA PARA LA FINANCIACION DE LAS OBRAS DE MODERNIZACION Y CONSOLIDACION DE LOS REGADIOS DE LA COMUNIDAD DE REGANTES ESTRECHO DE PEÑARROYA")</f>
        <v>PAGO AYUDA DIRECTA PARA LA FINANCIACION DE LAS OBRAS DE MODERNIZACION Y CONSOLIDACION DE LOS REGADIOS DE LA COMUNIDAD DE REGANTES ESTRECHO DE PEÑARROYA</v>
      </c>
      <c r="I168" s="3" t="s">
        <v>41</v>
      </c>
      <c r="J168" s="3" t="s">
        <v>41</v>
      </c>
      <c r="K168" s="3" t="s">
        <v>42</v>
      </c>
      <c r="L168" s="3" t="s">
        <v>41</v>
      </c>
    </row>
    <row r="169" spans="1:12" ht="45.95">
      <c r="A169" s="3" t="s">
        <v>4074</v>
      </c>
      <c r="B169" s="3" t="s">
        <v>4075</v>
      </c>
      <c r="C169" s="3" t="s">
        <v>95</v>
      </c>
      <c r="D169" s="3" t="s">
        <v>95</v>
      </c>
      <c r="E169" s="3" t="s">
        <v>3555</v>
      </c>
      <c r="F169" s="3" t="s">
        <v>3555</v>
      </c>
      <c r="G169" s="3" t="s">
        <v>4076</v>
      </c>
      <c r="H169" s="3" t="str">
        <f>HYPERLINK("http://www.jccm.es/sede/tramite/LXC","ASISTENCIA A ACCIONES FORMATIVAS DE LA MEDIDA 1 DEL PDR 2014-2020 SUBMEDIDA 1.1")</f>
        <v>ASISTENCIA A ACCIONES FORMATIVAS DE LA MEDIDA 1 DEL PDR 2014-2020 SUBMEDIDA 1.1</v>
      </c>
      <c r="I169" s="3" t="s">
        <v>42</v>
      </c>
      <c r="J169" s="3" t="s">
        <v>41</v>
      </c>
      <c r="K169" s="3" t="s">
        <v>42</v>
      </c>
      <c r="L169" s="3" t="s">
        <v>41</v>
      </c>
    </row>
    <row r="170" spans="1:12" ht="114.95">
      <c r="A170" s="3" t="s">
        <v>4077</v>
      </c>
      <c r="B170" s="3" t="s">
        <v>4078</v>
      </c>
      <c r="C170" s="3" t="s">
        <v>4078</v>
      </c>
      <c r="D170" s="3" t="s">
        <v>46</v>
      </c>
      <c r="E170" s="3" t="s">
        <v>3555</v>
      </c>
      <c r="F170" s="3" t="s">
        <v>3616</v>
      </c>
      <c r="G170" s="3" t="s">
        <v>4079</v>
      </c>
      <c r="H170" s="3" t="str">
        <f>HYPERLINK("http://www.jccm.es/sede/tramite/LXL","SOLICITUD DE AYUDAS ESTATALES DE MINIMIS DESTINADAS A LAS CENTRALES DE ACONDICIONAMIENTO DE FRUTAS AFECTADAS POR HELADAS ASOCIADAS A LA BORRASCA CIRIL")</f>
        <v>SOLICITUD DE AYUDAS ESTATALES DE MINIMIS DESTINADAS A LAS CENTRALES DE ACONDICIONAMIENTO DE FRUTAS AFECTADAS POR HELADAS ASOCIADAS A LA BORRASCA CIRIL</v>
      </c>
      <c r="I170" s="3" t="s">
        <v>41</v>
      </c>
      <c r="J170" s="3" t="s">
        <v>41</v>
      </c>
      <c r="K170" s="3" t="s">
        <v>42</v>
      </c>
      <c r="L170" s="3" t="s">
        <v>41</v>
      </c>
    </row>
    <row r="171" spans="1:12" ht="103.5">
      <c r="A171" s="3" t="s">
        <v>4080</v>
      </c>
      <c r="B171" s="3" t="s">
        <v>4081</v>
      </c>
      <c r="C171" s="3" t="s">
        <v>3100</v>
      </c>
      <c r="D171" s="3" t="s">
        <v>46</v>
      </c>
      <c r="E171" s="3" t="s">
        <v>3555</v>
      </c>
      <c r="F171" s="3" t="s">
        <v>3616</v>
      </c>
      <c r="G171" s="3" t="s">
        <v>4082</v>
      </c>
      <c r="H171" s="3" t="str">
        <f>HYPERLINK("http://www.jccm.es/sede/tramite/LXM","COMUNICACION DE LAS CUENTAS ANUALES RELATIVAS A LAS AYUDAS ESTATALES DE MINIMIS DESTINADAS A LAS CENTRALES DE ACONDICIONAMIENTO DE FRUTAS AFECTADAS POR HELADAS ASOCIADAS A LA BORRASCA CIRIL")</f>
        <v>COMUNICACION DE LAS CUENTAS ANUALES RELATIVAS A LAS AYUDAS ESTATALES DE MINIMIS DESTINADAS A LAS CENTRALES DE ACONDICIONAMIENTO DE FRUTAS AFECTADAS POR HELADAS ASOCIADAS A LA BORRASCA CIRIL</v>
      </c>
      <c r="I171" s="3" t="s">
        <v>41</v>
      </c>
      <c r="J171" s="3" t="s">
        <v>41</v>
      </c>
      <c r="K171" s="3" t="s">
        <v>42</v>
      </c>
      <c r="L171" s="3" t="s">
        <v>41</v>
      </c>
    </row>
    <row r="172" spans="1:12" ht="69">
      <c r="A172" s="3" t="s">
        <v>4083</v>
      </c>
      <c r="B172" s="3" t="s">
        <v>4084</v>
      </c>
      <c r="C172" s="3" t="s">
        <v>36</v>
      </c>
      <c r="D172" s="3" t="s">
        <v>46</v>
      </c>
      <c r="E172" s="3" t="s">
        <v>3555</v>
      </c>
      <c r="F172" s="3" t="s">
        <v>3556</v>
      </c>
      <c r="G172" s="3" t="s">
        <v>4085</v>
      </c>
      <c r="H172" s="3" t="str">
        <f>HYPERLINK("http://www.jccm.es/sede/tramite/KAH","SOLICITUD DE AYUDAS PARA LA REALIZACION DE CURSOS DE FORMACION, JORNADAS DE FORMACION Y BREVES ESTANCIAS O INTERCAMBIOS Y VISITAS")</f>
        <v>SOLICITUD DE AYUDAS PARA LA REALIZACION DE CURSOS DE FORMACION, JORNADAS DE FORMACION Y BREVES ESTANCIAS O INTERCAMBIOS Y VISITAS</v>
      </c>
      <c r="I172" s="3" t="s">
        <v>41</v>
      </c>
      <c r="J172" s="3" t="s">
        <v>41</v>
      </c>
      <c r="K172" s="3" t="s">
        <v>42</v>
      </c>
      <c r="L172" s="3" t="s">
        <v>41</v>
      </c>
    </row>
    <row r="173" spans="1:12" ht="69">
      <c r="A173" s="3" t="s">
        <v>4086</v>
      </c>
      <c r="B173" s="3" t="s">
        <v>4087</v>
      </c>
      <c r="C173" s="3" t="s">
        <v>36</v>
      </c>
      <c r="D173" s="3" t="s">
        <v>46</v>
      </c>
      <c r="E173" s="3" t="s">
        <v>3555</v>
      </c>
      <c r="F173" s="3" t="s">
        <v>3556</v>
      </c>
      <c r="G173" s="3" t="s">
        <v>4088</v>
      </c>
      <c r="H173" s="3" t="str">
        <f>HYPERLINK("http://www.jccm.es/sede/tramite/K96","SOLICITUD DE PAGO DE LAS AYUDAS PARA LA REALIZACION DE CURSOS DE FORMACION, JORNADAS DE FORMACION Y BREVES ESTANCIAS O INTERCAMBIOS Y VISITAS")</f>
        <v>SOLICITUD DE PAGO DE LAS AYUDAS PARA LA REALIZACION DE CURSOS DE FORMACION, JORNADAS DE FORMACION Y BREVES ESTANCIAS O INTERCAMBIOS Y VISITAS</v>
      </c>
      <c r="I173" s="3" t="s">
        <v>41</v>
      </c>
      <c r="J173" s="3" t="s">
        <v>41</v>
      </c>
      <c r="K173" s="3" t="s">
        <v>42</v>
      </c>
      <c r="L173" s="3" t="s">
        <v>41</v>
      </c>
    </row>
    <row r="174" spans="1:12" ht="57.6">
      <c r="A174" s="3" t="s">
        <v>4089</v>
      </c>
      <c r="B174" s="3" t="s">
        <v>4090</v>
      </c>
      <c r="C174" s="3" t="s">
        <v>36</v>
      </c>
      <c r="D174" s="3" t="s">
        <v>46</v>
      </c>
      <c r="E174" s="3" t="s">
        <v>3555</v>
      </c>
      <c r="F174" s="3" t="s">
        <v>3556</v>
      </c>
      <c r="G174" s="3" t="s">
        <v>4091</v>
      </c>
      <c r="H174" s="3" t="str">
        <f>HYPERLINK("http://www.jccm.es/sede/tramite/K95","COMUNICACION DE INICIO DE LAS EDICIONES DE LAS ACTIVIDADES FORMATIVAS")</f>
        <v>COMUNICACION DE INICIO DE LAS EDICIONES DE LAS ACTIVIDADES FORMATIVAS</v>
      </c>
      <c r="I174" s="3" t="s">
        <v>41</v>
      </c>
      <c r="J174" s="3" t="s">
        <v>41</v>
      </c>
      <c r="K174" s="3" t="s">
        <v>42</v>
      </c>
      <c r="L174" s="3" t="s">
        <v>41</v>
      </c>
    </row>
    <row r="175" spans="1:12" ht="92.1">
      <c r="A175" s="3" t="s">
        <v>4092</v>
      </c>
      <c r="B175" s="3" t="s">
        <v>4093</v>
      </c>
      <c r="C175" s="3" t="s">
        <v>327</v>
      </c>
      <c r="D175" s="3" t="s">
        <v>46</v>
      </c>
      <c r="E175" s="3" t="s">
        <v>3555</v>
      </c>
      <c r="F175" s="3" t="s">
        <v>3616</v>
      </c>
      <c r="G175" s="3" t="s">
        <v>4094</v>
      </c>
      <c r="H175" s="3" t="str">
        <f>HYPERLINK("http://www.jccm.es/sede/tramite/KJB","MODIFICACION DE LA RESOLUCION DE CONCESION DE AYUDA A INVERSIONES EN TRANSFORMACION, COMERCIALIZACION O DESARROLLO DE PRODUCTOS AGRICOLAS Y AL FOMENTO DE LA CALIDAD AGROALIMENTARIA")</f>
        <v>MODIFICACION DE LA RESOLUCION DE CONCESION DE AYUDA A INVERSIONES EN TRANSFORMACION, COMERCIALIZACION O DESARROLLO DE PRODUCTOS AGRICOLAS Y AL FOMENTO DE LA CALIDAD AGROALIMENTARIA</v>
      </c>
      <c r="I175" s="3" t="s">
        <v>41</v>
      </c>
      <c r="J175" s="3" t="s">
        <v>41</v>
      </c>
      <c r="K175" s="3" t="s">
        <v>42</v>
      </c>
      <c r="L175" s="3" t="s">
        <v>41</v>
      </c>
    </row>
    <row r="176" spans="1:12" ht="92.1">
      <c r="A176" s="3" t="s">
        <v>4095</v>
      </c>
      <c r="B176" s="3" t="s">
        <v>4096</v>
      </c>
      <c r="C176" s="3" t="s">
        <v>327</v>
      </c>
      <c r="D176" s="3" t="s">
        <v>46</v>
      </c>
      <c r="E176" s="3" t="s">
        <v>3555</v>
      </c>
      <c r="F176" s="3" t="s">
        <v>3616</v>
      </c>
      <c r="G176" s="3" t="s">
        <v>4097</v>
      </c>
      <c r="H176" s="3" t="str">
        <f>HYPERLINK("http://www.jccm.es/sede/tramite/KJA","SOLICITUD DE PAGO DE LAS AYUDAS A INVERSIONES EN TRANSFORMACION, COMERCIALIZACION O DESARROLLO DE PRODUCTOS AGRICOLAS Y AL FOMENTO DE LA CALIDAD AGROALIMENTARIA FOCAL 2018.")</f>
        <v>SOLICITUD DE PAGO DE LAS AYUDAS A INVERSIONES EN TRANSFORMACION, COMERCIALIZACION O DESARROLLO DE PRODUCTOS AGRICOLAS Y AL FOMENTO DE LA CALIDAD AGROALIMENTARIA FOCAL 2018.</v>
      </c>
      <c r="I176" s="3" t="s">
        <v>41</v>
      </c>
      <c r="J176" s="3" t="s">
        <v>41</v>
      </c>
      <c r="K176" s="3" t="s">
        <v>42</v>
      </c>
      <c r="L176" s="3" t="s">
        <v>41</v>
      </c>
    </row>
    <row r="177" spans="1:12" ht="103.5">
      <c r="A177" s="3" t="s">
        <v>4098</v>
      </c>
      <c r="B177" s="3" t="s">
        <v>4099</v>
      </c>
      <c r="C177" s="3" t="s">
        <v>327</v>
      </c>
      <c r="D177" s="3" t="s">
        <v>46</v>
      </c>
      <c r="E177" s="3" t="s">
        <v>3555</v>
      </c>
      <c r="F177" s="3" t="s">
        <v>3616</v>
      </c>
      <c r="G177" s="3" t="s">
        <v>4100</v>
      </c>
      <c r="H177" s="3" t="str">
        <f>HYPERLINK("http://www.jccm.es/sede/tramite/KJ9","ACEPTACION DE LA RESOLUCION DE CONCESION DE AYUDA A INVERSIONES EN TRANSFORMACION, COMERCIALIZACION O DESARROLLO DE PRODUCTOS AGRICOLAS Y AL FOMENTO DE LA CALIDAD AGROALIMENTARIA (FOCAL 2017)")</f>
        <v>ACEPTACION DE LA RESOLUCION DE CONCESION DE AYUDA A INVERSIONES EN TRANSFORMACION, COMERCIALIZACION O DESARROLLO DE PRODUCTOS AGRICOLAS Y AL FOMENTO DE LA CALIDAD AGROALIMENTARIA (FOCAL 2017)</v>
      </c>
      <c r="I177" s="3" t="s">
        <v>41</v>
      </c>
      <c r="J177" s="3" t="s">
        <v>41</v>
      </c>
      <c r="K177" s="3" t="s">
        <v>42</v>
      </c>
      <c r="L177" s="3" t="s">
        <v>41</v>
      </c>
    </row>
    <row r="178" spans="1:12" ht="80.45">
      <c r="A178" s="3" t="s">
        <v>4101</v>
      </c>
      <c r="B178" s="3" t="s">
        <v>4102</v>
      </c>
      <c r="C178" s="3" t="s">
        <v>327</v>
      </c>
      <c r="D178" s="3" t="s">
        <v>46</v>
      </c>
      <c r="E178" s="3" t="s">
        <v>3555</v>
      </c>
      <c r="F178" s="3" t="s">
        <v>3616</v>
      </c>
      <c r="G178" s="3" t="s">
        <v>4103</v>
      </c>
      <c r="H178" s="3" t="str">
        <f>HYPERLINK("http://www.jccm.es/sede/tramite/J6O","AYUDAS A INVERSIONES EN TRANSFORMACION, COMERCIALIZACION O DESARROLLO DE PRODUCTOS AGRICOLAS Y AL FOMENTO DE LA CALIDAD AGROALIMENTARIA (FOCAL)")</f>
        <v>AYUDAS A INVERSIONES EN TRANSFORMACION, COMERCIALIZACION O DESARROLLO DE PRODUCTOS AGRICOLAS Y AL FOMENTO DE LA CALIDAD AGROALIMENTARIA (FOCAL)</v>
      </c>
      <c r="I178" s="3" t="s">
        <v>41</v>
      </c>
      <c r="J178" s="3" t="s">
        <v>41</v>
      </c>
      <c r="K178" s="3" t="s">
        <v>42</v>
      </c>
      <c r="L178" s="3" t="s">
        <v>41</v>
      </c>
    </row>
    <row r="179" spans="1:12" ht="69">
      <c r="A179" s="3" t="s">
        <v>4104</v>
      </c>
      <c r="B179" s="3" t="s">
        <v>4105</v>
      </c>
      <c r="C179" s="3" t="s">
        <v>232</v>
      </c>
      <c r="D179" s="3" t="s">
        <v>46</v>
      </c>
      <c r="E179" s="3" t="s">
        <v>3555</v>
      </c>
      <c r="F179" s="3" t="s">
        <v>3556</v>
      </c>
      <c r="G179" s="3" t="s">
        <v>4106</v>
      </c>
      <c r="H179" s="3" t="str">
        <f>HYPERLINK("http://www.jccm.es/sede/tramite/L1V","SOLICITUD DE PAGO DE LA AYUDA A LA CREACION DE EMPRESAS AGRARIAS PARA JOVENES Y A LAS INVERSIONES EN EXPLOTACIONES AGRICOLAS Y GANADERAS")</f>
        <v>SOLICITUD DE PAGO DE LA AYUDA A LA CREACION DE EMPRESAS AGRARIAS PARA JOVENES Y A LAS INVERSIONES EN EXPLOTACIONES AGRICOLAS Y GANADERAS</v>
      </c>
      <c r="I179" s="3" t="s">
        <v>41</v>
      </c>
      <c r="J179" s="3" t="s">
        <v>41</v>
      </c>
      <c r="K179" s="3" t="s">
        <v>42</v>
      </c>
      <c r="L179" s="3" t="s">
        <v>41</v>
      </c>
    </row>
    <row r="180" spans="1:12" ht="69">
      <c r="A180" s="3" t="s">
        <v>4107</v>
      </c>
      <c r="B180" s="3" t="s">
        <v>4108</v>
      </c>
      <c r="C180" s="3" t="s">
        <v>232</v>
      </c>
      <c r="D180" s="3" t="s">
        <v>46</v>
      </c>
      <c r="E180" s="3" t="s">
        <v>3555</v>
      </c>
      <c r="F180" s="3" t="s">
        <v>3556</v>
      </c>
      <c r="G180" s="3" t="s">
        <v>4109</v>
      </c>
      <c r="H180" s="3" t="str">
        <f>HYPERLINK("http://www.jccm.es/sede/tramite/J5V","SOLICITUD DE AYUDA A LA CREACION DE EMPRESAS AGRARIAS PARA JOVENES Y A LAS INVERSIONES EN EXPLOTACIONES AGRICOLAS Y GANADERAS.")</f>
        <v>SOLICITUD DE AYUDA A LA CREACION DE EMPRESAS AGRARIAS PARA JOVENES Y A LAS INVERSIONES EN EXPLOTACIONES AGRICOLAS Y GANADERAS.</v>
      </c>
      <c r="I180" s="3" t="s">
        <v>42</v>
      </c>
      <c r="J180" s="3" t="s">
        <v>41</v>
      </c>
      <c r="K180" s="3" t="s">
        <v>42</v>
      </c>
      <c r="L180" s="3" t="s">
        <v>41</v>
      </c>
    </row>
    <row r="181" spans="1:12" ht="69">
      <c r="A181" s="3" t="s">
        <v>4110</v>
      </c>
      <c r="B181" s="3" t="s">
        <v>4111</v>
      </c>
      <c r="C181" s="3" t="s">
        <v>327</v>
      </c>
      <c r="D181" s="3" t="s">
        <v>46</v>
      </c>
      <c r="E181" s="3" t="s">
        <v>3555</v>
      </c>
      <c r="F181" s="3" t="s">
        <v>3566</v>
      </c>
      <c r="G181" s="3" t="s">
        <v>4112</v>
      </c>
      <c r="H181" s="3" t="str">
        <f>HYPERLINK("http://www.jccm.es/sede/tramite/KA5","AYUDAS PARA MEJORAR LAS CONDICIONES DE PRODUCCION Y COMERCIALIZACION DE LA MIEL EN LA COMUNIDAD AUTONOMA DE CASTILLA-LA MANCHA")</f>
        <v>AYUDAS PARA MEJORAR LAS CONDICIONES DE PRODUCCION Y COMERCIALIZACION DE LA MIEL EN LA COMUNIDAD AUTONOMA DE CASTILLA-LA MANCHA</v>
      </c>
      <c r="I181" s="3" t="s">
        <v>41</v>
      </c>
      <c r="J181" s="3" t="s">
        <v>41</v>
      </c>
      <c r="K181" s="3" t="s">
        <v>42</v>
      </c>
      <c r="L181" s="3" t="s">
        <v>41</v>
      </c>
    </row>
    <row r="182" spans="1:12" ht="92.1">
      <c r="A182" s="3" t="s">
        <v>4113</v>
      </c>
      <c r="B182" s="3" t="s">
        <v>4114</v>
      </c>
      <c r="C182" s="3" t="s">
        <v>327</v>
      </c>
      <c r="D182" s="3" t="s">
        <v>46</v>
      </c>
      <c r="E182" s="3" t="s">
        <v>3555</v>
      </c>
      <c r="F182" s="3" t="s">
        <v>3566</v>
      </c>
      <c r="G182" s="3" t="s">
        <v>4115</v>
      </c>
      <c r="H182" s="3" t="str">
        <f>HYPERLINK("http://www.jccm.es/sede/tramite/K97","DOCUMENTACION JUSTIFICATIVA DE LAS AYUDAS PARA MEJORAR LAS CONDICIONES DE PRODUCCION Y COMERCIALIZACION DE LA MIEL EN LA COMUNIDAD AUTONOMA DE CASTILLA-LA MANCHA")</f>
        <v>DOCUMENTACION JUSTIFICATIVA DE LAS AYUDAS PARA MEJORAR LAS CONDICIONES DE PRODUCCION Y COMERCIALIZACION DE LA MIEL EN LA COMUNIDAD AUTONOMA DE CASTILLA-LA MANCHA</v>
      </c>
      <c r="I182" s="3" t="s">
        <v>41</v>
      </c>
      <c r="J182" s="3" t="s">
        <v>41</v>
      </c>
      <c r="K182" s="3" t="s">
        <v>42</v>
      </c>
      <c r="L182" s="3" t="s">
        <v>41</v>
      </c>
    </row>
    <row r="183" spans="1:12" ht="57.6">
      <c r="A183" s="3" t="s">
        <v>4116</v>
      </c>
      <c r="B183" s="3" t="s">
        <v>4117</v>
      </c>
      <c r="C183" s="3" t="s">
        <v>327</v>
      </c>
      <c r="D183" s="3" t="s">
        <v>46</v>
      </c>
      <c r="E183" s="3" t="s">
        <v>3555</v>
      </c>
      <c r="F183" s="3" t="s">
        <v>3616</v>
      </c>
      <c r="G183" s="3" t="s">
        <v>4118</v>
      </c>
      <c r="H183" s="3" t="str">
        <f>HYPERLINK("http://www.jccm.es/sede/tramite/J59","AYUDAS PARA LA PROMOCION DE PRODUCTOS VINICOLAS EN TERCEROS PAISES")</f>
        <v>AYUDAS PARA LA PROMOCION DE PRODUCTOS VINICOLAS EN TERCEROS PAISES</v>
      </c>
      <c r="I183" s="3" t="s">
        <v>41</v>
      </c>
      <c r="J183" s="3" t="s">
        <v>41</v>
      </c>
      <c r="K183" s="3" t="s">
        <v>42</v>
      </c>
      <c r="L183" s="3" t="s">
        <v>41</v>
      </c>
    </row>
    <row r="184" spans="1:12" ht="57.6">
      <c r="A184" s="3" t="s">
        <v>4119</v>
      </c>
      <c r="B184" s="3" t="s">
        <v>4120</v>
      </c>
      <c r="C184" s="3" t="s">
        <v>327</v>
      </c>
      <c r="D184" s="3" t="s">
        <v>46</v>
      </c>
      <c r="E184" s="3" t="s">
        <v>3555</v>
      </c>
      <c r="F184" s="3" t="s">
        <v>3616</v>
      </c>
      <c r="G184" s="3" t="s">
        <v>4121</v>
      </c>
      <c r="H184" s="3" t="str">
        <f>HYPERLINK("http://www.jccm.es/sede/tramite/KX6","PEQUEÑA MODIFICACION DEL PROGRAMA DE PROMOCION DE PRODUCTOS VINICOLAS EN TERCEROS PAISES")</f>
        <v>PEQUEÑA MODIFICACION DEL PROGRAMA DE PROMOCION DE PRODUCTOS VINICOLAS EN TERCEROS PAISES</v>
      </c>
      <c r="I184" s="3" t="s">
        <v>41</v>
      </c>
      <c r="J184" s="3" t="s">
        <v>41</v>
      </c>
      <c r="K184" s="3" t="s">
        <v>42</v>
      </c>
      <c r="L184" s="3" t="s">
        <v>41</v>
      </c>
    </row>
    <row r="185" spans="1:12" ht="57.6">
      <c r="A185" s="3" t="s">
        <v>4122</v>
      </c>
      <c r="B185" s="3" t="s">
        <v>4123</v>
      </c>
      <c r="C185" s="3" t="s">
        <v>327</v>
      </c>
      <c r="D185" s="3" t="s">
        <v>46</v>
      </c>
      <c r="E185" s="3" t="s">
        <v>3555</v>
      </c>
      <c r="F185" s="3" t="s">
        <v>3616</v>
      </c>
      <c r="G185" s="3" t="s">
        <v>4124</v>
      </c>
      <c r="H185" s="3" t="str">
        <f>HYPERLINK("http://www.jccm.es/sede/tramite/K7L","COMUNICACION DE MISION INVERSA DE LA AYUDA A LA PROMOCION DEL VINO EN MERCADOS DE TERCEROS PAISES")</f>
        <v>COMUNICACION DE MISION INVERSA DE LA AYUDA A LA PROMOCION DEL VINO EN MERCADOS DE TERCEROS PAISES</v>
      </c>
      <c r="I185" s="3" t="s">
        <v>41</v>
      </c>
      <c r="J185" s="3" t="s">
        <v>41</v>
      </c>
      <c r="K185" s="3" t="s">
        <v>42</v>
      </c>
      <c r="L185" s="3" t="s">
        <v>41</v>
      </c>
    </row>
    <row r="186" spans="1:12" ht="57.6">
      <c r="A186" s="3" t="s">
        <v>4125</v>
      </c>
      <c r="B186" s="3" t="s">
        <v>4126</v>
      </c>
      <c r="C186" s="3" t="s">
        <v>327</v>
      </c>
      <c r="D186" s="3" t="s">
        <v>46</v>
      </c>
      <c r="E186" s="3" t="s">
        <v>3555</v>
      </c>
      <c r="F186" s="3" t="s">
        <v>3616</v>
      </c>
      <c r="G186" s="3" t="s">
        <v>4127</v>
      </c>
      <c r="H186" s="3" t="str">
        <f>HYPERLINK("http://www.jccm.es/sede/tramite/K7J","ACEPTACION DE LA RESOLUCION  DE CONCESION DE LA AYUDA A LA PROMOCION DEL VINO EN MERCADOS DE TERCEROS PAISES")</f>
        <v>ACEPTACION DE LA RESOLUCION  DE CONCESION DE LA AYUDA A LA PROMOCION DEL VINO EN MERCADOS DE TERCEROS PAISES</v>
      </c>
      <c r="I186" s="3" t="s">
        <v>42</v>
      </c>
      <c r="J186" s="3" t="s">
        <v>41</v>
      </c>
      <c r="K186" s="3" t="s">
        <v>41</v>
      </c>
      <c r="L186" s="3" t="s">
        <v>41</v>
      </c>
    </row>
    <row r="187" spans="1:12" ht="57.6">
      <c r="A187" s="3" t="s">
        <v>4128</v>
      </c>
      <c r="B187" s="3" t="s">
        <v>4129</v>
      </c>
      <c r="C187" s="3" t="s">
        <v>327</v>
      </c>
      <c r="D187" s="3" t="s">
        <v>46</v>
      </c>
      <c r="E187" s="3" t="s">
        <v>3555</v>
      </c>
      <c r="F187" s="3" t="s">
        <v>3616</v>
      </c>
      <c r="G187" s="3" t="s">
        <v>4130</v>
      </c>
      <c r="H187" s="3" t="str">
        <f>HYPERLINK("http://www.jccm.es/sede/tramite/KX7","SOLICITUD DEL PAGO ANTICIPADO DE LA AYUDA A LA PROMOCION DEL VINO EN MERCADOS DE TERCEROS PAISES")</f>
        <v>SOLICITUD DEL PAGO ANTICIPADO DE LA AYUDA A LA PROMOCION DEL VINO EN MERCADOS DE TERCEROS PAISES</v>
      </c>
      <c r="I187" s="3" t="s">
        <v>42</v>
      </c>
      <c r="J187" s="3" t="s">
        <v>41</v>
      </c>
      <c r="K187" s="3" t="s">
        <v>41</v>
      </c>
      <c r="L187" s="3" t="s">
        <v>41</v>
      </c>
    </row>
    <row r="188" spans="1:12" ht="57.6">
      <c r="A188" s="3" t="s">
        <v>4131</v>
      </c>
      <c r="B188" s="3" t="s">
        <v>4132</v>
      </c>
      <c r="C188" s="3" t="s">
        <v>327</v>
      </c>
      <c r="D188" s="3" t="s">
        <v>46</v>
      </c>
      <c r="E188" s="3" t="s">
        <v>3555</v>
      </c>
      <c r="F188" s="3" t="s">
        <v>3616</v>
      </c>
      <c r="G188" s="3" t="s">
        <v>4133</v>
      </c>
      <c r="H188" s="3" t="str">
        <f>HYPERLINK("http://www.jccm.es/sede/tramite/K7K","MODIFICACION DEL PROGRAMA DE PROMOCION DE PRODUCTOS VINICOLAS EN TERCEROS PAISES")</f>
        <v>MODIFICACION DEL PROGRAMA DE PROMOCION DE PRODUCTOS VINICOLAS EN TERCEROS PAISES</v>
      </c>
      <c r="I188" s="3" t="s">
        <v>41</v>
      </c>
      <c r="J188" s="3" t="s">
        <v>41</v>
      </c>
      <c r="K188" s="3" t="s">
        <v>42</v>
      </c>
      <c r="L188" s="3" t="s">
        <v>41</v>
      </c>
    </row>
    <row r="189" spans="1:12" ht="57.6">
      <c r="A189" s="3" t="s">
        <v>4134</v>
      </c>
      <c r="B189" s="3" t="s">
        <v>4135</v>
      </c>
      <c r="C189" s="3" t="s">
        <v>327</v>
      </c>
      <c r="D189" s="3" t="s">
        <v>46</v>
      </c>
      <c r="E189" s="3" t="s">
        <v>3555</v>
      </c>
      <c r="F189" s="3" t="s">
        <v>3616</v>
      </c>
      <c r="G189" s="3" t="s">
        <v>4136</v>
      </c>
      <c r="H189" s="3" t="str">
        <f>HYPERLINK("http://www.jccm.es/sede/tramite/K7I","SOLICITUD DEL PAGO INTERMEDIO O FINAL DE LA AYUDA A LA PROMOCION DEL VINO EN MERCADOS DE TERCEROS PAISES")</f>
        <v>SOLICITUD DEL PAGO INTERMEDIO O FINAL DE LA AYUDA A LA PROMOCION DEL VINO EN MERCADOS DE TERCEROS PAISES</v>
      </c>
      <c r="I189" s="3" t="s">
        <v>41</v>
      </c>
      <c r="J189" s="3" t="s">
        <v>41</v>
      </c>
      <c r="K189" s="3" t="s">
        <v>42</v>
      </c>
      <c r="L189" s="3" t="s">
        <v>41</v>
      </c>
    </row>
    <row r="190" spans="1:12" ht="69">
      <c r="A190" s="3" t="s">
        <v>4137</v>
      </c>
      <c r="B190" s="3" t="s">
        <v>4138</v>
      </c>
      <c r="C190" s="3" t="s">
        <v>3100</v>
      </c>
      <c r="D190" s="3" t="s">
        <v>46</v>
      </c>
      <c r="E190" s="3" t="s">
        <v>3555</v>
      </c>
      <c r="F190" s="3" t="s">
        <v>3616</v>
      </c>
      <c r="G190" s="3" t="s">
        <v>4139</v>
      </c>
      <c r="H190" s="3" t="str">
        <f>HYPERLINK("http://www.jccm.es/sede/tramite/JIX","AYUDAS PARA FOMENTAR LA PRODUCCION Y COMERCIALIZACION DE PRODUCTOS AGROALIMENTARIOS DE CALIDAD DIFERENCIADA")</f>
        <v>AYUDAS PARA FOMENTAR LA PRODUCCION Y COMERCIALIZACION DE PRODUCTOS AGROALIMENTARIOS DE CALIDAD DIFERENCIADA</v>
      </c>
      <c r="I190" s="3" t="s">
        <v>42</v>
      </c>
      <c r="J190" s="3" t="s">
        <v>41</v>
      </c>
      <c r="K190" s="3" t="s">
        <v>42</v>
      </c>
      <c r="L190" s="3" t="s">
        <v>41</v>
      </c>
    </row>
    <row r="191" spans="1:12" ht="80.45">
      <c r="A191" s="3" t="s">
        <v>4140</v>
      </c>
      <c r="B191" s="3" t="s">
        <v>4141</v>
      </c>
      <c r="C191" s="3" t="s">
        <v>3100</v>
      </c>
      <c r="D191" s="3" t="s">
        <v>46</v>
      </c>
      <c r="E191" s="3" t="s">
        <v>3555</v>
      </c>
      <c r="F191" s="3" t="s">
        <v>3616</v>
      </c>
      <c r="G191" s="3" t="s">
        <v>4142</v>
      </c>
      <c r="H191" s="3" t="str">
        <f>HYPERLINK("http://www.jccm.es/sede/tramite/K99","SOLICITUD DEL PAGO DE LAS AYUDAS PARA FOMENTAR LA PRODUCCION Y COMERCIALIZACION DE PRODUCTOS AGROALIMENTARIOS DE  CALIDAD DIFERENCIADA")</f>
        <v>SOLICITUD DEL PAGO DE LAS AYUDAS PARA FOMENTAR LA PRODUCCION Y COMERCIALIZACION DE PRODUCTOS AGROALIMENTARIOS DE  CALIDAD DIFERENCIADA</v>
      </c>
      <c r="I191" s="3" t="s">
        <v>42</v>
      </c>
      <c r="J191" s="3" t="s">
        <v>41</v>
      </c>
      <c r="K191" s="3" t="s">
        <v>42</v>
      </c>
      <c r="L191" s="3" t="s">
        <v>41</v>
      </c>
    </row>
    <row r="192" spans="1:12" ht="57.6">
      <c r="A192" s="3" t="s">
        <v>4143</v>
      </c>
      <c r="B192" s="3" t="s">
        <v>4144</v>
      </c>
      <c r="C192" s="3" t="s">
        <v>4145</v>
      </c>
      <c r="D192" s="3" t="s">
        <v>46</v>
      </c>
      <c r="E192" s="3" t="s">
        <v>3555</v>
      </c>
      <c r="F192" s="3" t="s">
        <v>3566</v>
      </c>
      <c r="G192" s="3" t="s">
        <v>4146</v>
      </c>
      <c r="H192" s="3" t="str">
        <f>HYPERLINK("http://www.jccm.es/sede/tramite/H55","AYUDAS DE LA POLITICA AGRICOLA COMUN PARA EL AÑO 2022")</f>
        <v>AYUDAS DE LA POLITICA AGRICOLA COMUN PARA EL AÑO 2022</v>
      </c>
      <c r="I192" s="3" t="s">
        <v>41</v>
      </c>
      <c r="J192" s="3" t="s">
        <v>41</v>
      </c>
      <c r="K192" s="3" t="s">
        <v>42</v>
      </c>
      <c r="L192" s="3" t="s">
        <v>41</v>
      </c>
    </row>
    <row r="193" spans="1:12" ht="57.6">
      <c r="A193" s="3" t="s">
        <v>4147</v>
      </c>
      <c r="B193" s="3" t="s">
        <v>4148</v>
      </c>
      <c r="C193" s="3" t="s">
        <v>4145</v>
      </c>
      <c r="D193" s="3" t="s">
        <v>46</v>
      </c>
      <c r="E193" s="3" t="s">
        <v>3555</v>
      </c>
      <c r="F193" s="3" t="s">
        <v>3566</v>
      </c>
      <c r="G193" s="3" t="s">
        <v>4149</v>
      </c>
      <c r="H193" s="3" t="str">
        <f>HYPERLINK("http://www.jccm.es/sede/tramite/K84","CESIONES DE DERECHOS DE PAGO BASICO CAMPAÑA 2022")</f>
        <v>CESIONES DE DERECHOS DE PAGO BASICO CAMPAÑA 2022</v>
      </c>
      <c r="I193" s="3" t="s">
        <v>42</v>
      </c>
      <c r="J193" s="3" t="s">
        <v>41</v>
      </c>
      <c r="K193" s="3" t="s">
        <v>42</v>
      </c>
      <c r="L193" s="3" t="s">
        <v>41</v>
      </c>
    </row>
    <row r="194" spans="1:12" ht="57.6">
      <c r="A194" s="3" t="s">
        <v>4150</v>
      </c>
      <c r="B194" s="3" t="s">
        <v>4151</v>
      </c>
      <c r="C194" s="3" t="s">
        <v>327</v>
      </c>
      <c r="D194" s="3" t="s">
        <v>46</v>
      </c>
      <c r="E194" s="3" t="s">
        <v>3555</v>
      </c>
      <c r="F194" s="3" t="s">
        <v>3616</v>
      </c>
      <c r="G194" s="3" t="s">
        <v>4152</v>
      </c>
      <c r="H194" s="3" t="str">
        <f>HYPERLINK("http://www.jccm.es/sede/tramite/L13","SOLICITUD DE PAGO DE LA AYUDA DESTINADA A PROMOVER LA COOPERACION INNOVADORA EN EL SECTOR AGROALIMENTARIO")</f>
        <v>SOLICITUD DE PAGO DE LA AYUDA DESTINADA A PROMOVER LA COOPERACION INNOVADORA EN EL SECTOR AGROALIMENTARIO</v>
      </c>
      <c r="I194" s="3" t="s">
        <v>41</v>
      </c>
      <c r="J194" s="3" t="s">
        <v>41</v>
      </c>
      <c r="K194" s="3" t="s">
        <v>42</v>
      </c>
      <c r="L194" s="3" t="s">
        <v>41</v>
      </c>
    </row>
    <row r="195" spans="1:12" ht="57.6">
      <c r="A195" s="3" t="s">
        <v>4153</v>
      </c>
      <c r="B195" s="3" t="s">
        <v>4154</v>
      </c>
      <c r="C195" s="3" t="s">
        <v>327</v>
      </c>
      <c r="D195" s="3" t="s">
        <v>46</v>
      </c>
      <c r="E195" s="3" t="s">
        <v>3555</v>
      </c>
      <c r="F195" s="3" t="s">
        <v>3616</v>
      </c>
      <c r="G195" s="3" t="s">
        <v>4155</v>
      </c>
      <c r="H195" s="3" t="str">
        <f>HYPERLINK("http://www.jccm.es/sede/tramite/JI5","SOLICITUD DE AYUDA DESTINADA A PROMOVER LA COOPERACION INNOVADORA EN EL SECTOR AGROALIMENTARIO")</f>
        <v>SOLICITUD DE AYUDA DESTINADA A PROMOVER LA COOPERACION INNOVADORA EN EL SECTOR AGROALIMENTARIO</v>
      </c>
      <c r="I195" s="3" t="s">
        <v>41</v>
      </c>
      <c r="J195" s="3" t="s">
        <v>41</v>
      </c>
      <c r="K195" s="3" t="s">
        <v>42</v>
      </c>
      <c r="L195" s="3" t="s">
        <v>41</v>
      </c>
    </row>
    <row r="196" spans="1:12" ht="57.6">
      <c r="A196" s="3" t="s">
        <v>4156</v>
      </c>
      <c r="B196" s="3" t="s">
        <v>4157</v>
      </c>
      <c r="C196" s="3" t="s">
        <v>327</v>
      </c>
      <c r="D196" s="3" t="s">
        <v>46</v>
      </c>
      <c r="E196" s="3" t="s">
        <v>3555</v>
      </c>
      <c r="F196" s="3" t="s">
        <v>3566</v>
      </c>
      <c r="G196" s="3" t="s">
        <v>4158</v>
      </c>
      <c r="H196" s="3" t="str">
        <f>HYPERLINK("http://www.jccm.es/sede/tramite/L62","DOCUMENTACION JUSTIFICATIVA DE LAS SUBVENCIONES DESTINADAS AL FOMENTO DE RAZAS AUTOCTONAS ESPAÑOLAS")</f>
        <v>DOCUMENTACION JUSTIFICATIVA DE LAS SUBVENCIONES DESTINADAS AL FOMENTO DE RAZAS AUTOCTONAS ESPAÑOLAS</v>
      </c>
      <c r="I196" s="3" t="s">
        <v>41</v>
      </c>
      <c r="J196" s="3" t="s">
        <v>41</v>
      </c>
      <c r="K196" s="3" t="s">
        <v>42</v>
      </c>
      <c r="L196" s="3" t="s">
        <v>41</v>
      </c>
    </row>
    <row r="197" spans="1:12" ht="57.6">
      <c r="A197" s="3" t="s">
        <v>4159</v>
      </c>
      <c r="B197" s="3" t="s">
        <v>4160</v>
      </c>
      <c r="C197" s="3" t="s">
        <v>327</v>
      </c>
      <c r="D197" s="3" t="s">
        <v>46</v>
      </c>
      <c r="E197" s="3" t="s">
        <v>3555</v>
      </c>
      <c r="F197" s="3" t="s">
        <v>3566</v>
      </c>
      <c r="G197" s="3" t="s">
        <v>4161</v>
      </c>
      <c r="H197" s="3" t="str">
        <f>HYPERLINK("http://www.jccm.es/sede/tramite/JS1","SOLICITUD DE SUBVENCIONES DESTINADAS AL FOMENTO DE LAS RAZAS AUTOCTONAS ESPAÑOLAS")</f>
        <v>SOLICITUD DE SUBVENCIONES DESTINADAS AL FOMENTO DE LAS RAZAS AUTOCTONAS ESPAÑOLAS</v>
      </c>
      <c r="I197" s="3" t="s">
        <v>41</v>
      </c>
      <c r="J197" s="3" t="s">
        <v>41</v>
      </c>
      <c r="K197" s="3" t="s">
        <v>42</v>
      </c>
      <c r="L197" s="3" t="s">
        <v>41</v>
      </c>
    </row>
    <row r="198" spans="1:12" ht="69">
      <c r="A198" s="3" t="s">
        <v>4162</v>
      </c>
      <c r="B198" s="3" t="s">
        <v>4163</v>
      </c>
      <c r="C198" s="3" t="s">
        <v>327</v>
      </c>
      <c r="D198" s="3" t="s">
        <v>46</v>
      </c>
      <c r="E198" s="3" t="s">
        <v>3555</v>
      </c>
      <c r="F198" s="3" t="s">
        <v>3697</v>
      </c>
      <c r="G198" s="3" t="s">
        <v>4164</v>
      </c>
      <c r="H198" s="3" t="str">
        <f>HYPERLINK("http://www.jccm.es/sede/tramite/J18","SOLICITUD DE AYUDAS PARA ACCIONES DE CARACTER PREVENTIVO DESTINADAS A EVITAR DAÑOS OCASIONADOS POR EL LOBO IBERICO EN LA PROVINCIA DE GUADALAJARA")</f>
        <v>SOLICITUD DE AYUDAS PARA ACCIONES DE CARACTER PREVENTIVO DESTINADAS A EVITAR DAÑOS OCASIONADOS POR EL LOBO IBERICO EN LA PROVINCIA DE GUADALAJARA</v>
      </c>
      <c r="I198" s="3" t="s">
        <v>42</v>
      </c>
      <c r="J198" s="3" t="s">
        <v>41</v>
      </c>
      <c r="K198" s="3" t="s">
        <v>42</v>
      </c>
      <c r="L198" s="3" t="s">
        <v>41</v>
      </c>
    </row>
    <row r="199" spans="1:12" ht="92.1">
      <c r="A199" s="3" t="s">
        <v>4165</v>
      </c>
      <c r="B199" s="3" t="s">
        <v>4166</v>
      </c>
      <c r="C199" s="3" t="s">
        <v>327</v>
      </c>
      <c r="D199" s="3" t="s">
        <v>46</v>
      </c>
      <c r="E199" s="3" t="s">
        <v>3555</v>
      </c>
      <c r="F199" s="3" t="s">
        <v>3697</v>
      </c>
      <c r="G199" s="3" t="s">
        <v>4167</v>
      </c>
      <c r="H199" s="3" t="str">
        <f>HYPERLINK("http://www.jccm.es/sede/tramite/L0A","COMUNICACION DE CAMBIO DE TITULARIDAD Y ACEPTACION EXPRESA DE LAS CONDICIONES DE LAS AYUDAS PARA ACCIONES PREVENTIVAS DESTINADAS A EVITAR DAÑOS POR EL LOBO IBERICO EN LA PROVINCIA DE GUADALAJARA")</f>
        <v>COMUNICACION DE CAMBIO DE TITULARIDAD Y ACEPTACION EXPRESA DE LAS CONDICIONES DE LAS AYUDAS PARA ACCIONES PREVENTIVAS DESTINADAS A EVITAR DAÑOS POR EL LOBO IBERICO EN LA PROVINCIA DE GUADALAJARA</v>
      </c>
      <c r="I199" s="3" t="s">
        <v>42</v>
      </c>
      <c r="J199" s="3" t="s">
        <v>41</v>
      </c>
      <c r="K199" s="3" t="s">
        <v>42</v>
      </c>
      <c r="L199" s="3" t="s">
        <v>41</v>
      </c>
    </row>
    <row r="200" spans="1:12" ht="69">
      <c r="A200" s="3" t="s">
        <v>4168</v>
      </c>
      <c r="B200" s="3" t="s">
        <v>4169</v>
      </c>
      <c r="C200" s="3" t="s">
        <v>327</v>
      </c>
      <c r="D200" s="3" t="s">
        <v>46</v>
      </c>
      <c r="E200" s="3" t="s">
        <v>3555</v>
      </c>
      <c r="F200" s="3" t="s">
        <v>3697</v>
      </c>
      <c r="G200" s="3" t="s">
        <v>4170</v>
      </c>
      <c r="H200" s="3" t="str">
        <f>HYPERLINK("http://www.jccm.es/sede/tramite/K66","SOLICITUD DE PAGO AYUDAS PARA ACCIONES DE CARACTER PREVENTIVO DESTINADAS A EVITAR DAÑOS OCASIONADOS POR EL LOBO IBERICO EN LA PROVINCIA DE GUADALAJARA")</f>
        <v>SOLICITUD DE PAGO AYUDAS PARA ACCIONES DE CARACTER PREVENTIVO DESTINADAS A EVITAR DAÑOS OCASIONADOS POR EL LOBO IBERICO EN LA PROVINCIA DE GUADALAJARA</v>
      </c>
      <c r="I200" s="3" t="s">
        <v>42</v>
      </c>
      <c r="J200" s="3" t="s">
        <v>41</v>
      </c>
      <c r="K200" s="3" t="s">
        <v>42</v>
      </c>
      <c r="L200" s="3" t="s">
        <v>41</v>
      </c>
    </row>
    <row r="201" spans="1:12" ht="57.6">
      <c r="A201" s="3" t="s">
        <v>4171</v>
      </c>
      <c r="B201" s="3" t="s">
        <v>4172</v>
      </c>
      <c r="C201" s="3" t="s">
        <v>327</v>
      </c>
      <c r="D201" s="3" t="s">
        <v>46</v>
      </c>
      <c r="E201" s="3" t="s">
        <v>3555</v>
      </c>
      <c r="F201" s="3" t="s">
        <v>3566</v>
      </c>
      <c r="G201" s="3" t="s">
        <v>4173</v>
      </c>
      <c r="H201" s="3" t="str">
        <f>HYPERLINK("http://www.jccm.es/sede/tramite/KX5","SOLICITUD DE ALTA DE LA DIRECCION TECNICA")</f>
        <v>SOLICITUD DE ALTA DE LA DIRECCION TECNICA</v>
      </c>
      <c r="I201" s="3" t="s">
        <v>41</v>
      </c>
      <c r="J201" s="3" t="s">
        <v>41</v>
      </c>
      <c r="K201" s="3" t="s">
        <v>42</v>
      </c>
      <c r="L201" s="3" t="s">
        <v>41</v>
      </c>
    </row>
    <row r="202" spans="1:12" ht="57.6">
      <c r="A202" s="3" t="s">
        <v>4174</v>
      </c>
      <c r="B202" s="3" t="s">
        <v>4175</v>
      </c>
      <c r="C202" s="3" t="s">
        <v>327</v>
      </c>
      <c r="D202" s="3" t="s">
        <v>46</v>
      </c>
      <c r="E202" s="3" t="s">
        <v>3555</v>
      </c>
      <c r="F202" s="3" t="s">
        <v>3566</v>
      </c>
      <c r="G202" s="3" t="s">
        <v>4176</v>
      </c>
      <c r="H202" s="3" t="str">
        <f>HYPERLINK("http://www.jccm.es/sede/tramite/JE9","SOLICITUD INDIVIDUAL VITICULTOR/A")</f>
        <v>SOLICITUD INDIVIDUAL VITICULTOR/A</v>
      </c>
      <c r="I202" s="3" t="s">
        <v>41</v>
      </c>
      <c r="J202" s="3" t="s">
        <v>41</v>
      </c>
      <c r="K202" s="3" t="s">
        <v>42</v>
      </c>
      <c r="L202" s="3" t="s">
        <v>41</v>
      </c>
    </row>
    <row r="203" spans="1:12" ht="57.6">
      <c r="A203" s="3" t="s">
        <v>4177</v>
      </c>
      <c r="B203" s="3" t="s">
        <v>4178</v>
      </c>
      <c r="C203" s="3" t="s">
        <v>51</v>
      </c>
      <c r="D203" s="3" t="s">
        <v>46</v>
      </c>
      <c r="E203" s="3" t="s">
        <v>3555</v>
      </c>
      <c r="F203" s="3" t="s">
        <v>3566</v>
      </c>
      <c r="G203" s="3" t="s">
        <v>4179</v>
      </c>
      <c r="H203" s="3" t="str">
        <f>HYPERLINK("http://www.jccm.es/sede/tramite/K5M","SOLICITUD DE MODIFICACION A LOS PROYECTOS DE REESTRUCTURACION Y RECONVERSION DE VIÑEDO")</f>
        <v>SOLICITUD DE MODIFICACION A LOS PROYECTOS DE REESTRUCTURACION Y RECONVERSION DE VIÑEDO</v>
      </c>
      <c r="I203" s="3" t="s">
        <v>41</v>
      </c>
      <c r="J203" s="3" t="s">
        <v>41</v>
      </c>
      <c r="K203" s="3" t="s">
        <v>42</v>
      </c>
      <c r="L203" s="3" t="s">
        <v>41</v>
      </c>
    </row>
    <row r="204" spans="1:12" ht="57.6">
      <c r="A204" s="3" t="s">
        <v>4180</v>
      </c>
      <c r="B204" s="3" t="s">
        <v>4181</v>
      </c>
      <c r="C204" s="3" t="s">
        <v>51</v>
      </c>
      <c r="D204" s="3" t="s">
        <v>46</v>
      </c>
      <c r="E204" s="3" t="s">
        <v>3555</v>
      </c>
      <c r="F204" s="3" t="s">
        <v>3566</v>
      </c>
      <c r="G204" s="3" t="s">
        <v>4182</v>
      </c>
      <c r="H204" s="3" t="str">
        <f>HYPERLINK("http://www.jccm.es/sede/tramite/KSU","RENUNCIA A LAS SOLICITUDES DE REESTRUCTURACION Y RECONVERSION DE VIÑEDO")</f>
        <v>RENUNCIA A LAS SOLICITUDES DE REESTRUCTURACION Y RECONVERSION DE VIÑEDO</v>
      </c>
      <c r="I204" s="3" t="s">
        <v>41</v>
      </c>
      <c r="J204" s="3" t="s">
        <v>41</v>
      </c>
      <c r="K204" s="3" t="s">
        <v>42</v>
      </c>
      <c r="L204" s="3" t="s">
        <v>41</v>
      </c>
    </row>
    <row r="205" spans="1:12" ht="80.45">
      <c r="A205" s="3" t="s">
        <v>4183</v>
      </c>
      <c r="B205" s="3" t="s">
        <v>4184</v>
      </c>
      <c r="C205" s="3" t="s">
        <v>327</v>
      </c>
      <c r="D205" s="3" t="s">
        <v>46</v>
      </c>
      <c r="E205" s="3" t="s">
        <v>3555</v>
      </c>
      <c r="F205" s="3" t="s">
        <v>3616</v>
      </c>
      <c r="G205" s="3" t="s">
        <v>4185</v>
      </c>
      <c r="H205" s="3" t="str">
        <f>HYPERLINK("http://www.jccm.es/sede/tramite/K6Z","PAGO DE AYUDAS A INVERSIONES DE DETERMINADAS INFRAESTRUCTURAS DEL SECTOR VITIVINICOLA DENTRO DEL PROGRAMA DE APOYO 2019-2023 (VINATI)")</f>
        <v>PAGO DE AYUDAS A INVERSIONES DE DETERMINADAS INFRAESTRUCTURAS DEL SECTOR VITIVINICOLA DENTRO DEL PROGRAMA DE APOYO 2019-2023 (VINATI)</v>
      </c>
      <c r="I205" s="3" t="s">
        <v>41</v>
      </c>
      <c r="J205" s="3" t="s">
        <v>41</v>
      </c>
      <c r="K205" s="3" t="s">
        <v>42</v>
      </c>
      <c r="L205" s="3" t="s">
        <v>41</v>
      </c>
    </row>
    <row r="206" spans="1:12" ht="103.5">
      <c r="A206" s="3" t="s">
        <v>4186</v>
      </c>
      <c r="B206" s="3" t="s">
        <v>4187</v>
      </c>
      <c r="C206" s="3" t="s">
        <v>327</v>
      </c>
      <c r="D206" s="3" t="s">
        <v>46</v>
      </c>
      <c r="E206" s="3" t="s">
        <v>3555</v>
      </c>
      <c r="F206" s="3" t="s">
        <v>3616</v>
      </c>
      <c r="G206" s="3" t="s">
        <v>4188</v>
      </c>
      <c r="H206" s="3" t="str">
        <f>HYPERLINK("http://www.jccm.es/sede/tramite/KH3","MODIFICACION DE UN PROYECTO DE INVERSION ACOGIDO A LAS AYUDAS EN INVERSIONES DE DETERMINADAS INFRAESTRUCTURAS DEL SECTOR VITIVINICOLA EN EL PROGRAMA DE APOYO 2019-2023 (VINATI)")</f>
        <v>MODIFICACION DE UN PROYECTO DE INVERSION ACOGIDO A LAS AYUDAS EN INVERSIONES DE DETERMINADAS INFRAESTRUCTURAS DEL SECTOR VITIVINICOLA EN EL PROGRAMA DE APOYO 2019-2023 (VINATI)</v>
      </c>
      <c r="I206" s="3" t="s">
        <v>41</v>
      </c>
      <c r="J206" s="3" t="s">
        <v>41</v>
      </c>
      <c r="K206" s="3" t="s">
        <v>42</v>
      </c>
      <c r="L206" s="3" t="s">
        <v>41</v>
      </c>
    </row>
    <row r="207" spans="1:12" ht="80.45">
      <c r="A207" s="3" t="s">
        <v>4189</v>
      </c>
      <c r="B207" s="3" t="s">
        <v>4190</v>
      </c>
      <c r="C207" s="3" t="s">
        <v>327</v>
      </c>
      <c r="D207" s="3" t="s">
        <v>46</v>
      </c>
      <c r="E207" s="3" t="s">
        <v>3555</v>
      </c>
      <c r="F207" s="3" t="s">
        <v>3616</v>
      </c>
      <c r="G207" s="3" t="s">
        <v>4191</v>
      </c>
      <c r="H207" s="3" t="str">
        <f>HYPERLINK("http://www.jccm.es/sede/tramite/KH2","ACEPTACION RESOLUCION DE AYUDAS A INVERSIONES DE DETERMINADAS INFRAESTRUCTURAS DEL SECTOR VITIVINICOLA DENTRO DEL PROGRAMA DE APOYO 2019-2023 (VINATI)")</f>
        <v>ACEPTACION RESOLUCION DE AYUDAS A INVERSIONES DE DETERMINADAS INFRAESTRUCTURAS DEL SECTOR VITIVINICOLA DENTRO DEL PROGRAMA DE APOYO 2019-2023 (VINATI)</v>
      </c>
      <c r="I207" s="3" t="s">
        <v>41</v>
      </c>
      <c r="J207" s="3" t="s">
        <v>41</v>
      </c>
      <c r="K207" s="3" t="s">
        <v>42</v>
      </c>
      <c r="L207" s="3" t="s">
        <v>41</v>
      </c>
    </row>
    <row r="208" spans="1:12" ht="69">
      <c r="A208" s="3" t="s">
        <v>4192</v>
      </c>
      <c r="B208" s="3" t="s">
        <v>4193</v>
      </c>
      <c r="C208" s="3" t="s">
        <v>327</v>
      </c>
      <c r="D208" s="3" t="s">
        <v>46</v>
      </c>
      <c r="E208" s="3" t="s">
        <v>3555</v>
      </c>
      <c r="F208" s="3" t="s">
        <v>3616</v>
      </c>
      <c r="G208" s="3" t="s">
        <v>4194</v>
      </c>
      <c r="H208" s="3" t="str">
        <f>HYPERLINK("http://www.jccm.es/sede/tramite/K6Y","AYUDAS EN INVERSIONES DE DETERMINADAS INFRAESTRUCTURAS DEL SECTOR VITIVINICOLA DENTRO DEL PROGRAMA DE APOYO 2019-2023 (VINATI).")</f>
        <v>AYUDAS EN INVERSIONES DE DETERMINADAS INFRAESTRUCTURAS DEL SECTOR VITIVINICOLA DENTRO DEL PROGRAMA DE APOYO 2019-2023 (VINATI).</v>
      </c>
      <c r="I208" s="3" t="s">
        <v>41</v>
      </c>
      <c r="J208" s="3" t="s">
        <v>41</v>
      </c>
      <c r="K208" s="3" t="s">
        <v>42</v>
      </c>
      <c r="L208" s="3" t="s">
        <v>41</v>
      </c>
    </row>
    <row r="209" spans="1:12" ht="57.6">
      <c r="A209" s="3" t="s">
        <v>4195</v>
      </c>
      <c r="B209" s="3" t="s">
        <v>4196</v>
      </c>
      <c r="C209" s="3" t="s">
        <v>45</v>
      </c>
      <c r="D209" s="3" t="s">
        <v>46</v>
      </c>
      <c r="E209" s="3" t="s">
        <v>3555</v>
      </c>
      <c r="F209" s="3" t="s">
        <v>3616</v>
      </c>
      <c r="G209" s="3" t="s">
        <v>4197</v>
      </c>
      <c r="H209" s="3" t="str">
        <f>HYPERLINK("http://www.jccm.es/sede/tramite/L6M","JUSTIFICACION DE LAS YUDAS PARA LA ASISTENCIA A LA FERIA AGROALIMENTARIA  WORLD OLIVE OIL EXHIBITION")</f>
        <v>JUSTIFICACION DE LAS YUDAS PARA LA ASISTENCIA A LA FERIA AGROALIMENTARIA  WORLD OLIVE OIL EXHIBITION</v>
      </c>
      <c r="I209" s="3" t="s">
        <v>42</v>
      </c>
      <c r="J209" s="3" t="s">
        <v>41</v>
      </c>
      <c r="K209" s="3" t="s">
        <v>42</v>
      </c>
      <c r="L209" s="3" t="s">
        <v>41</v>
      </c>
    </row>
    <row r="210" spans="1:12" ht="57.6">
      <c r="A210" s="3" t="s">
        <v>4198</v>
      </c>
      <c r="B210" s="3" t="s">
        <v>4199</v>
      </c>
      <c r="C210" s="3" t="s">
        <v>45</v>
      </c>
      <c r="D210" s="3" t="s">
        <v>46</v>
      </c>
      <c r="E210" s="3" t="s">
        <v>3555</v>
      </c>
      <c r="F210" s="3" t="s">
        <v>3616</v>
      </c>
      <c r="G210" s="3" t="s">
        <v>4200</v>
      </c>
      <c r="H210" s="3" t="str">
        <f>HYPERLINK("http://www.jccm.es/sede/tramite/K8A","AYUDAS PARA LA ASISTENCIA A LA FERIA AGROALIMENTARIA WORLD OLIVE OIL EXHIBITION")</f>
        <v>AYUDAS PARA LA ASISTENCIA A LA FERIA AGROALIMENTARIA WORLD OLIVE OIL EXHIBITION</v>
      </c>
      <c r="I210" s="3" t="s">
        <v>42</v>
      </c>
      <c r="J210" s="3" t="s">
        <v>41</v>
      </c>
      <c r="K210" s="3" t="s">
        <v>42</v>
      </c>
      <c r="L210" s="3" t="s">
        <v>41</v>
      </c>
    </row>
    <row r="211" spans="1:12" ht="57.6">
      <c r="A211" s="3" t="s">
        <v>4201</v>
      </c>
      <c r="B211" s="3" t="s">
        <v>4202</v>
      </c>
      <c r="C211" s="3" t="s">
        <v>45</v>
      </c>
      <c r="D211" s="3" t="s">
        <v>46</v>
      </c>
      <c r="E211" s="3" t="s">
        <v>3555</v>
      </c>
      <c r="F211" s="3" t="s">
        <v>3616</v>
      </c>
      <c r="G211" s="3" t="s">
        <v>4203</v>
      </c>
      <c r="H211" s="3" t="str">
        <f>HYPERLINK("http://www.jccm.es/sede/tramite/KBX","AYUDAS PARA LA ASISTENCIA A LA FERIA AGROALIMENTARIA FRUIT ATTRACTION")</f>
        <v>AYUDAS PARA LA ASISTENCIA A LA FERIA AGROALIMENTARIA FRUIT ATTRACTION</v>
      </c>
      <c r="I211" s="3" t="s">
        <v>42</v>
      </c>
      <c r="J211" s="3" t="s">
        <v>41</v>
      </c>
      <c r="K211" s="3" t="s">
        <v>42</v>
      </c>
      <c r="L211" s="3" t="s">
        <v>41</v>
      </c>
    </row>
    <row r="212" spans="1:12" ht="57.6">
      <c r="A212" s="3" t="s">
        <v>4204</v>
      </c>
      <c r="B212" s="3" t="s">
        <v>4205</v>
      </c>
      <c r="C212" s="3" t="s">
        <v>45</v>
      </c>
      <c r="D212" s="3" t="s">
        <v>46</v>
      </c>
      <c r="E212" s="3" t="s">
        <v>3555</v>
      </c>
      <c r="F212" s="3" t="s">
        <v>3555</v>
      </c>
      <c r="G212" s="3" t="s">
        <v>4206</v>
      </c>
      <c r="H212" s="3" t="str">
        <f>HYPERLINK("http://www.jccm.es/sede/tramite/LVJ","ACEPTACION RESOLUCION CONCESION DE AYUDA PARA LA ASISTENCIA A LA FERIA AGROALIMENTARIA FRUIT ATTRACTION")</f>
        <v>ACEPTACION RESOLUCION CONCESION DE AYUDA PARA LA ASISTENCIA A LA FERIA AGROALIMENTARIA FRUIT ATTRACTION</v>
      </c>
      <c r="I212" s="3" t="s">
        <v>42</v>
      </c>
      <c r="J212" s="3" t="s">
        <v>41</v>
      </c>
      <c r="K212" s="3" t="s">
        <v>42</v>
      </c>
      <c r="L212" s="3" t="s">
        <v>41</v>
      </c>
    </row>
    <row r="213" spans="1:12" ht="57.6">
      <c r="A213" s="3" t="s">
        <v>4207</v>
      </c>
      <c r="B213" s="3" t="s">
        <v>4208</v>
      </c>
      <c r="C213" s="3" t="s">
        <v>70</v>
      </c>
      <c r="D213" s="3" t="s">
        <v>46</v>
      </c>
      <c r="E213" s="3" t="s">
        <v>3555</v>
      </c>
      <c r="F213" s="3" t="s">
        <v>3616</v>
      </c>
      <c r="G213" s="3" t="s">
        <v>4209</v>
      </c>
      <c r="H213" s="3" t="str">
        <f>HYPERLINK("http://www.jccm.es/sede/tramite/KJE","JUSTIFICACION DE LAS AYUDAS PARA LA ASISTENCIA A LA FERIA AGROALIMENTARIA ALIMENTARIA BARCELONA 2020")</f>
        <v>JUSTIFICACION DE LAS AYUDAS PARA LA ASISTENCIA A LA FERIA AGROALIMENTARIA ALIMENTARIA BARCELONA 2020</v>
      </c>
      <c r="I213" s="3" t="s">
        <v>42</v>
      </c>
      <c r="J213" s="3" t="s">
        <v>41</v>
      </c>
      <c r="K213" s="3" t="s">
        <v>42</v>
      </c>
      <c r="L213" s="3" t="s">
        <v>41</v>
      </c>
    </row>
    <row r="214" spans="1:12" ht="57.6">
      <c r="A214" s="3" t="s">
        <v>4210</v>
      </c>
      <c r="B214" s="3" t="s">
        <v>4211</v>
      </c>
      <c r="C214" s="3" t="s">
        <v>70</v>
      </c>
      <c r="D214" s="3" t="s">
        <v>46</v>
      </c>
      <c r="E214" s="3" t="s">
        <v>3555</v>
      </c>
      <c r="F214" s="3" t="s">
        <v>3616</v>
      </c>
      <c r="G214" s="3" t="s">
        <v>4212</v>
      </c>
      <c r="H214" s="3" t="str">
        <f>HYPERLINK("http://www.jccm.es/sede/tramite/KJD","AYUDAS PARA LA ASISTENCIA A LA FERIA AGROALIMENTARIA ALIMENTARIA BARCELONA 2020.")</f>
        <v>AYUDAS PARA LA ASISTENCIA A LA FERIA AGROALIMENTARIA ALIMENTARIA BARCELONA 2020.</v>
      </c>
      <c r="I214" s="3" t="s">
        <v>42</v>
      </c>
      <c r="J214" s="3" t="s">
        <v>41</v>
      </c>
      <c r="K214" s="3" t="s">
        <v>42</v>
      </c>
      <c r="L214" s="3" t="s">
        <v>41</v>
      </c>
    </row>
    <row r="215" spans="1:12" ht="57.6">
      <c r="A215" s="3" t="s">
        <v>4213</v>
      </c>
      <c r="B215" s="3" t="s">
        <v>4214</v>
      </c>
      <c r="C215" s="3" t="s">
        <v>70</v>
      </c>
      <c r="D215" s="3" t="s">
        <v>46</v>
      </c>
      <c r="E215" s="3" t="s">
        <v>3555</v>
      </c>
      <c r="F215" s="3" t="s">
        <v>3616</v>
      </c>
      <c r="G215" s="3" t="s">
        <v>4215</v>
      </c>
      <c r="H215" s="3" t="str">
        <f>HYPERLINK("http://www.jccm.es/sede/tramite/KET","AYUDAS PARA LA ASISTENCIA A LA FERIA AGROALIMENTARIA  SALON GOURMETS .")</f>
        <v>AYUDAS PARA LA ASISTENCIA A LA FERIA AGROALIMENTARIA  SALON GOURMETS .</v>
      </c>
      <c r="I215" s="3" t="s">
        <v>42</v>
      </c>
      <c r="J215" s="3" t="s">
        <v>41</v>
      </c>
      <c r="K215" s="3" t="s">
        <v>42</v>
      </c>
      <c r="L215" s="3" t="s">
        <v>41</v>
      </c>
    </row>
    <row r="216" spans="1:12" ht="57.6">
      <c r="A216" s="3" t="s">
        <v>4216</v>
      </c>
      <c r="B216" s="3" t="s">
        <v>4217</v>
      </c>
      <c r="C216" s="3" t="s">
        <v>70</v>
      </c>
      <c r="D216" s="3" t="s">
        <v>46</v>
      </c>
      <c r="E216" s="3" t="s">
        <v>3555</v>
      </c>
      <c r="F216" s="3" t="s">
        <v>3616</v>
      </c>
      <c r="G216" s="3" t="s">
        <v>4218</v>
      </c>
      <c r="H216" s="3" t="str">
        <f>HYPERLINK("http://www.jccm.es/sede/tramite/KEU","JUSTIFICACION DE LAS AYUDAS PARA LA ASISTENCIA A LA FERIA AGROALIMENTARIA SALON GOURMETS")</f>
        <v>JUSTIFICACION DE LAS AYUDAS PARA LA ASISTENCIA A LA FERIA AGROALIMENTARIA SALON GOURMETS</v>
      </c>
      <c r="I216" s="3" t="s">
        <v>42</v>
      </c>
      <c r="J216" s="3" t="s">
        <v>41</v>
      </c>
      <c r="K216" s="3" t="s">
        <v>42</v>
      </c>
      <c r="L216" s="3" t="s">
        <v>41</v>
      </c>
    </row>
    <row r="217" spans="1:12" ht="57.6">
      <c r="A217" s="3" t="s">
        <v>4219</v>
      </c>
      <c r="B217" s="3" t="s">
        <v>4220</v>
      </c>
      <c r="C217" s="3" t="s">
        <v>70</v>
      </c>
      <c r="D217" s="3" t="s">
        <v>46</v>
      </c>
      <c r="E217" s="3" t="s">
        <v>3555</v>
      </c>
      <c r="F217" s="3" t="s">
        <v>3616</v>
      </c>
      <c r="G217" s="3" t="s">
        <v>4221</v>
      </c>
      <c r="H217" s="3" t="str">
        <f>HYPERLINK("http://www.jccm.es/sede/tramite/LKV","JUSTIFICACION DE LAS AYUDAS PARA LA ASISTENCIA A LA FERIA AGROALIMENTARIA FRUIT ATTRACTION")</f>
        <v>JUSTIFICACION DE LAS AYUDAS PARA LA ASISTENCIA A LA FERIA AGROALIMENTARIA FRUIT ATTRACTION</v>
      </c>
      <c r="I217" s="3" t="s">
        <v>42</v>
      </c>
      <c r="J217" s="3" t="s">
        <v>41</v>
      </c>
      <c r="K217" s="3" t="s">
        <v>42</v>
      </c>
      <c r="L217" s="3" t="s">
        <v>41</v>
      </c>
    </row>
    <row r="218" spans="1:12" ht="57.6">
      <c r="A218" s="3" t="s">
        <v>4222</v>
      </c>
      <c r="B218" s="3" t="s">
        <v>4223</v>
      </c>
      <c r="C218" s="3" t="s">
        <v>232</v>
      </c>
      <c r="D218" s="3" t="s">
        <v>46</v>
      </c>
      <c r="E218" s="3" t="s">
        <v>3555</v>
      </c>
      <c r="F218" s="3" t="s">
        <v>3556</v>
      </c>
      <c r="G218" s="3" t="s">
        <v>4224</v>
      </c>
      <c r="H218" s="3" t="str">
        <f>HYPERLINK("http://www.jccm.es/sede/tramite/KL2","SOLICITUD DE AYUDA PREPARATORIA PARA LOS GRUPOS DE ACCION LOCAL QUE ELABORARAN EDLP EN EL PERIODO 2014/2020.")</f>
        <v>SOLICITUD DE AYUDA PREPARATORIA PARA LOS GRUPOS DE ACCION LOCAL QUE ELABORARAN EDLP EN EL PERIODO 2014/2020.</v>
      </c>
      <c r="I218" s="3" t="s">
        <v>42</v>
      </c>
      <c r="J218" s="3" t="s">
        <v>41</v>
      </c>
      <c r="K218" s="3" t="s">
        <v>42</v>
      </c>
      <c r="L218" s="3" t="s">
        <v>41</v>
      </c>
    </row>
    <row r="219" spans="1:12" ht="57.6">
      <c r="A219" s="3" t="s">
        <v>4225</v>
      </c>
      <c r="B219" s="3" t="s">
        <v>4226</v>
      </c>
      <c r="C219" s="3" t="s">
        <v>232</v>
      </c>
      <c r="D219" s="3" t="s">
        <v>46</v>
      </c>
      <c r="E219" s="3" t="s">
        <v>3555</v>
      </c>
      <c r="F219" s="3" t="s">
        <v>3556</v>
      </c>
      <c r="G219" s="3" t="s">
        <v>4227</v>
      </c>
      <c r="H219" s="3" t="str">
        <f>HYPERLINK("http://www.jccm.es/sede/tramite/KL3","SOLICITUD DE PAGO DE LA AYUDA PREPARATORIA PARA LOS GRUPOS DE ACCION LOCAL QUE ELABORARAN EDLP EN EL PERIODO 2014/2020.")</f>
        <v>SOLICITUD DE PAGO DE LA AYUDA PREPARATORIA PARA LOS GRUPOS DE ACCION LOCAL QUE ELABORARAN EDLP EN EL PERIODO 2014/2020.</v>
      </c>
      <c r="I219" s="3" t="s">
        <v>42</v>
      </c>
      <c r="J219" s="3" t="s">
        <v>41</v>
      </c>
      <c r="K219" s="3" t="s">
        <v>42</v>
      </c>
      <c r="L219" s="3" t="s">
        <v>41</v>
      </c>
    </row>
    <row r="220" spans="1:12" ht="57.6">
      <c r="A220" s="3" t="s">
        <v>4228</v>
      </c>
      <c r="B220" s="3" t="s">
        <v>4229</v>
      </c>
      <c r="C220" s="3" t="s">
        <v>45</v>
      </c>
      <c r="D220" s="3" t="s">
        <v>46</v>
      </c>
      <c r="E220" s="3" t="s">
        <v>3555</v>
      </c>
      <c r="F220" s="3" t="s">
        <v>3616</v>
      </c>
      <c r="G220" s="3" t="s">
        <v>4230</v>
      </c>
      <c r="H220" s="3" t="str">
        <f>HYPERLINK("http://www.jccm.es/sede/tramite/KT1","JUSTIFICACION DE LAS AYUDAS PARA LA ASISTENCIA A LA FERIA AGROALIMENTARIA MEAT ATTRACTION")</f>
        <v>JUSTIFICACION DE LAS AYUDAS PARA LA ASISTENCIA A LA FERIA AGROALIMENTARIA MEAT ATTRACTION</v>
      </c>
      <c r="I220" s="3" t="s">
        <v>42</v>
      </c>
      <c r="J220" s="3" t="s">
        <v>41</v>
      </c>
      <c r="K220" s="3" t="s">
        <v>42</v>
      </c>
      <c r="L220" s="3" t="s">
        <v>41</v>
      </c>
    </row>
    <row r="221" spans="1:12" ht="57.6">
      <c r="A221" s="3" t="s">
        <v>4231</v>
      </c>
      <c r="B221" s="3" t="s">
        <v>4229</v>
      </c>
      <c r="C221" s="3" t="s">
        <v>45</v>
      </c>
      <c r="D221" s="3" t="s">
        <v>46</v>
      </c>
      <c r="E221" s="3" t="s">
        <v>3555</v>
      </c>
      <c r="F221" s="3" t="s">
        <v>3616</v>
      </c>
      <c r="G221" s="3" t="s">
        <v>4232</v>
      </c>
      <c r="H221" s="3" t="str">
        <f>HYPERLINK("http://www.jccm.es/sede/tramite/KT2","AYUDAS PARA LA ASISTENCIA A LA FERIA AGROALIMENTARIA MEAT ATTRACTION")</f>
        <v>AYUDAS PARA LA ASISTENCIA A LA FERIA AGROALIMENTARIA MEAT ATTRACTION</v>
      </c>
      <c r="I221" s="3" t="s">
        <v>42</v>
      </c>
      <c r="J221" s="3" t="s">
        <v>41</v>
      </c>
      <c r="K221" s="3" t="s">
        <v>42</v>
      </c>
      <c r="L221" s="3" t="s">
        <v>41</v>
      </c>
    </row>
    <row r="222" spans="1:12" ht="57.6">
      <c r="A222" s="3" t="s">
        <v>4233</v>
      </c>
      <c r="B222" s="3" t="s">
        <v>4234</v>
      </c>
      <c r="C222" s="3" t="s">
        <v>45</v>
      </c>
      <c r="D222" s="3" t="s">
        <v>46</v>
      </c>
      <c r="E222" s="3" t="s">
        <v>3555</v>
      </c>
      <c r="F222" s="3" t="s">
        <v>3616</v>
      </c>
      <c r="G222" s="3" t="s">
        <v>4235</v>
      </c>
      <c r="H222" s="3" t="str">
        <f>HYPERLINK("http://www.jccm.es/sede/tramite/LY6","ACEPTACION RESOLUCION CONCESION DE AYUDA PARA LA ASISTENCIA A LA FERIA AGROALIMENTARIA MEAT ATTRACTION")</f>
        <v>ACEPTACION RESOLUCION CONCESION DE AYUDA PARA LA ASISTENCIA A LA FERIA AGROALIMENTARIA MEAT ATTRACTION</v>
      </c>
      <c r="I222" s="3" t="s">
        <v>42</v>
      </c>
      <c r="J222" s="3" t="s">
        <v>41</v>
      </c>
      <c r="K222" s="3" t="s">
        <v>42</v>
      </c>
      <c r="L222" s="3" t="s">
        <v>41</v>
      </c>
    </row>
    <row r="223" spans="1:12" ht="57.6">
      <c r="A223" s="3" t="s">
        <v>4236</v>
      </c>
      <c r="B223" s="3" t="s">
        <v>4237</v>
      </c>
      <c r="C223" s="3" t="s">
        <v>327</v>
      </c>
      <c r="D223" s="3" t="s">
        <v>46</v>
      </c>
      <c r="E223" s="3" t="s">
        <v>3555</v>
      </c>
      <c r="F223" s="3" t="s">
        <v>3616</v>
      </c>
      <c r="G223" s="3" t="s">
        <v>4238</v>
      </c>
      <c r="H223" s="3" t="str">
        <f>HYPERLINK("http://www.jccm.es/sede/tramite/KTB","PAGO DE LAS AYUDAS A LA CREACION DE AGRUPACIONES DE PRODUCTORES DE PRODUCTOS AGROALIMENTARIOS (APPAAS)")</f>
        <v>PAGO DE LAS AYUDAS A LA CREACION DE AGRUPACIONES DE PRODUCTORES DE PRODUCTOS AGROALIMENTARIOS (APPAAS)</v>
      </c>
      <c r="I223" s="3" t="s">
        <v>41</v>
      </c>
      <c r="J223" s="3" t="s">
        <v>41</v>
      </c>
      <c r="K223" s="3" t="s">
        <v>42</v>
      </c>
      <c r="L223" s="3" t="s">
        <v>41</v>
      </c>
    </row>
    <row r="224" spans="1:12" ht="45.95">
      <c r="A224" s="3" t="s">
        <v>4239</v>
      </c>
      <c r="B224" s="3" t="s">
        <v>4240</v>
      </c>
      <c r="C224" s="3" t="s">
        <v>327</v>
      </c>
      <c r="D224" s="3" t="s">
        <v>46</v>
      </c>
      <c r="E224" s="3" t="s">
        <v>3555</v>
      </c>
      <c r="F224" s="3" t="s">
        <v>3555</v>
      </c>
      <c r="G224" s="3" t="s">
        <v>4241</v>
      </c>
      <c r="H224" s="3" t="str">
        <f>HYPERLINK("http://www.jccm.es/sede/tramite/LW3","SOLICITUD DE MODIFICACION DEL PLAN EMPRESARIAL DE COMERCIALIZACION CONJUNTA DE LAS APPAA")</f>
        <v>SOLICITUD DE MODIFICACION DEL PLAN EMPRESARIAL DE COMERCIALIZACION CONJUNTA DE LAS APPAA</v>
      </c>
      <c r="I224" s="3" t="s">
        <v>41</v>
      </c>
      <c r="J224" s="3" t="s">
        <v>41</v>
      </c>
      <c r="K224" s="3" t="s">
        <v>42</v>
      </c>
      <c r="L224" s="3" t="s">
        <v>41</v>
      </c>
    </row>
    <row r="225" spans="1:12" ht="57.6">
      <c r="A225" s="3" t="s">
        <v>4242</v>
      </c>
      <c r="B225" s="3" t="s">
        <v>4243</v>
      </c>
      <c r="C225" s="3" t="s">
        <v>327</v>
      </c>
      <c r="D225" s="3" t="s">
        <v>46</v>
      </c>
      <c r="E225" s="3" t="s">
        <v>3555</v>
      </c>
      <c r="F225" s="3" t="s">
        <v>3616</v>
      </c>
      <c r="G225" s="3" t="s">
        <v>4244</v>
      </c>
      <c r="H225" s="3" t="str">
        <f>HYPERLINK("http://www.jccm.es/sede/tramite/KTA","AYUDA AL FOMENTO DE LA CREACION DE AGRUPACIONES DE PRODUCTORES DE PRODUCTOS AGROALIMENTARIOS (APPAA)")</f>
        <v>AYUDA AL FOMENTO DE LA CREACION DE AGRUPACIONES DE PRODUCTORES DE PRODUCTOS AGROALIMENTARIOS (APPAA)</v>
      </c>
      <c r="I225" s="3" t="s">
        <v>41</v>
      </c>
      <c r="J225" s="3" t="s">
        <v>41</v>
      </c>
      <c r="K225" s="3" t="s">
        <v>42</v>
      </c>
      <c r="L225" s="3" t="s">
        <v>41</v>
      </c>
    </row>
    <row r="226" spans="1:12" ht="92.1">
      <c r="A226" s="3" t="s">
        <v>4245</v>
      </c>
      <c r="B226" s="3" t="s">
        <v>4246</v>
      </c>
      <c r="C226" s="3" t="s">
        <v>4247</v>
      </c>
      <c r="D226" s="3" t="s">
        <v>37</v>
      </c>
      <c r="E226" s="3" t="s">
        <v>3555</v>
      </c>
      <c r="F226" s="3" t="s">
        <v>3616</v>
      </c>
      <c r="G226" s="3" t="s">
        <v>4248</v>
      </c>
      <c r="H226" s="3" t="str">
        <f>HYPERLINK("http://www.jccm.es/sede/tramite/KTM","SOLICITUD DE MODIFICACION DE PROGRAMA OPERATIVO RELATIVA A ANUALIDAD NO COMENZADA")</f>
        <v>SOLICITUD DE MODIFICACION DE PROGRAMA OPERATIVO RELATIVA A ANUALIDAD NO COMENZADA</v>
      </c>
      <c r="I226" s="3" t="s">
        <v>41</v>
      </c>
      <c r="J226" s="3" t="s">
        <v>41</v>
      </c>
      <c r="K226" s="3" t="s">
        <v>42</v>
      </c>
      <c r="L226" s="3" t="s">
        <v>41</v>
      </c>
    </row>
    <row r="227" spans="1:12" ht="92.1">
      <c r="A227" s="3" t="s">
        <v>4249</v>
      </c>
      <c r="B227" s="3" t="s">
        <v>4250</v>
      </c>
      <c r="C227" s="3" t="s">
        <v>4247</v>
      </c>
      <c r="D227" s="3" t="s">
        <v>37</v>
      </c>
      <c r="E227" s="3" t="s">
        <v>3555</v>
      </c>
      <c r="F227" s="3" t="s">
        <v>3616</v>
      </c>
      <c r="G227" s="3" t="s">
        <v>4251</v>
      </c>
      <c r="H227" s="3" t="str">
        <f>HYPERLINK("http://www.jccm.es/sede/tramite/KTL","SOLICITUD DE PRESENTACION DE NUEVO PROGRAMA OPERATIVO")</f>
        <v>SOLICITUD DE PRESENTACION DE NUEVO PROGRAMA OPERATIVO</v>
      </c>
      <c r="I227" s="3" t="s">
        <v>41</v>
      </c>
      <c r="J227" s="3" t="s">
        <v>41</v>
      </c>
      <c r="K227" s="3" t="s">
        <v>42</v>
      </c>
      <c r="L227" s="3" t="s">
        <v>41</v>
      </c>
    </row>
    <row r="228" spans="1:12" ht="92.1">
      <c r="A228" s="3" t="s">
        <v>4252</v>
      </c>
      <c r="B228" s="3" t="s">
        <v>4253</v>
      </c>
      <c r="C228" s="3" t="s">
        <v>4247</v>
      </c>
      <c r="D228" s="3" t="s">
        <v>37</v>
      </c>
      <c r="E228" s="3" t="s">
        <v>3555</v>
      </c>
      <c r="F228" s="3" t="s">
        <v>3616</v>
      </c>
      <c r="G228" s="3" t="s">
        <v>4254</v>
      </c>
      <c r="H228" s="3" t="str">
        <f>HYPERLINK("http://www.jccm.es/sede/tramite/KTN","NOTIFICACIONES DE LAS ACCIONES DE LA MEDIDA DE PREVENCION Y GESTION DE CRISIS")</f>
        <v>NOTIFICACIONES DE LAS ACCIONES DE LA MEDIDA DE PREVENCION Y GESTION DE CRISIS</v>
      </c>
      <c r="I228" s="3" t="s">
        <v>41</v>
      </c>
      <c r="J228" s="3" t="s">
        <v>41</v>
      </c>
      <c r="K228" s="3" t="s">
        <v>42</v>
      </c>
      <c r="L228" s="3" t="s">
        <v>41</v>
      </c>
    </row>
    <row r="229" spans="1:12" ht="57.6">
      <c r="A229" s="3" t="s">
        <v>4255</v>
      </c>
      <c r="B229" s="3" t="s">
        <v>4256</v>
      </c>
      <c r="C229" s="3" t="s">
        <v>1821</v>
      </c>
      <c r="D229" s="3" t="s">
        <v>37</v>
      </c>
      <c r="E229" s="3" t="s">
        <v>3555</v>
      </c>
      <c r="F229" s="3" t="s">
        <v>3616</v>
      </c>
      <c r="G229" s="3" t="s">
        <v>4257</v>
      </c>
      <c r="H229" s="3" t="str">
        <f>HYPERLINK("http://www.jccm.es/sede/tramite/KTO","SOLICITUD DE MODIFICACION DEL PROGRAMA OPERATIVO DURANTE LA ANUALIDAD EN CURSO")</f>
        <v>SOLICITUD DE MODIFICACION DEL PROGRAMA OPERATIVO DURANTE LA ANUALIDAD EN CURSO</v>
      </c>
      <c r="I229" s="3" t="s">
        <v>41</v>
      </c>
      <c r="J229" s="3" t="s">
        <v>41</v>
      </c>
      <c r="K229" s="3" t="s">
        <v>42</v>
      </c>
      <c r="L229" s="3" t="s">
        <v>41</v>
      </c>
    </row>
    <row r="230" spans="1:12" ht="57.6">
      <c r="A230" s="3" t="s">
        <v>4258</v>
      </c>
      <c r="B230" s="3" t="s">
        <v>4259</v>
      </c>
      <c r="C230" s="3" t="s">
        <v>1821</v>
      </c>
      <c r="D230" s="3" t="s">
        <v>37</v>
      </c>
      <c r="E230" s="3" t="s">
        <v>3555</v>
      </c>
      <c r="F230" s="3" t="s">
        <v>3616</v>
      </c>
      <c r="G230" s="3" t="s">
        <v>4260</v>
      </c>
      <c r="H230" s="3" t="str">
        <f>HYPERLINK("http://www.jccm.es/sede/tramite/LK5","COMUNICACION EJECUCION ACCIONES MEDIOAMBIENTALES")</f>
        <v>COMUNICACION EJECUCION ACCIONES MEDIOAMBIENTALES</v>
      </c>
      <c r="I230" s="3" t="s">
        <v>41</v>
      </c>
      <c r="J230" s="3" t="s">
        <v>41</v>
      </c>
      <c r="K230" s="3" t="s">
        <v>42</v>
      </c>
      <c r="L230" s="3" t="s">
        <v>41</v>
      </c>
    </row>
    <row r="231" spans="1:12" ht="57.6">
      <c r="A231" s="3" t="s">
        <v>4261</v>
      </c>
      <c r="B231" s="3" t="s">
        <v>4262</v>
      </c>
      <c r="C231" s="3" t="s">
        <v>327</v>
      </c>
      <c r="D231" s="3" t="s">
        <v>46</v>
      </c>
      <c r="E231" s="3" t="s">
        <v>3555</v>
      </c>
      <c r="F231" s="3" t="s">
        <v>3556</v>
      </c>
      <c r="G231" s="3" t="s">
        <v>4263</v>
      </c>
      <c r="H231" s="3" t="str">
        <f>HYPERLINK("http://www.jccm.es/sede/tramite/KVF","AYUDAS A LA MODERNIZACION Y TRANSFORMACION DE REGADIOS")</f>
        <v>AYUDAS A LA MODERNIZACION Y TRANSFORMACION DE REGADIOS</v>
      </c>
      <c r="I231" s="3" t="s">
        <v>41</v>
      </c>
      <c r="J231" s="3" t="s">
        <v>41</v>
      </c>
      <c r="K231" s="3" t="s">
        <v>42</v>
      </c>
      <c r="L231" s="3" t="s">
        <v>41</v>
      </c>
    </row>
    <row r="232" spans="1:12" ht="57.6">
      <c r="A232" s="3" t="s">
        <v>4264</v>
      </c>
      <c r="B232" s="3" t="s">
        <v>4265</v>
      </c>
      <c r="C232" s="3" t="s">
        <v>327</v>
      </c>
      <c r="D232" s="3" t="s">
        <v>46</v>
      </c>
      <c r="E232" s="3" t="s">
        <v>3555</v>
      </c>
      <c r="F232" s="3" t="s">
        <v>3556</v>
      </c>
      <c r="G232" s="3" t="s">
        <v>4266</v>
      </c>
      <c r="H232" s="3" t="str">
        <f>HYPERLINK("http://www.jccm.es/sede/tramite/KVG","PAGO AYUDAS A LA MODERNIZACION Y TRANSFORMACION DE REGADIOS")</f>
        <v>PAGO AYUDAS A LA MODERNIZACION Y TRANSFORMACION DE REGADIOS</v>
      </c>
      <c r="I232" s="3" t="s">
        <v>41</v>
      </c>
      <c r="J232" s="3" t="s">
        <v>41</v>
      </c>
      <c r="K232" s="3" t="s">
        <v>42</v>
      </c>
      <c r="L232" s="3" t="s">
        <v>41</v>
      </c>
    </row>
    <row r="233" spans="1:12" ht="57.6">
      <c r="A233" s="3" t="s">
        <v>4267</v>
      </c>
      <c r="B233" s="3" t="s">
        <v>4268</v>
      </c>
      <c r="C233" s="3" t="s">
        <v>45</v>
      </c>
      <c r="D233" s="3" t="s">
        <v>46</v>
      </c>
      <c r="E233" s="3" t="s">
        <v>3555</v>
      </c>
      <c r="F233" s="3" t="s">
        <v>3616</v>
      </c>
      <c r="G233" s="3" t="s">
        <v>4269</v>
      </c>
      <c r="H233" s="3" t="str">
        <f>HYPERLINK("http://www.jccm.es/sede/tramite/KW7","PRESENTACION DOCUMENTACION DEL SALDO DE LA AYUDA A LA DESTILACION DE SUBPRODUCTOS")</f>
        <v>PRESENTACION DOCUMENTACION DEL SALDO DE LA AYUDA A LA DESTILACION DE SUBPRODUCTOS</v>
      </c>
      <c r="I233" s="3" t="s">
        <v>41</v>
      </c>
      <c r="J233" s="3" t="s">
        <v>41</v>
      </c>
      <c r="K233" s="3" t="s">
        <v>42</v>
      </c>
      <c r="L233" s="3" t="s">
        <v>41</v>
      </c>
    </row>
    <row r="234" spans="1:12" ht="57.6">
      <c r="A234" s="3" t="s">
        <v>4270</v>
      </c>
      <c r="B234" s="3" t="s">
        <v>4271</v>
      </c>
      <c r="C234" s="3" t="s">
        <v>45</v>
      </c>
      <c r="D234" s="3" t="s">
        <v>46</v>
      </c>
      <c r="E234" s="3" t="s">
        <v>3555</v>
      </c>
      <c r="F234" s="3" t="s">
        <v>3616</v>
      </c>
      <c r="G234" s="3" t="s">
        <v>4272</v>
      </c>
      <c r="H234" s="3" t="str">
        <f>HYPERLINK("http://www.jccm.es/sede/tramite/KW6","PRESENTACION SOLICITUDES DE AYUDA A LA DESTILACION DE SUBPRODUCTOS")</f>
        <v>PRESENTACION SOLICITUDES DE AYUDA A LA DESTILACION DE SUBPRODUCTOS</v>
      </c>
      <c r="I234" s="3" t="s">
        <v>41</v>
      </c>
      <c r="J234" s="3" t="s">
        <v>41</v>
      </c>
      <c r="K234" s="3" t="s">
        <v>42</v>
      </c>
      <c r="L234" s="3" t="s">
        <v>41</v>
      </c>
    </row>
    <row r="235" spans="1:12" ht="80.45">
      <c r="A235" s="3" t="s">
        <v>4273</v>
      </c>
      <c r="B235" s="3" t="s">
        <v>4274</v>
      </c>
      <c r="C235" s="3" t="s">
        <v>51</v>
      </c>
      <c r="D235" s="3" t="s">
        <v>46</v>
      </c>
      <c r="E235" s="3" t="s">
        <v>3555</v>
      </c>
      <c r="F235" s="3" t="s">
        <v>3697</v>
      </c>
      <c r="G235" s="3" t="s">
        <v>4275</v>
      </c>
      <c r="H235" s="3" t="str">
        <f>HYPERLINK("http://www.jccm.es/sede/tramite/L07","MODIFICACION DE LA RESOLUCION DE LA AYUDA PARA ACCIONES DE CARACTER PREVENTIVO DESTINADAS A EVITAR DAÑOS OCASIONADOS POR EL LOBO IBERICO EN LA PROVINCIA DE GUADALAJARA.")</f>
        <v>MODIFICACION DE LA RESOLUCION DE LA AYUDA PARA ACCIONES DE CARACTER PREVENTIVO DESTINADAS A EVITAR DAÑOS OCASIONADOS POR EL LOBO IBERICO EN LA PROVINCIA DE GUADALAJARA.</v>
      </c>
      <c r="I235" s="3" t="s">
        <v>42</v>
      </c>
      <c r="J235" s="3" t="s">
        <v>41</v>
      </c>
      <c r="K235" s="3" t="s">
        <v>42</v>
      </c>
      <c r="L235" s="3" t="s">
        <v>41</v>
      </c>
    </row>
    <row r="236" spans="1:12" ht="80.45">
      <c r="A236" s="3" t="s">
        <v>4276</v>
      </c>
      <c r="B236" s="3" t="s">
        <v>4277</v>
      </c>
      <c r="C236" s="3" t="s">
        <v>51</v>
      </c>
      <c r="D236" s="3" t="s">
        <v>46</v>
      </c>
      <c r="E236" s="3" t="s">
        <v>3555</v>
      </c>
      <c r="F236" s="3" t="s">
        <v>3697</v>
      </c>
      <c r="G236" s="3" t="s">
        <v>4278</v>
      </c>
      <c r="H236" s="3" t="str">
        <f>HYPERLINK("http://www.jccm.es/sede/tramite/L09","AMPLIACION DE PLAZO DE EJECUCION DE LAS AYUDAS PARA ACCIONES DE CARACTER PREVENTIVO DESTINADAS A EVITAR DAÑOS OCASIONADOS POR EL LOBO IBERICO EN LA PROVINCIA DE GUADALAJARA")</f>
        <v>AMPLIACION DE PLAZO DE EJECUCION DE LAS AYUDAS PARA ACCIONES DE CARACTER PREVENTIVO DESTINADAS A EVITAR DAÑOS OCASIONADOS POR EL LOBO IBERICO EN LA PROVINCIA DE GUADALAJARA</v>
      </c>
      <c r="I236" s="3" t="s">
        <v>42</v>
      </c>
      <c r="J236" s="3" t="s">
        <v>41</v>
      </c>
      <c r="K236" s="3" t="s">
        <v>42</v>
      </c>
      <c r="L236" s="3" t="s">
        <v>41</v>
      </c>
    </row>
    <row r="237" spans="1:12" ht="69">
      <c r="A237" s="3" t="s">
        <v>4279</v>
      </c>
      <c r="B237" s="3" t="s">
        <v>4280</v>
      </c>
      <c r="C237" s="3" t="s">
        <v>327</v>
      </c>
      <c r="D237" s="3" t="s">
        <v>46</v>
      </c>
      <c r="E237" s="3" t="s">
        <v>3555</v>
      </c>
      <c r="F237" s="3" t="s">
        <v>3566</v>
      </c>
      <c r="G237" s="3" t="s">
        <v>4281</v>
      </c>
      <c r="H237" s="3" t="str">
        <f>HYPERLINK("http://www.jccm.es/sede/tramite/L0V","PAGO DE AYUDAS DESTINADAS A PROMOVER LA COOPERACION INNOVADORA MEDIANTE GRUPOS OPERATIVOS Y REALIZACION DE PROYECTOS PILOTO.")</f>
        <v>PAGO DE AYUDAS DESTINADAS A PROMOVER LA COOPERACION INNOVADORA MEDIANTE GRUPOS OPERATIVOS Y REALIZACION DE PROYECTOS PILOTO.</v>
      </c>
      <c r="I237" s="3" t="s">
        <v>41</v>
      </c>
      <c r="J237" s="3" t="s">
        <v>41</v>
      </c>
      <c r="K237" s="3" t="s">
        <v>42</v>
      </c>
      <c r="L237" s="3" t="s">
        <v>41</v>
      </c>
    </row>
    <row r="238" spans="1:12" ht="57.6">
      <c r="A238" s="3" t="s">
        <v>4282</v>
      </c>
      <c r="B238" s="3" t="s">
        <v>4283</v>
      </c>
      <c r="C238" s="3" t="s">
        <v>327</v>
      </c>
      <c r="D238" s="3" t="s">
        <v>46</v>
      </c>
      <c r="E238" s="3" t="s">
        <v>3555</v>
      </c>
      <c r="F238" s="3" t="s">
        <v>3566</v>
      </c>
      <c r="G238" s="3" t="s">
        <v>4284</v>
      </c>
      <c r="H238" s="3" t="str">
        <f>HYPERLINK("http://www.jccm.es/sede/tramite/LKI","PAGO POR ANTICIPO.")</f>
        <v>PAGO POR ANTICIPO.</v>
      </c>
      <c r="I238" s="3" t="s">
        <v>41</v>
      </c>
      <c r="J238" s="3" t="s">
        <v>41</v>
      </c>
      <c r="K238" s="3" t="s">
        <v>42</v>
      </c>
      <c r="L238" s="3" t="s">
        <v>41</v>
      </c>
    </row>
    <row r="239" spans="1:12" ht="103.5">
      <c r="A239" s="3" t="s">
        <v>4285</v>
      </c>
      <c r="B239" s="3" t="s">
        <v>4286</v>
      </c>
      <c r="C239" s="3" t="s">
        <v>327</v>
      </c>
      <c r="D239" s="3" t="s">
        <v>46</v>
      </c>
      <c r="E239" s="3" t="s">
        <v>3555</v>
      </c>
      <c r="F239" s="3" t="s">
        <v>3566</v>
      </c>
      <c r="G239" s="3" t="s">
        <v>4287</v>
      </c>
      <c r="H239" s="3" t="str">
        <f>HYPERLINK("http://www.jccm.es/sede/tramite/L0T","AYUDAS A LA COOPERACION INNOVADORA MEDIANTE LA CONSTITUCION DE GRUPOS OPERATIVOS DE INNOVACION Y LA REALIZACION DE PROYECTOS PILOTO INNOVADORES EN LA PRODUCCION PRIMARIA AGRICOLA Y GANADERA.")</f>
        <v>AYUDAS A LA COOPERACION INNOVADORA MEDIANTE LA CONSTITUCION DE GRUPOS OPERATIVOS DE INNOVACION Y LA REALIZACION DE PROYECTOS PILOTO INNOVADORES EN LA PRODUCCION PRIMARIA AGRICOLA Y GANADERA.</v>
      </c>
      <c r="I239" s="3" t="s">
        <v>41</v>
      </c>
      <c r="J239" s="3" t="s">
        <v>41</v>
      </c>
      <c r="K239" s="3" t="s">
        <v>42</v>
      </c>
      <c r="L239" s="3" t="s">
        <v>41</v>
      </c>
    </row>
    <row r="240" spans="1:12" ht="57.6">
      <c r="A240" s="3" t="s">
        <v>4288</v>
      </c>
      <c r="B240" s="3" t="s">
        <v>4289</v>
      </c>
      <c r="C240" s="3" t="s">
        <v>327</v>
      </c>
      <c r="D240" s="3" t="s">
        <v>46</v>
      </c>
      <c r="E240" s="3" t="s">
        <v>3555</v>
      </c>
      <c r="F240" s="3" t="s">
        <v>3566</v>
      </c>
      <c r="G240" s="3" t="s">
        <v>4290</v>
      </c>
      <c r="H240" s="3" t="str">
        <f>HYPERLINK("http://www.jccm.es/sede/tramite/L1M","COMUNICACION PREVIA DE LA FORMACION SANITARIA.")</f>
        <v>COMUNICACION PREVIA DE LA FORMACION SANITARIA.</v>
      </c>
      <c r="I240" s="3" t="s">
        <v>41</v>
      </c>
      <c r="J240" s="3" t="s">
        <v>41</v>
      </c>
      <c r="K240" s="3" t="s">
        <v>42</v>
      </c>
      <c r="L240" s="3" t="s">
        <v>41</v>
      </c>
    </row>
    <row r="241" spans="1:12" ht="69">
      <c r="A241" s="3" t="s">
        <v>4291</v>
      </c>
      <c r="B241" s="3" t="s">
        <v>4292</v>
      </c>
      <c r="C241" s="3" t="s">
        <v>327</v>
      </c>
      <c r="D241" s="3" t="s">
        <v>46</v>
      </c>
      <c r="E241" s="3" t="s">
        <v>3555</v>
      </c>
      <c r="F241" s="3" t="s">
        <v>3566</v>
      </c>
      <c r="G241" s="3" t="s">
        <v>4293</v>
      </c>
      <c r="H241" s="3" t="str">
        <f>HYPERLINK("http://www.jccm.es/sede/tramite/L1L","SOLICITUD DE AYUDA A LAS ADSG PARA LA EJECUCION DE LOS PROGRAMAS ZOOTECNICO-SANITARIO REGULADAS POR EL CAPITULO II DE LA ORDEN 29/2018.")</f>
        <v>SOLICITUD DE AYUDA A LAS ADSG PARA LA EJECUCION DE LOS PROGRAMAS ZOOTECNICO-SANITARIO REGULADAS POR EL CAPITULO II DE LA ORDEN 29/2018.</v>
      </c>
      <c r="I241" s="3" t="s">
        <v>41</v>
      </c>
      <c r="J241" s="3" t="s">
        <v>41</v>
      </c>
      <c r="K241" s="3" t="s">
        <v>42</v>
      </c>
      <c r="L241" s="3" t="s">
        <v>41</v>
      </c>
    </row>
    <row r="242" spans="1:12" ht="57.6">
      <c r="A242" s="3" t="s">
        <v>4294</v>
      </c>
      <c r="B242" s="3" t="s">
        <v>4295</v>
      </c>
      <c r="C242" s="3" t="s">
        <v>327</v>
      </c>
      <c r="D242" s="3" t="s">
        <v>46</v>
      </c>
      <c r="E242" s="3" t="s">
        <v>3555</v>
      </c>
      <c r="F242" s="3" t="s">
        <v>3566</v>
      </c>
      <c r="G242" s="3" t="s">
        <v>4296</v>
      </c>
      <c r="H242" s="3" t="str">
        <f>HYPERLINK("http://www.jccm.es/sede/tramite/L1N","JUSTIFICACION DE LOS GASTOS DE EJECUCION DE LAS ACTIVIDADES SUBVENCIONABLES")</f>
        <v>JUSTIFICACION DE LOS GASTOS DE EJECUCION DE LAS ACTIVIDADES SUBVENCIONABLES</v>
      </c>
      <c r="I242" s="3" t="s">
        <v>41</v>
      </c>
      <c r="J242" s="3" t="s">
        <v>41</v>
      </c>
      <c r="K242" s="3" t="s">
        <v>42</v>
      </c>
      <c r="L242" s="3" t="s">
        <v>41</v>
      </c>
    </row>
    <row r="243" spans="1:12" ht="92.1">
      <c r="A243" s="3" t="s">
        <v>4297</v>
      </c>
      <c r="B243" s="3" t="s">
        <v>4298</v>
      </c>
      <c r="C243" s="3" t="s">
        <v>70</v>
      </c>
      <c r="D243" s="3" t="s">
        <v>46</v>
      </c>
      <c r="E243" s="3" t="s">
        <v>3555</v>
      </c>
      <c r="F243" s="3" t="s">
        <v>3555</v>
      </c>
      <c r="G243" s="3" t="s">
        <v>4299</v>
      </c>
      <c r="H243" s="3" t="str">
        <f>HYPERLINK("http://www.jccm.es/sede/tramite/LRQ","PRESENTACION DEL PARTE MENSUAL DE INCIDENCIAS CON LOS RESULTADOS DE LOS CONTROLES EFECTUADOS POR PARTE DE LAS AGRUPACIONES DE SANIDAD VEGETAL DE CASTILLA-LA MANCHA")</f>
        <v>PRESENTACION DEL PARTE MENSUAL DE INCIDENCIAS CON LOS RESULTADOS DE LOS CONTROLES EFECTUADOS POR PARTE DE LAS AGRUPACIONES DE SANIDAD VEGETAL DE CASTILLA-LA MANCHA</v>
      </c>
      <c r="I243" s="3" t="s">
        <v>41</v>
      </c>
      <c r="J243" s="3" t="s">
        <v>41</v>
      </c>
      <c r="K243" s="3" t="s">
        <v>42</v>
      </c>
      <c r="L243" s="3" t="s">
        <v>41</v>
      </c>
    </row>
    <row r="244" spans="1:12" ht="80.45">
      <c r="A244" s="3" t="s">
        <v>4300</v>
      </c>
      <c r="B244" s="3" t="s">
        <v>4301</v>
      </c>
      <c r="C244" s="3" t="s">
        <v>70</v>
      </c>
      <c r="D244" s="3" t="s">
        <v>46</v>
      </c>
      <c r="E244" s="3" t="s">
        <v>3555</v>
      </c>
      <c r="F244" s="3" t="s">
        <v>3566</v>
      </c>
      <c r="G244" s="3" t="s">
        <v>4302</v>
      </c>
      <c r="H244" s="3" t="str">
        <f>HYPERLINK("http://www.jccm.es/sede/tramite/L2L","SUBVENCIONES PARA LA PRESTACION DE SERVICIOS DE ASESORAMIENTO EN GESTION INTEGRADA DE PLAGAS POR PARTE DE LAS AGRUPACIONES DE SANIDAD VEGETAL EN CASTILLA-LA MANCHA")</f>
        <v>SUBVENCIONES PARA LA PRESTACION DE SERVICIOS DE ASESORAMIENTO EN GESTION INTEGRADA DE PLAGAS POR PARTE DE LAS AGRUPACIONES DE SANIDAD VEGETAL EN CASTILLA-LA MANCHA</v>
      </c>
      <c r="I244" s="3" t="s">
        <v>41</v>
      </c>
      <c r="J244" s="3" t="s">
        <v>41</v>
      </c>
      <c r="K244" s="3" t="s">
        <v>42</v>
      </c>
      <c r="L244" s="3" t="s">
        <v>41</v>
      </c>
    </row>
    <row r="245" spans="1:12" ht="103.5">
      <c r="A245" s="3" t="s">
        <v>4303</v>
      </c>
      <c r="B245" s="3" t="s">
        <v>4304</v>
      </c>
      <c r="C245" s="3" t="s">
        <v>327</v>
      </c>
      <c r="D245" s="3" t="s">
        <v>46</v>
      </c>
      <c r="E245" s="3" t="s">
        <v>3555</v>
      </c>
      <c r="F245" s="3" t="s">
        <v>3616</v>
      </c>
      <c r="G245" s="3" t="s">
        <v>4305</v>
      </c>
      <c r="H245" s="3" t="str">
        <f>HYPERLINK("http://www.jccm.es/sede/tramite/L5P","SOLICITUD DEL PAGO DE LAS AYUDAS PARA LA COOPERACION ENTRE LOS AGENTES DE LA CADENA DE SUMINISTRO PARA LA CREACION Y EL DESARROLLO DE CADENAS DE DISTRIBUCION CORTAS Y MERCADOS LOCALES.")</f>
        <v>SOLICITUD DEL PAGO DE LAS AYUDAS PARA LA COOPERACION ENTRE LOS AGENTES DE LA CADENA DE SUMINISTRO PARA LA CREACION Y EL DESARROLLO DE CADENAS DE DISTRIBUCION CORTAS Y MERCADOS LOCALES.</v>
      </c>
      <c r="I245" s="3" t="s">
        <v>41</v>
      </c>
      <c r="J245" s="3" t="s">
        <v>41</v>
      </c>
      <c r="K245" s="3" t="s">
        <v>42</v>
      </c>
      <c r="L245" s="3" t="s">
        <v>41</v>
      </c>
    </row>
    <row r="246" spans="1:12" ht="92.1">
      <c r="A246" s="3" t="s">
        <v>4306</v>
      </c>
      <c r="B246" s="3" t="s">
        <v>4307</v>
      </c>
      <c r="C246" s="3" t="s">
        <v>327</v>
      </c>
      <c r="D246" s="3" t="s">
        <v>46</v>
      </c>
      <c r="E246" s="3" t="s">
        <v>3555</v>
      </c>
      <c r="F246" s="3" t="s">
        <v>3616</v>
      </c>
      <c r="G246" s="3" t="s">
        <v>4308</v>
      </c>
      <c r="H246" s="3" t="str">
        <f>HYPERLINK("http://www.jccm.es/sede/tramite/L5O","SOLICITUD  DE LAS AYUDAS PARA LA COOPERACION ENTRE LOS AGENTES DE LA CADENA DE SUMINISTRO PARA LA CREACION Y EL DESARROLLO DE CADENAS DE DISTRIBUCION CORTAS Y MERCADOS LOCALES")</f>
        <v>SOLICITUD  DE LAS AYUDAS PARA LA COOPERACION ENTRE LOS AGENTES DE LA CADENA DE SUMINISTRO PARA LA CREACION Y EL DESARROLLO DE CADENAS DE DISTRIBUCION CORTAS Y MERCADOS LOCALES</v>
      </c>
      <c r="I246" s="3" t="s">
        <v>41</v>
      </c>
      <c r="J246" s="3" t="s">
        <v>41</v>
      </c>
      <c r="K246" s="3" t="s">
        <v>42</v>
      </c>
      <c r="L246" s="3" t="s">
        <v>41</v>
      </c>
    </row>
    <row r="247" spans="1:12" ht="114.95">
      <c r="A247" s="3" t="s">
        <v>4309</v>
      </c>
      <c r="B247" s="3" t="s">
        <v>4310</v>
      </c>
      <c r="C247" s="3" t="s">
        <v>4311</v>
      </c>
      <c r="D247" s="3" t="s">
        <v>46</v>
      </c>
      <c r="E247" s="3" t="s">
        <v>3555</v>
      </c>
      <c r="F247" s="3" t="s">
        <v>3566</v>
      </c>
      <c r="G247" s="3" t="s">
        <v>4312</v>
      </c>
      <c r="H247" s="3" t="str">
        <f>HYPERLINK("http://www.jccm.es/sede/tramite/L64","DOCUMENTACION JUSTIFICATIVA DE LAS AYUDAS PARA EL CONTROL DE RENDIMIENTO DE LAS HEMBRAS LECHERAS EN CASTILLA-LA MANCHA")</f>
        <v>DOCUMENTACION JUSTIFICATIVA DE LAS AYUDAS PARA EL CONTROL DE RENDIMIENTO DE LAS HEMBRAS LECHERAS EN CASTILLA-LA MANCHA</v>
      </c>
      <c r="I247" s="3" t="s">
        <v>41</v>
      </c>
      <c r="J247" s="3" t="s">
        <v>41</v>
      </c>
      <c r="K247" s="3" t="s">
        <v>42</v>
      </c>
      <c r="L247" s="3" t="s">
        <v>41</v>
      </c>
    </row>
    <row r="248" spans="1:12" ht="114.95">
      <c r="A248" s="3" t="s">
        <v>4313</v>
      </c>
      <c r="B248" s="3" t="s">
        <v>4314</v>
      </c>
      <c r="C248" s="3" t="s">
        <v>4311</v>
      </c>
      <c r="D248" s="3" t="s">
        <v>46</v>
      </c>
      <c r="E248" s="3" t="s">
        <v>3555</v>
      </c>
      <c r="F248" s="3" t="s">
        <v>3566</v>
      </c>
      <c r="G248" s="3" t="s">
        <v>4315</v>
      </c>
      <c r="H248" s="3" t="str">
        <f>HYPERLINK("http://www.jccm.es/sede/tramite/L63","SOLICITUD DE AYUDAS PARA EL CONTROL DE RENDIMIENTO DE LAS HEMBRAS LECHERAS EN CASTILLA-LA MANCHA")</f>
        <v>SOLICITUD DE AYUDAS PARA EL CONTROL DE RENDIMIENTO DE LAS HEMBRAS LECHERAS EN CASTILLA-LA MANCHA</v>
      </c>
      <c r="I248" s="3" t="s">
        <v>41</v>
      </c>
      <c r="J248" s="3" t="s">
        <v>41</v>
      </c>
      <c r="K248" s="3" t="s">
        <v>42</v>
      </c>
      <c r="L248" s="3" t="s">
        <v>41</v>
      </c>
    </row>
    <row r="249" spans="1:12" ht="69">
      <c r="A249" s="3" t="s">
        <v>4316</v>
      </c>
      <c r="B249" s="3" t="s">
        <v>4317</v>
      </c>
      <c r="C249" s="3" t="s">
        <v>327</v>
      </c>
      <c r="D249" s="3" t="s">
        <v>46</v>
      </c>
      <c r="E249" s="3" t="s">
        <v>3555</v>
      </c>
      <c r="F249" s="3" t="s">
        <v>3697</v>
      </c>
      <c r="G249" s="3" t="s">
        <v>4318</v>
      </c>
      <c r="H249" s="3" t="str">
        <f>HYPERLINK("http://www.jccm.es/sede/tramite/L7Y","SOLICITUD DE AYUDAS PARA LA REFORESTACION Y CREACION DE SUPERFICIES FORESTALES.")</f>
        <v>SOLICITUD DE AYUDAS PARA LA REFORESTACION Y CREACION DE SUPERFICIES FORESTALES.</v>
      </c>
      <c r="I249" s="3" t="s">
        <v>42</v>
      </c>
      <c r="J249" s="3" t="s">
        <v>41</v>
      </c>
      <c r="K249" s="3" t="s">
        <v>42</v>
      </c>
      <c r="L249" s="3" t="s">
        <v>41</v>
      </c>
    </row>
    <row r="250" spans="1:12" ht="92.1">
      <c r="A250" s="3" t="s">
        <v>4319</v>
      </c>
      <c r="B250" s="3" t="s">
        <v>4320</v>
      </c>
      <c r="C250" s="3" t="s">
        <v>327</v>
      </c>
      <c r="D250" s="3" t="s">
        <v>46</v>
      </c>
      <c r="E250" s="3" t="s">
        <v>3555</v>
      </c>
      <c r="F250" s="3" t="s">
        <v>3697</v>
      </c>
      <c r="G250" s="3" t="s">
        <v>4321</v>
      </c>
      <c r="H250" s="3" t="str">
        <f>HYPERLINK("http://www.jccm.es/sede/tramite/L7Z","COMUNICACION DE CAMBIO DE TITULARIDAD Y ACEPTACION EXPRESA POR EL NUEVO TITULAR DE LAS CONDICIONES EN LAS QUE SE CONCEDIO LA AYUDA PARA LA FORESTACION Y CREACION DE SUPERFICIES FORESTALES.")</f>
        <v>COMUNICACION DE CAMBIO DE TITULARIDAD Y ACEPTACION EXPRESA POR EL NUEVO TITULAR DE LAS CONDICIONES EN LAS QUE SE CONCEDIO LA AYUDA PARA LA FORESTACION Y CREACION DE SUPERFICIES FORESTALES.</v>
      </c>
      <c r="I250" s="3" t="s">
        <v>42</v>
      </c>
      <c r="J250" s="3" t="s">
        <v>41</v>
      </c>
      <c r="K250" s="3" t="s">
        <v>42</v>
      </c>
      <c r="L250" s="3" t="s">
        <v>41</v>
      </c>
    </row>
    <row r="251" spans="1:12" ht="69">
      <c r="A251" s="3" t="s">
        <v>4322</v>
      </c>
      <c r="B251" s="3" t="s">
        <v>4323</v>
      </c>
      <c r="C251" s="3" t="s">
        <v>327</v>
      </c>
      <c r="D251" s="3" t="s">
        <v>46</v>
      </c>
      <c r="E251" s="3" t="s">
        <v>3555</v>
      </c>
      <c r="F251" s="3" t="s">
        <v>3697</v>
      </c>
      <c r="G251" s="3" t="s">
        <v>4324</v>
      </c>
      <c r="H251" s="3" t="str">
        <f>HYPERLINK("http://www.jccm.es/sede/tramite/L82","SOLICITUD DE PAGO DE LA AYUDA PARA LA REFORESTACION Y  CREACION DE SUPERFICIES FORESTALES.")</f>
        <v>SOLICITUD DE PAGO DE LA AYUDA PARA LA REFORESTACION Y  CREACION DE SUPERFICIES FORESTALES.</v>
      </c>
      <c r="I251" s="3" t="s">
        <v>42</v>
      </c>
      <c r="J251" s="3" t="s">
        <v>41</v>
      </c>
      <c r="K251" s="3" t="s">
        <v>42</v>
      </c>
      <c r="L251" s="3" t="s">
        <v>41</v>
      </c>
    </row>
    <row r="252" spans="1:12" ht="69">
      <c r="A252" s="3" t="s">
        <v>4325</v>
      </c>
      <c r="B252" s="3" t="s">
        <v>4326</v>
      </c>
      <c r="C252" s="3" t="s">
        <v>51</v>
      </c>
      <c r="D252" s="3" t="s">
        <v>46</v>
      </c>
      <c r="E252" s="3" t="s">
        <v>3555</v>
      </c>
      <c r="F252" s="3" t="s">
        <v>3697</v>
      </c>
      <c r="G252" s="3" t="s">
        <v>4327</v>
      </c>
      <c r="H252" s="3" t="str">
        <f>HYPERLINK("http://www.jccm.es/sede/tramite/L80","SOLICITUD DE MODIFICACION DE LA RESOLUCION DE LA AYUDA PARA LA REFORESTACION Y CREACION DE SUPERFICIES FORESTALES")</f>
        <v>SOLICITUD DE MODIFICACION DE LA RESOLUCION DE LA AYUDA PARA LA REFORESTACION Y CREACION DE SUPERFICIES FORESTALES</v>
      </c>
      <c r="I252" s="3" t="s">
        <v>42</v>
      </c>
      <c r="J252" s="3" t="s">
        <v>41</v>
      </c>
      <c r="K252" s="3" t="s">
        <v>42</v>
      </c>
      <c r="L252" s="3" t="s">
        <v>41</v>
      </c>
    </row>
    <row r="253" spans="1:12" ht="69">
      <c r="A253" s="3" t="s">
        <v>4328</v>
      </c>
      <c r="B253" s="3" t="s">
        <v>4329</v>
      </c>
      <c r="C253" s="3" t="s">
        <v>51</v>
      </c>
      <c r="D253" s="3" t="s">
        <v>46</v>
      </c>
      <c r="E253" s="3" t="s">
        <v>3555</v>
      </c>
      <c r="F253" s="3" t="s">
        <v>3697</v>
      </c>
      <c r="G253" s="3" t="s">
        <v>4330</v>
      </c>
      <c r="H253" s="3" t="str">
        <f>HYPERLINK("http://www.jccm.es/sede/tramite/L81","SOLICITUD DE PRORROGA DE EJECUCION DE AYUDAS PARA LA REFORESTACION Y CREACION DE SUPERFICIES FORESTALES")</f>
        <v>SOLICITUD DE PRORROGA DE EJECUCION DE AYUDAS PARA LA REFORESTACION Y CREACION DE SUPERFICIES FORESTALES</v>
      </c>
      <c r="I253" s="3" t="s">
        <v>42</v>
      </c>
      <c r="J253" s="3" t="s">
        <v>41</v>
      </c>
      <c r="K253" s="3" t="s">
        <v>42</v>
      </c>
      <c r="L253" s="3" t="s">
        <v>41</v>
      </c>
    </row>
    <row r="254" spans="1:12" ht="57.6">
      <c r="A254" s="3" t="s">
        <v>4331</v>
      </c>
      <c r="B254" s="3" t="s">
        <v>4332</v>
      </c>
      <c r="C254" s="3" t="s">
        <v>327</v>
      </c>
      <c r="D254" s="3" t="s">
        <v>46</v>
      </c>
      <c r="E254" s="3" t="s">
        <v>3555</v>
      </c>
      <c r="F254" s="3" t="s">
        <v>3556</v>
      </c>
      <c r="G254" s="3" t="s">
        <v>4333</v>
      </c>
      <c r="H254" s="3" t="str">
        <f>HYPERLINK("http://www.jccm.es/sede/tramite/L87","SOLICITUD DE PAGO DE LOS SERVICIOS DE ASESORAMIENTO PRESTADOS")</f>
        <v>SOLICITUD DE PAGO DE LOS SERVICIOS DE ASESORAMIENTO PRESTADOS</v>
      </c>
      <c r="I254" s="3" t="s">
        <v>41</v>
      </c>
      <c r="J254" s="3" t="s">
        <v>41</v>
      </c>
      <c r="K254" s="3" t="s">
        <v>42</v>
      </c>
      <c r="L254" s="3" t="s">
        <v>41</v>
      </c>
    </row>
    <row r="255" spans="1:12" ht="45.95">
      <c r="A255" s="3" t="s">
        <v>4334</v>
      </c>
      <c r="B255" s="3" t="s">
        <v>4335</v>
      </c>
      <c r="C255" s="3" t="s">
        <v>327</v>
      </c>
      <c r="D255" s="3" t="s">
        <v>46</v>
      </c>
      <c r="E255" s="3" t="s">
        <v>3555</v>
      </c>
      <c r="F255" s="3" t="s">
        <v>4336</v>
      </c>
      <c r="G255" s="3" t="s">
        <v>4337</v>
      </c>
      <c r="H255" s="3" t="str">
        <f>HYPERLINK("http://www.jccm.es/sede/tramite/L86","SOLICITUD DE AYUDA PARA LA PRESTACION DE SERVICIOS DE ASESORAMIENTO")</f>
        <v>SOLICITUD DE AYUDA PARA LA PRESTACION DE SERVICIOS DE ASESORAMIENTO</v>
      </c>
      <c r="I255" s="3" t="s">
        <v>41</v>
      </c>
      <c r="J255" s="3" t="s">
        <v>41</v>
      </c>
      <c r="K255" s="3" t="s">
        <v>42</v>
      </c>
      <c r="L255" s="3" t="s">
        <v>41</v>
      </c>
    </row>
    <row r="256" spans="1:12" ht="80.45">
      <c r="A256" s="3" t="s">
        <v>4338</v>
      </c>
      <c r="B256" s="3" t="s">
        <v>4339</v>
      </c>
      <c r="C256" s="3" t="s">
        <v>327</v>
      </c>
      <c r="D256" s="3" t="s">
        <v>46</v>
      </c>
      <c r="E256" s="3" t="s">
        <v>3555</v>
      </c>
      <c r="F256" s="3" t="s">
        <v>3566</v>
      </c>
      <c r="G256" s="3" t="s">
        <v>4340</v>
      </c>
      <c r="H256" s="3" t="str">
        <f>HYPERLINK("http://www.jccm.es/sede/tramite/LA4","SOLICITUD DE PAGO AYUDAS DESTINADAS A LA CONSERVACION, USO Y DESARROLLO SOSTENIBLE DE LOS RECURSOS GENETICOS GANADEROS EN CASTILLA-LA MANCHA")</f>
        <v>SOLICITUD DE PAGO AYUDAS DESTINADAS A LA CONSERVACION, USO Y DESARROLLO SOSTENIBLE DE LOS RECURSOS GENETICOS GANADEROS EN CASTILLA-LA MANCHA</v>
      </c>
      <c r="I256" s="3" t="s">
        <v>41</v>
      </c>
      <c r="J256" s="3" t="s">
        <v>41</v>
      </c>
      <c r="K256" s="3" t="s">
        <v>42</v>
      </c>
      <c r="L256" s="3" t="s">
        <v>41</v>
      </c>
    </row>
    <row r="257" spans="1:12" ht="80.45">
      <c r="A257" s="3" t="s">
        <v>4341</v>
      </c>
      <c r="B257" s="3" t="s">
        <v>4342</v>
      </c>
      <c r="C257" s="3" t="s">
        <v>327</v>
      </c>
      <c r="D257" s="3" t="s">
        <v>46</v>
      </c>
      <c r="E257" s="3" t="s">
        <v>3555</v>
      </c>
      <c r="F257" s="3" t="s">
        <v>3566</v>
      </c>
      <c r="G257" s="3" t="s">
        <v>4343</v>
      </c>
      <c r="H257" s="3" t="str">
        <f>HYPERLINK("http://www.jccm.es/sede/tramite/LA3","SOLICITUD DE AYUDAS DESTINADAS A LA CONSERVACION, USO Y DESARROLLO SOSTENIBLE DE LOS RECURSOS GENETICOS GANADEROS EN CASTILLA-LA MANCHA")</f>
        <v>SOLICITUD DE AYUDAS DESTINADAS A LA CONSERVACION, USO Y DESARROLLO SOSTENIBLE DE LOS RECURSOS GENETICOS GANADEROS EN CASTILLA-LA MANCHA</v>
      </c>
      <c r="I257" s="3" t="s">
        <v>41</v>
      </c>
      <c r="J257" s="3" t="s">
        <v>41</v>
      </c>
      <c r="K257" s="3" t="s">
        <v>42</v>
      </c>
      <c r="L257" s="3" t="s">
        <v>41</v>
      </c>
    </row>
    <row r="258" spans="1:12" ht="80.45">
      <c r="A258" s="3" t="s">
        <v>4344</v>
      </c>
      <c r="B258" s="3" t="s">
        <v>4345</v>
      </c>
      <c r="C258" s="3" t="s">
        <v>327</v>
      </c>
      <c r="D258" s="3" t="s">
        <v>46</v>
      </c>
      <c r="E258" s="3" t="s">
        <v>3555</v>
      </c>
      <c r="F258" s="3" t="s">
        <v>3566</v>
      </c>
      <c r="G258" s="3" t="s">
        <v>4346</v>
      </c>
      <c r="H258" s="3" t="str">
        <f>HYPERLINK("http://www.jccm.es/sede/tramite/LAJ","SOLICITUD DE AYUDAS DESTINADAS A LA CONSERVACION DE RECURSOS AGRICOLAS AMENAZADOS DE EROSION GENETICA EN CASTILLA-LA MANCHA.")</f>
        <v>SOLICITUD DE AYUDAS DESTINADAS A LA CONSERVACION DE RECURSOS AGRICOLAS AMENAZADOS DE EROSION GENETICA EN CASTILLA-LA MANCHA.</v>
      </c>
      <c r="I258" s="3" t="s">
        <v>41</v>
      </c>
      <c r="J258" s="3" t="s">
        <v>41</v>
      </c>
      <c r="K258" s="3" t="s">
        <v>42</v>
      </c>
      <c r="L258" s="3" t="s">
        <v>41</v>
      </c>
    </row>
    <row r="259" spans="1:12" ht="92.1">
      <c r="A259" s="3" t="s">
        <v>4347</v>
      </c>
      <c r="B259" s="3" t="s">
        <v>4348</v>
      </c>
      <c r="C259" s="3" t="s">
        <v>4349</v>
      </c>
      <c r="D259" s="3" t="s">
        <v>46</v>
      </c>
      <c r="E259" s="3" t="s">
        <v>3555</v>
      </c>
      <c r="F259" s="3" t="s">
        <v>3616</v>
      </c>
      <c r="G259" s="3" t="s">
        <v>4350</v>
      </c>
      <c r="H259" s="3" t="str">
        <f>HYPERLINK("http://www.jccm.es/sede/tramite/LB3","LICITACION AYUDA PARA EL ALMACENAMIENTO DE ACEITE DE OLIVA")</f>
        <v>LICITACION AYUDA PARA EL ALMACENAMIENTO DE ACEITE DE OLIVA</v>
      </c>
      <c r="I259" s="3" t="s">
        <v>41</v>
      </c>
      <c r="J259" s="3" t="s">
        <v>41</v>
      </c>
      <c r="K259" s="3" t="s">
        <v>42</v>
      </c>
      <c r="L259" s="3" t="s">
        <v>41</v>
      </c>
    </row>
    <row r="260" spans="1:12" ht="92.1">
      <c r="A260" s="3" t="s">
        <v>4351</v>
      </c>
      <c r="B260" s="3" t="s">
        <v>4352</v>
      </c>
      <c r="C260" s="3" t="s">
        <v>4349</v>
      </c>
      <c r="D260" s="3" t="s">
        <v>46</v>
      </c>
      <c r="E260" s="3" t="s">
        <v>3555</v>
      </c>
      <c r="F260" s="3" t="s">
        <v>3616</v>
      </c>
      <c r="G260" s="3" t="s">
        <v>4353</v>
      </c>
      <c r="H260" s="3" t="str">
        <f>HYPERLINK("http://www.jccm.es/sede/tramite/LDU","SOLICITUD DE PAGO DE LA AYUDA PARA EL ALMACENAMIENTO DE ACEITE DE OLIVA")</f>
        <v>SOLICITUD DE PAGO DE LA AYUDA PARA EL ALMACENAMIENTO DE ACEITE DE OLIVA</v>
      </c>
      <c r="I260" s="3" t="s">
        <v>41</v>
      </c>
      <c r="J260" s="3" t="s">
        <v>41</v>
      </c>
      <c r="K260" s="3" t="s">
        <v>42</v>
      </c>
      <c r="L260" s="3" t="s">
        <v>41</v>
      </c>
    </row>
    <row r="261" spans="1:12" ht="57.6">
      <c r="A261" s="3" t="s">
        <v>4354</v>
      </c>
      <c r="B261" s="3" t="s">
        <v>4355</v>
      </c>
      <c r="C261" s="3" t="s">
        <v>2406</v>
      </c>
      <c r="D261" s="3" t="s">
        <v>46</v>
      </c>
      <c r="E261" s="3" t="s">
        <v>3555</v>
      </c>
      <c r="F261" s="3" t="s">
        <v>3616</v>
      </c>
      <c r="G261" s="3" t="s">
        <v>4356</v>
      </c>
      <c r="H261" s="3" t="str">
        <f>HYPERLINK("http://www.jccm.es/sede/tramite/LC7","AYUDAS PARA LA ASISTENCIA A LA FERIA AGROALIMENTARIA ORGANIC FOOD IBERIA")</f>
        <v>AYUDAS PARA LA ASISTENCIA A LA FERIA AGROALIMENTARIA ORGANIC FOOD IBERIA</v>
      </c>
      <c r="I261" s="3" t="s">
        <v>42</v>
      </c>
      <c r="J261" s="3" t="s">
        <v>41</v>
      </c>
      <c r="K261" s="3" t="s">
        <v>42</v>
      </c>
      <c r="L261" s="3" t="s">
        <v>41</v>
      </c>
    </row>
    <row r="262" spans="1:12" ht="57.6">
      <c r="A262" s="3" t="s">
        <v>4357</v>
      </c>
      <c r="B262" s="3" t="s">
        <v>4358</v>
      </c>
      <c r="C262" s="3" t="s">
        <v>2406</v>
      </c>
      <c r="D262" s="3" t="s">
        <v>46</v>
      </c>
      <c r="E262" s="3" t="s">
        <v>3555</v>
      </c>
      <c r="F262" s="3" t="s">
        <v>3616</v>
      </c>
      <c r="G262" s="3" t="s">
        <v>4359</v>
      </c>
      <c r="H262" s="3" t="str">
        <f>HYPERLINK("http://www.jccm.es/sede/tramite/LC8","JUSTIFICACION DE LAS AYUDAS PARA LA ASISTENCIA A LA FERIA AGROALIMENTARIA ORGANIC FOOD IBERIA")</f>
        <v>JUSTIFICACION DE LAS AYUDAS PARA LA ASISTENCIA A LA FERIA AGROALIMENTARIA ORGANIC FOOD IBERIA</v>
      </c>
      <c r="I262" s="3" t="s">
        <v>42</v>
      </c>
      <c r="J262" s="3" t="s">
        <v>41</v>
      </c>
      <c r="K262" s="3" t="s">
        <v>42</v>
      </c>
      <c r="L262" s="3" t="s">
        <v>41</v>
      </c>
    </row>
    <row r="263" spans="1:12" ht="57.6">
      <c r="A263" s="3" t="s">
        <v>4360</v>
      </c>
      <c r="B263" s="3" t="s">
        <v>4361</v>
      </c>
      <c r="C263" s="3" t="s">
        <v>2026</v>
      </c>
      <c r="D263" s="3" t="s">
        <v>46</v>
      </c>
      <c r="E263" s="3" t="s">
        <v>3555</v>
      </c>
      <c r="F263" s="3" t="s">
        <v>3566</v>
      </c>
      <c r="G263" s="3" t="s">
        <v>4362</v>
      </c>
      <c r="H263" s="3" t="str">
        <f>HYPERLINK("http://www.jccm.es/sede/tramite/LE7","AYUDA  COSECHA EN VERDE")</f>
        <v>AYUDA  COSECHA EN VERDE</v>
      </c>
      <c r="I263" s="3" t="s">
        <v>41</v>
      </c>
      <c r="J263" s="3" t="s">
        <v>41</v>
      </c>
      <c r="K263" s="3" t="s">
        <v>42</v>
      </c>
      <c r="L263" s="3" t="s">
        <v>41</v>
      </c>
    </row>
    <row r="264" spans="1:12" ht="57.6">
      <c r="A264" s="3" t="s">
        <v>4363</v>
      </c>
      <c r="B264" s="3" t="s">
        <v>4364</v>
      </c>
      <c r="C264" s="3" t="s">
        <v>2026</v>
      </c>
      <c r="D264" s="3" t="s">
        <v>46</v>
      </c>
      <c r="E264" s="3" t="s">
        <v>3555</v>
      </c>
      <c r="F264" s="3" t="s">
        <v>3566</v>
      </c>
      <c r="G264" s="3" t="s">
        <v>4365</v>
      </c>
      <c r="H264" s="3" t="str">
        <f>HYPERLINK("http://www.jccm.es/sede/tramite/LE8","COMUNICACION EJECUCION Y PAGO DE LA AYUDA COSECHA EN VERDE")</f>
        <v>COMUNICACION EJECUCION Y PAGO DE LA AYUDA COSECHA EN VERDE</v>
      </c>
      <c r="I264" s="3" t="s">
        <v>41</v>
      </c>
      <c r="J264" s="3" t="s">
        <v>41</v>
      </c>
      <c r="K264" s="3" t="s">
        <v>42</v>
      </c>
      <c r="L264" s="3" t="s">
        <v>41</v>
      </c>
    </row>
    <row r="265" spans="1:12" ht="57.6">
      <c r="A265" s="3" t="s">
        <v>4366</v>
      </c>
      <c r="B265" s="3" t="s">
        <v>4367</v>
      </c>
      <c r="C265" s="3" t="s">
        <v>232</v>
      </c>
      <c r="D265" s="3" t="s">
        <v>46</v>
      </c>
      <c r="E265" s="3" t="s">
        <v>3555</v>
      </c>
      <c r="F265" s="3" t="s">
        <v>3556</v>
      </c>
      <c r="G265" s="3" t="s">
        <v>4368</v>
      </c>
      <c r="H265" s="3" t="str">
        <f>HYPERLINK("http://www.jccm.es/sede/tramite/LLC","SOLICITUD DE PAGO PARA LA REALIZACION DE ACTUACIONES DE EFICIENCIA ENERGETICA EN EXPLOTACIONES AGROPECUARIAS.")</f>
        <v>SOLICITUD DE PAGO PARA LA REALIZACION DE ACTUACIONES DE EFICIENCIA ENERGETICA EN EXPLOTACIONES AGROPECUARIAS.</v>
      </c>
      <c r="I265" s="3" t="s">
        <v>42</v>
      </c>
      <c r="J265" s="3" t="s">
        <v>41</v>
      </c>
      <c r="K265" s="3" t="s">
        <v>42</v>
      </c>
      <c r="L265" s="3" t="s">
        <v>41</v>
      </c>
    </row>
    <row r="266" spans="1:12" ht="57.6">
      <c r="A266" s="3" t="s">
        <v>4369</v>
      </c>
      <c r="B266" s="3" t="s">
        <v>4370</v>
      </c>
      <c r="C266" s="3" t="s">
        <v>232</v>
      </c>
      <c r="D266" s="3" t="s">
        <v>46</v>
      </c>
      <c r="E266" s="3" t="s">
        <v>3555</v>
      </c>
      <c r="F266" s="3" t="s">
        <v>3556</v>
      </c>
      <c r="G266" s="3" t="s">
        <v>4371</v>
      </c>
      <c r="H266" s="3" t="str">
        <f>HYPERLINK("http://www.jccm.es/sede/tramite/LLB","SOLICITUD DE AYUDA PARA LA REALIZACION DE ACTUACIONES DE EFICIENCIA ENERGETICA EN EXPLOTACIONES AGROPECUARIAS.")</f>
        <v>SOLICITUD DE AYUDA PARA LA REALIZACION DE ACTUACIONES DE EFICIENCIA ENERGETICA EN EXPLOTACIONES AGROPECUARIAS.</v>
      </c>
      <c r="I266" s="3" t="s">
        <v>42</v>
      </c>
      <c r="J266" s="3" t="s">
        <v>41</v>
      </c>
      <c r="K266" s="3" t="s">
        <v>42</v>
      </c>
      <c r="L266" s="3" t="s">
        <v>41</v>
      </c>
    </row>
    <row r="267" spans="1:12" ht="57.6">
      <c r="A267" s="3" t="s">
        <v>4372</v>
      </c>
      <c r="B267" s="3" t="s">
        <v>4373</v>
      </c>
      <c r="C267" s="3" t="s">
        <v>232</v>
      </c>
      <c r="D267" s="3" t="s">
        <v>46</v>
      </c>
      <c r="E267" s="3" t="s">
        <v>3555</v>
      </c>
      <c r="F267" s="3" t="s">
        <v>3556</v>
      </c>
      <c r="G267" s="3" t="s">
        <v>4374</v>
      </c>
      <c r="H267" s="3" t="str">
        <f>HYPERLINK("http://www.jccm.es/sede/tramite/LLQ","SOLICITUD DE PAGO DE AYUDA A INVERSIONES EN EXPLOTACIONES AGRICOLAS Y GANADERAS.")</f>
        <v>SOLICITUD DE PAGO DE AYUDA A INVERSIONES EN EXPLOTACIONES AGRICOLAS Y GANADERAS.</v>
      </c>
      <c r="I267" s="3" t="s">
        <v>41</v>
      </c>
      <c r="J267" s="3" t="s">
        <v>41</v>
      </c>
      <c r="K267" s="3" t="s">
        <v>42</v>
      </c>
      <c r="L267" s="3" t="s">
        <v>41</v>
      </c>
    </row>
    <row r="268" spans="1:12" ht="57.6">
      <c r="A268" s="3" t="s">
        <v>4375</v>
      </c>
      <c r="B268" s="3" t="s">
        <v>4376</v>
      </c>
      <c r="C268" s="3" t="s">
        <v>232</v>
      </c>
      <c r="D268" s="3" t="s">
        <v>46</v>
      </c>
      <c r="E268" s="3" t="s">
        <v>3555</v>
      </c>
      <c r="F268" s="3" t="s">
        <v>3556</v>
      </c>
      <c r="G268" s="3" t="s">
        <v>4377</v>
      </c>
      <c r="H268" s="3" t="str">
        <f>HYPERLINK("http://www.jccm.es/sede/tramite/LLP","SOLICITUD DE AYUDA A INVERSIONES EN EXPLOTACIONES AGRICOLAS Y GANADERAS.")</f>
        <v>SOLICITUD DE AYUDA A INVERSIONES EN EXPLOTACIONES AGRICOLAS Y GANADERAS.</v>
      </c>
      <c r="I268" s="3" t="s">
        <v>41</v>
      </c>
      <c r="J268" s="3" t="s">
        <v>41</v>
      </c>
      <c r="K268" s="3" t="s">
        <v>42</v>
      </c>
      <c r="L268" s="3" t="s">
        <v>41</v>
      </c>
    </row>
    <row r="269" spans="1:12" ht="69">
      <c r="A269" s="3" t="s">
        <v>4378</v>
      </c>
      <c r="B269" s="3" t="s">
        <v>4379</v>
      </c>
      <c r="C269" s="3" t="s">
        <v>327</v>
      </c>
      <c r="D269" s="3" t="s">
        <v>46</v>
      </c>
      <c r="E269" s="3" t="s">
        <v>3555</v>
      </c>
      <c r="F269" s="3" t="s">
        <v>3566</v>
      </c>
      <c r="G269" s="3" t="s">
        <v>4380</v>
      </c>
      <c r="H269" s="3" t="str">
        <f>HYPERLINK("http://www.jccm.es/sede/tramite/LOC","SOLICITUD AYUDA RECUPERACION DE POTENCIAL PRODUCTIVO DEL OLIVAR AFECTADO POR EL TEMPORAL FILOMENA EN CASTILLA-LA MANCHA")</f>
        <v>SOLICITUD AYUDA RECUPERACION DE POTENCIAL PRODUCTIVO DEL OLIVAR AFECTADO POR EL TEMPORAL FILOMENA EN CASTILLA-LA MANCHA</v>
      </c>
      <c r="I269" s="3" t="s">
        <v>41</v>
      </c>
      <c r="J269" s="3" t="s">
        <v>41</v>
      </c>
      <c r="K269" s="3" t="s">
        <v>42</v>
      </c>
      <c r="L269" s="3" t="s">
        <v>41</v>
      </c>
    </row>
    <row r="270" spans="1:12" ht="57.6">
      <c r="A270" s="3" t="s">
        <v>4381</v>
      </c>
      <c r="B270" s="3" t="s">
        <v>4382</v>
      </c>
      <c r="C270" s="3" t="s">
        <v>327</v>
      </c>
      <c r="D270" s="3" t="s">
        <v>46</v>
      </c>
      <c r="E270" s="3" t="s">
        <v>3555</v>
      </c>
      <c r="F270" s="3" t="s">
        <v>3566</v>
      </c>
      <c r="G270" s="3" t="s">
        <v>4383</v>
      </c>
      <c r="H270" s="3" t="str">
        <f>HYPERLINK("http://www.jccm.es/sede/tramite/LOD","DECLARACION DE FIN DE ACTUACIONES")</f>
        <v>DECLARACION DE FIN DE ACTUACIONES</v>
      </c>
      <c r="I270" s="3" t="s">
        <v>41</v>
      </c>
      <c r="J270" s="3" t="s">
        <v>41</v>
      </c>
      <c r="K270" s="3" t="s">
        <v>42</v>
      </c>
      <c r="L270" s="3" t="s">
        <v>41</v>
      </c>
    </row>
    <row r="271" spans="1:12" ht="103.5">
      <c r="A271" s="3" t="s">
        <v>4384</v>
      </c>
      <c r="B271" s="3" t="s">
        <v>4385</v>
      </c>
      <c r="C271" s="3" t="s">
        <v>232</v>
      </c>
      <c r="D271" s="3" t="s">
        <v>46</v>
      </c>
      <c r="E271" s="3" t="s">
        <v>3555</v>
      </c>
      <c r="F271" s="3" t="s">
        <v>3616</v>
      </c>
      <c r="G271" s="3" t="s">
        <v>4386</v>
      </c>
      <c r="H271" s="3" t="str">
        <f>HYPERLINK("http://www.jccm.es/sede/tramite/LS8","AYUDAS A INVERSIONES EN ACTIVIDADES DE TRANSFORMACION DE PRODUCTOS DE LA PESCA Y DE LA ACUICULTURA PARA EL PERIODO 2014-2020, FINANCIADAS POR EL FONDO EUROPEO MARITIMO Y DE LA PESCA (FEMP)")</f>
        <v>AYUDAS A INVERSIONES EN ACTIVIDADES DE TRANSFORMACION DE PRODUCTOS DE LA PESCA Y DE LA ACUICULTURA PARA EL PERIODO 2014-2020, FINANCIADAS POR EL FONDO EUROPEO MARITIMO Y DE LA PESCA (FEMP)</v>
      </c>
      <c r="I271" s="3" t="s">
        <v>41</v>
      </c>
      <c r="J271" s="3" t="s">
        <v>41</v>
      </c>
      <c r="K271" s="3" t="s">
        <v>42</v>
      </c>
      <c r="L271" s="3" t="s">
        <v>41</v>
      </c>
    </row>
    <row r="272" spans="1:12" ht="103.5">
      <c r="A272" s="3" t="s">
        <v>4387</v>
      </c>
      <c r="B272" s="3" t="s">
        <v>4388</v>
      </c>
      <c r="C272" s="3" t="s">
        <v>232</v>
      </c>
      <c r="D272" s="3" t="s">
        <v>46</v>
      </c>
      <c r="E272" s="3" t="s">
        <v>3555</v>
      </c>
      <c r="F272" s="3" t="s">
        <v>3616</v>
      </c>
      <c r="G272" s="3" t="s">
        <v>4389</v>
      </c>
      <c r="H272" s="3" t="str">
        <f>HYPERLINK("http://www.jccm.es/sede/tramite/LS6","MODIFICACION DE LA RESOLUCION DE CONCESION DE AYUDAS A INVERSIONES EN ACTIVIDADES DE TRANSFORMACION DE PRODUCTOS DE LA PESCA Y DE LA ACUICULTURA PARA EL PERIODO 2014-2020, FINANCIADAS POR FEMP.")</f>
        <v>MODIFICACION DE LA RESOLUCION DE CONCESION DE AYUDAS A INVERSIONES EN ACTIVIDADES DE TRANSFORMACION DE PRODUCTOS DE LA PESCA Y DE LA ACUICULTURA PARA EL PERIODO 2014-2020, FINANCIADAS POR FEMP.</v>
      </c>
      <c r="I272" s="3" t="s">
        <v>41</v>
      </c>
      <c r="J272" s="3" t="s">
        <v>41</v>
      </c>
      <c r="K272" s="3" t="s">
        <v>42</v>
      </c>
      <c r="L272" s="3" t="s">
        <v>41</v>
      </c>
    </row>
    <row r="273" spans="1:12" ht="103.5">
      <c r="A273" s="3" t="s">
        <v>4390</v>
      </c>
      <c r="B273" s="3" t="s">
        <v>4391</v>
      </c>
      <c r="C273" s="3" t="s">
        <v>232</v>
      </c>
      <c r="D273" s="3" t="s">
        <v>46</v>
      </c>
      <c r="E273" s="3" t="s">
        <v>3555</v>
      </c>
      <c r="F273" s="3" t="s">
        <v>3616</v>
      </c>
      <c r="G273" s="3" t="s">
        <v>4392</v>
      </c>
      <c r="H273" s="3" t="str">
        <f>HYPERLINK("http://www.jccm.es/sede/tramite/LS7","ACEPTACION DE LA RESOLUCION DE CONCESION DE AYUDAS A INVERSIONES EN ACTIVIDADES DE TRANSFORMACION DE PRODUCTOS DE LA PESCA Y DE LA ACUICULTURA PARA EL PERIODO 2014-2020, FINANCIADAS POR FEMP")</f>
        <v>ACEPTACION DE LA RESOLUCION DE CONCESION DE AYUDAS A INVERSIONES EN ACTIVIDADES DE TRANSFORMACION DE PRODUCTOS DE LA PESCA Y DE LA ACUICULTURA PARA EL PERIODO 2014-2020, FINANCIADAS POR FEMP</v>
      </c>
      <c r="I273" s="3" t="s">
        <v>41</v>
      </c>
      <c r="J273" s="3" t="s">
        <v>41</v>
      </c>
      <c r="K273" s="3" t="s">
        <v>42</v>
      </c>
      <c r="L273" s="3" t="s">
        <v>41</v>
      </c>
    </row>
    <row r="274" spans="1:12" ht="92.1">
      <c r="A274" s="3" t="s">
        <v>4393</v>
      </c>
      <c r="B274" s="3" t="s">
        <v>4394</v>
      </c>
      <c r="C274" s="3" t="s">
        <v>232</v>
      </c>
      <c r="D274" s="3" t="s">
        <v>46</v>
      </c>
      <c r="E274" s="3" t="s">
        <v>3555</v>
      </c>
      <c r="F274" s="3" t="s">
        <v>3616</v>
      </c>
      <c r="G274" s="3" t="s">
        <v>4395</v>
      </c>
      <c r="H274" s="3" t="str">
        <f>HYPERLINK("http://www.jccm.es/sede/tramite/LS9","SOLICITUD DE PAGO DE LAS AYUDAS A INVERSIONES EN ACTIVIDADES DE TRANSFORMACION DE PRODUCTOS DE LA PESCA Y DE LA ACUICULTURA PARA EL PERIODO 2014-2020, FINANCIADAS POR EL FEMP")</f>
        <v>SOLICITUD DE PAGO DE LAS AYUDAS A INVERSIONES EN ACTIVIDADES DE TRANSFORMACION DE PRODUCTOS DE LA PESCA Y DE LA ACUICULTURA PARA EL PERIODO 2014-2020, FINANCIADAS POR EL FEMP</v>
      </c>
      <c r="I274" s="3" t="s">
        <v>41</v>
      </c>
      <c r="J274" s="3" t="s">
        <v>41</v>
      </c>
      <c r="K274" s="3" t="s">
        <v>42</v>
      </c>
      <c r="L274" s="3" t="s">
        <v>41</v>
      </c>
    </row>
    <row r="275" spans="1:12" ht="92.1">
      <c r="A275" s="3" t="s">
        <v>4396</v>
      </c>
      <c r="B275" s="3" t="s">
        <v>4397</v>
      </c>
      <c r="C275" s="3" t="s">
        <v>4398</v>
      </c>
      <c r="D275" s="3" t="s">
        <v>46</v>
      </c>
      <c r="E275" s="3" t="s">
        <v>3555</v>
      </c>
      <c r="F275" s="3" t="s">
        <v>3616</v>
      </c>
      <c r="G275" s="3" t="s">
        <v>4399</v>
      </c>
      <c r="H275" s="3" t="str">
        <f>HYPERLINK("http://www.jccm.es/sede/tramite/LTX","AYUDAS AL ALMACENAMIENTO PRIVADO DE CARNE DE PORCINO")</f>
        <v>AYUDAS AL ALMACENAMIENTO PRIVADO DE CARNE DE PORCINO</v>
      </c>
      <c r="I275" s="3" t="s">
        <v>41</v>
      </c>
      <c r="J275" s="3" t="s">
        <v>41</v>
      </c>
      <c r="K275" s="3" t="s">
        <v>42</v>
      </c>
      <c r="L275" s="3" t="s">
        <v>41</v>
      </c>
    </row>
    <row r="276" spans="1:12" ht="92.1">
      <c r="A276" s="3" t="s">
        <v>4400</v>
      </c>
      <c r="B276" s="3" t="s">
        <v>4401</v>
      </c>
      <c r="C276" s="3" t="s">
        <v>4398</v>
      </c>
      <c r="D276" s="3" t="s">
        <v>46</v>
      </c>
      <c r="E276" s="3" t="s">
        <v>3555</v>
      </c>
      <c r="F276" s="3" t="s">
        <v>3616</v>
      </c>
      <c r="G276" s="3" t="s">
        <v>4402</v>
      </c>
      <c r="H276" s="3" t="str">
        <f>HYPERLINK("http://www.jccm.es/sede/tramite/LUC","SOLICITUD DE PAGO DE LA AYUDA PARA EL ALMACENAMIENTO DE CARNE DE PORCINO")</f>
        <v>SOLICITUD DE PAGO DE LA AYUDA PARA EL ALMACENAMIENTO DE CARNE DE PORCINO</v>
      </c>
      <c r="I276" s="3" t="s">
        <v>41</v>
      </c>
      <c r="J276" s="3" t="s">
        <v>41</v>
      </c>
      <c r="K276" s="3" t="s">
        <v>42</v>
      </c>
      <c r="L276" s="3" t="s">
        <v>41</v>
      </c>
    </row>
    <row r="277" spans="1:12" ht="92.1">
      <c r="A277" s="3" t="s">
        <v>4403</v>
      </c>
      <c r="B277" s="3" t="s">
        <v>4404</v>
      </c>
      <c r="C277" s="3" t="s">
        <v>327</v>
      </c>
      <c r="D277" s="3" t="s">
        <v>46</v>
      </c>
      <c r="E277" s="3" t="s">
        <v>3555</v>
      </c>
      <c r="F277" s="3" t="s">
        <v>3566</v>
      </c>
      <c r="G277" s="3" t="s">
        <v>4405</v>
      </c>
      <c r="H277" s="3" t="str">
        <f>HYPERLINK("http://www.jccm.es/sede/tramite/LUD","SOLICITUD DE AYUDA PARA INVERSIONES EN MATERIA DE BIOSEGURIDAD PARA LA MEJORA O CONSTRUCCION DE CENTROS DE LIMPIEZA Y DESINFECCION DE VEHICULOS DE TRANSPORTE POR CARRETERA DE GANADO")</f>
        <v>SOLICITUD DE AYUDA PARA INVERSIONES EN MATERIA DE BIOSEGURIDAD PARA LA MEJORA O CONSTRUCCION DE CENTROS DE LIMPIEZA Y DESINFECCION DE VEHICULOS DE TRANSPORTE POR CARRETERA DE GANADO</v>
      </c>
      <c r="I277" s="3" t="s">
        <v>41</v>
      </c>
      <c r="J277" s="3" t="s">
        <v>41</v>
      </c>
      <c r="K277" s="3" t="s">
        <v>42</v>
      </c>
      <c r="L277" s="3" t="s">
        <v>41</v>
      </c>
    </row>
    <row r="278" spans="1:12" ht="92.1">
      <c r="A278" s="3" t="s">
        <v>4406</v>
      </c>
      <c r="B278" s="3" t="s">
        <v>4407</v>
      </c>
      <c r="C278" s="3" t="s">
        <v>327</v>
      </c>
      <c r="D278" s="3" t="s">
        <v>46</v>
      </c>
      <c r="E278" s="3" t="s">
        <v>3555</v>
      </c>
      <c r="F278" s="3" t="s">
        <v>3566</v>
      </c>
      <c r="G278" s="3" t="s">
        <v>4408</v>
      </c>
      <c r="H278" s="3" t="str">
        <f>HYPERLINK("http://www.jccm.es/sede/tramite/LUE","SOLICITUD DE PAGO PARA INVERSIONES EN MATERIA DE BIOSEGURIDAD PARA LA MEJORA O CONSTRUCCION DE CENTROS DE LIMPIEZA Y DESINFECCION DE VEHICULOS DE TRANSPORTE POR CARRETERA DE GANADO")</f>
        <v>SOLICITUD DE PAGO PARA INVERSIONES EN MATERIA DE BIOSEGURIDAD PARA LA MEJORA O CONSTRUCCION DE CENTROS DE LIMPIEZA Y DESINFECCION DE VEHICULOS DE TRANSPORTE POR CARRETERA DE GANADO</v>
      </c>
      <c r="I278" s="3" t="s">
        <v>41</v>
      </c>
      <c r="J278" s="3" t="s">
        <v>41</v>
      </c>
      <c r="K278" s="3" t="s">
        <v>42</v>
      </c>
      <c r="L278" s="3" t="s">
        <v>41</v>
      </c>
    </row>
    <row r="279" spans="1:12" ht="114.95">
      <c r="A279" s="3" t="s">
        <v>4409</v>
      </c>
      <c r="B279" s="3" t="s">
        <v>4410</v>
      </c>
      <c r="C279" s="3" t="s">
        <v>327</v>
      </c>
      <c r="D279" s="3" t="s">
        <v>46</v>
      </c>
      <c r="E279" s="3" t="s">
        <v>3555</v>
      </c>
      <c r="F279" s="3" t="s">
        <v>3555</v>
      </c>
      <c r="G279" s="3" t="s">
        <v>4411</v>
      </c>
      <c r="H279" s="3" t="str">
        <f>HYPERLINK("http://www.jccm.es/sede/tramite/LUI","SOLICITUD AYUDAS A INVERSIONES PARA LA SOSTENIBILIDAD Y COMPETITIVIDAD DE EXPLOTACIONES AGRICOLAS Y GANADERAS:AGRICULTURA DE PRECISION, EFICIENCIA ENERGETICA, GESTION ESTIERCOLES E INVERNADEROS.")</f>
        <v>SOLICITUD AYUDAS A INVERSIONES PARA LA SOSTENIBILIDAD Y COMPETITIVIDAD DE EXPLOTACIONES AGRICOLAS Y GANADERAS:AGRICULTURA DE PRECISION, EFICIENCIA ENERGETICA, GESTION ESTIERCOLES E INVERNADEROS.</v>
      </c>
      <c r="I279" s="3" t="s">
        <v>41</v>
      </c>
      <c r="J279" s="3" t="s">
        <v>41</v>
      </c>
      <c r="K279" s="3" t="s">
        <v>42</v>
      </c>
      <c r="L279" s="3" t="s">
        <v>41</v>
      </c>
    </row>
    <row r="280" spans="1:12" ht="80.45">
      <c r="A280" s="3" t="s">
        <v>4412</v>
      </c>
      <c r="B280" s="3" t="s">
        <v>4301</v>
      </c>
      <c r="C280" s="3" t="s">
        <v>4413</v>
      </c>
      <c r="D280" s="3" t="s">
        <v>46</v>
      </c>
      <c r="E280" s="3" t="s">
        <v>3555</v>
      </c>
      <c r="F280" s="3" t="s">
        <v>3566</v>
      </c>
      <c r="G280" s="3" t="s">
        <v>4414</v>
      </c>
      <c r="H280" s="3" t="str">
        <f>HYPERLINK("http://www.jccm.es/sede/tramite/LVU","SUBVENCIONES PARA LA PRESTACION DE SERVICIOS DE ASESORAMIENTO EN GESTION INTEGRADA DE PLAGAS POR PARTE DE LAS AGRUPACIONES DE SANIDAD VEGETAL EN CASTILLA-LA MANCHA")</f>
        <v>SUBVENCIONES PARA LA PRESTACION DE SERVICIOS DE ASESORAMIENTO EN GESTION INTEGRADA DE PLAGAS POR PARTE DE LAS AGRUPACIONES DE SANIDAD VEGETAL EN CASTILLA-LA MANCHA</v>
      </c>
      <c r="I280" s="3" t="s">
        <v>41</v>
      </c>
      <c r="J280" s="3" t="s">
        <v>41</v>
      </c>
      <c r="K280" s="3" t="s">
        <v>42</v>
      </c>
      <c r="L280" s="3" t="s">
        <v>41</v>
      </c>
    </row>
    <row r="281" spans="1:12" ht="69">
      <c r="A281" s="3" t="s">
        <v>4415</v>
      </c>
      <c r="B281" s="3" t="s">
        <v>4416</v>
      </c>
      <c r="C281" s="3" t="s">
        <v>327</v>
      </c>
      <c r="D281" s="3" t="s">
        <v>46</v>
      </c>
      <c r="E281" s="3" t="s">
        <v>3555</v>
      </c>
      <c r="F281" s="3" t="s">
        <v>3616</v>
      </c>
      <c r="G281" s="3" t="s">
        <v>4417</v>
      </c>
      <c r="H281" s="3" t="str">
        <f>HYPERLINK("http://www.jccm.es/sede/tramite/JHS","INSCRIPCION EN LOS REGISTROS COMUNITARIOS DE LAS DENOMINACIONES DE ORIGEN PROTEGIDAS Y DE LAS INDICACIONES GEOGRAFICAS PROTEGIDAS.")</f>
        <v>INSCRIPCION EN LOS REGISTROS COMUNITARIOS DE LAS DENOMINACIONES DE ORIGEN PROTEGIDAS Y DE LAS INDICACIONES GEOGRAFICAS PROTEGIDAS.</v>
      </c>
      <c r="I281" s="3" t="s">
        <v>41</v>
      </c>
      <c r="J281" s="3" t="s">
        <v>41</v>
      </c>
      <c r="K281" s="3" t="s">
        <v>42</v>
      </c>
      <c r="L281" s="3" t="s">
        <v>41</v>
      </c>
    </row>
    <row r="282" spans="1:12" ht="57.6">
      <c r="A282" s="3" t="s">
        <v>4418</v>
      </c>
      <c r="B282" s="3" t="s">
        <v>4419</v>
      </c>
      <c r="C282" s="3" t="s">
        <v>45</v>
      </c>
      <c r="D282" s="3" t="s">
        <v>37</v>
      </c>
      <c r="E282" s="3" t="s">
        <v>3555</v>
      </c>
      <c r="F282" s="3" t="s">
        <v>3566</v>
      </c>
      <c r="G282" s="3" t="s">
        <v>4420</v>
      </c>
      <c r="H282" s="3" t="str">
        <f>HYPERLINK("http://www.jccm.es/sede/tramite/323","EXPEDICION O DUPLICADO DE CARNE DE MANIPULADOR DE PRODUCTOS FITOSANITARIOS")</f>
        <v>EXPEDICION O DUPLICADO DE CARNE DE MANIPULADOR DE PRODUCTOS FITOSANITARIOS</v>
      </c>
      <c r="I282" s="3" t="s">
        <v>42</v>
      </c>
      <c r="J282" s="3" t="s">
        <v>41</v>
      </c>
      <c r="K282" s="3" t="s">
        <v>42</v>
      </c>
      <c r="L282" s="3" t="s">
        <v>42</v>
      </c>
    </row>
    <row r="283" spans="1:12" ht="57.6">
      <c r="A283" s="3" t="s">
        <v>4421</v>
      </c>
      <c r="B283" s="3" t="s">
        <v>4422</v>
      </c>
      <c r="C283" s="3" t="s">
        <v>45</v>
      </c>
      <c r="D283" s="3" t="s">
        <v>37</v>
      </c>
      <c r="E283" s="3" t="s">
        <v>3555</v>
      </c>
      <c r="F283" s="3" t="s">
        <v>3566</v>
      </c>
      <c r="G283" s="3" t="s">
        <v>4423</v>
      </c>
      <c r="H283" s="3" t="str">
        <f>HYPERLINK("http://www.jccm.es/sede/tramite/J2M","EXPEDICION DE RENOVACION DE CARNE DE MANIPULADOR DE PRODUCTOS FITOSANITARIOS")</f>
        <v>EXPEDICION DE RENOVACION DE CARNE DE MANIPULADOR DE PRODUCTOS FITOSANITARIOS</v>
      </c>
      <c r="I283" s="3" t="s">
        <v>42</v>
      </c>
      <c r="J283" s="3" t="s">
        <v>41</v>
      </c>
      <c r="K283" s="3" t="s">
        <v>42</v>
      </c>
      <c r="L283" s="3" t="s">
        <v>41</v>
      </c>
    </row>
    <row r="284" spans="1:12" ht="57.6">
      <c r="A284" s="3" t="s">
        <v>4424</v>
      </c>
      <c r="B284" s="3" t="s">
        <v>4425</v>
      </c>
      <c r="C284" s="3" t="s">
        <v>70</v>
      </c>
      <c r="D284" s="3" t="s">
        <v>37</v>
      </c>
      <c r="E284" s="3" t="s">
        <v>3555</v>
      </c>
      <c r="F284" s="3" t="s">
        <v>3616</v>
      </c>
      <c r="G284" s="3" t="s">
        <v>4426</v>
      </c>
      <c r="H284" s="3" t="str">
        <f>HYPERLINK("http://www.jccm.es/sede/tramite/JBX","AUTORIZACION, CERTIFICACION Y CONTROL DE LOS VINOS VARIETALES")</f>
        <v>AUTORIZACION, CERTIFICACION Y CONTROL DE LOS VINOS VARIETALES</v>
      </c>
      <c r="I284" s="3" t="s">
        <v>42</v>
      </c>
      <c r="J284" s="3" t="s">
        <v>41</v>
      </c>
      <c r="K284" s="3" t="s">
        <v>42</v>
      </c>
      <c r="L284" s="3" t="s">
        <v>41</v>
      </c>
    </row>
    <row r="285" spans="1:12" ht="57.6">
      <c r="A285" s="3" t="s">
        <v>4427</v>
      </c>
      <c r="B285" s="3" t="s">
        <v>4428</v>
      </c>
      <c r="C285" s="3" t="s">
        <v>62</v>
      </c>
      <c r="D285" s="3" t="s">
        <v>46</v>
      </c>
      <c r="E285" s="3" t="s">
        <v>3555</v>
      </c>
      <c r="F285" s="3" t="s">
        <v>3616</v>
      </c>
      <c r="G285" s="3" t="s">
        <v>4429</v>
      </c>
      <c r="H285" s="3" t="str">
        <f>HYPERLINK("http://www.jccm.es/sede/tramite/JHB","REGIMEN GENERAL DE CONTROL DE LOS VINOS CON DENOMINACION DE ORIGEN PROTEGIDA.")</f>
        <v>REGIMEN GENERAL DE CONTROL DE LOS VINOS CON DENOMINACION DE ORIGEN PROTEGIDA.</v>
      </c>
      <c r="I285" s="3" t="s">
        <v>42</v>
      </c>
      <c r="J285" s="3" t="s">
        <v>41</v>
      </c>
      <c r="K285" s="3" t="s">
        <v>42</v>
      </c>
      <c r="L285" s="3" t="s">
        <v>41</v>
      </c>
    </row>
    <row r="286" spans="1:12" ht="57.6">
      <c r="A286" s="3" t="s">
        <v>4430</v>
      </c>
      <c r="B286" s="3" t="s">
        <v>4431</v>
      </c>
      <c r="C286" s="3" t="s">
        <v>4432</v>
      </c>
      <c r="D286" s="3" t="s">
        <v>37</v>
      </c>
      <c r="E286" s="3" t="s">
        <v>3555</v>
      </c>
      <c r="F286" s="3" t="s">
        <v>3616</v>
      </c>
      <c r="G286" s="3" t="s">
        <v>4433</v>
      </c>
      <c r="H286" s="3" t="str">
        <f>HYPERLINK("http://www.jccm.es/sede/tramite/JHT","RECONOCIMIENTO DE MARCAS COLECTIVAS Y DE GARANTIAS COMO FIGURAS DE CALIDAD AGROALIMENTARIA DE CASTILLA-LA MANCHA.")</f>
        <v>RECONOCIMIENTO DE MARCAS COLECTIVAS Y DE GARANTIAS COMO FIGURAS DE CALIDAD AGROALIMENTARIA DE CASTILLA-LA MANCHA.</v>
      </c>
      <c r="I286" s="3" t="s">
        <v>41</v>
      </c>
      <c r="J286" s="3" t="s">
        <v>41</v>
      </c>
      <c r="K286" s="3" t="s">
        <v>42</v>
      </c>
      <c r="L286" s="3" t="s">
        <v>41</v>
      </c>
    </row>
    <row r="287" spans="1:12" ht="57.6">
      <c r="A287" s="3" t="s">
        <v>4434</v>
      </c>
      <c r="B287" s="3" t="s">
        <v>4435</v>
      </c>
      <c r="C287" s="3" t="s">
        <v>45</v>
      </c>
      <c r="D287" s="3" t="s">
        <v>37</v>
      </c>
      <c r="E287" s="3" t="s">
        <v>3555</v>
      </c>
      <c r="F287" s="3" t="s">
        <v>3616</v>
      </c>
      <c r="G287" s="3" t="s">
        <v>4436</v>
      </c>
      <c r="H287" s="3" t="str">
        <f>HYPERLINK("http://www.jccm.es/sede/tramite/JI0","DECLARACION DE LOS OPERADORES, CERTIFICACION Y CONTROL DE LOS VINOS CON IGP")</f>
        <v>DECLARACION DE LOS OPERADORES, CERTIFICACION Y CONTROL DE LOS VINOS CON IGP</v>
      </c>
      <c r="I287" s="3" t="s">
        <v>42</v>
      </c>
      <c r="J287" s="3" t="s">
        <v>41</v>
      </c>
      <c r="K287" s="3" t="s">
        <v>42</v>
      </c>
      <c r="L287" s="3" t="s">
        <v>41</v>
      </c>
    </row>
    <row r="288" spans="1:12" ht="57.6">
      <c r="A288" s="3" t="s">
        <v>4437</v>
      </c>
      <c r="B288" s="3" t="s">
        <v>4438</v>
      </c>
      <c r="C288" s="3" t="s">
        <v>45</v>
      </c>
      <c r="D288" s="3" t="s">
        <v>37</v>
      </c>
      <c r="E288" s="3" t="s">
        <v>3555</v>
      </c>
      <c r="F288" s="3" t="s">
        <v>3566</v>
      </c>
      <c r="G288" s="3" t="s">
        <v>4439</v>
      </c>
      <c r="H288" s="3" t="str">
        <f>HYPERLINK("http://www.jccm.es/sede/tramite/JGI","CERTIFICACION DE SEMILLAS")</f>
        <v>CERTIFICACION DE SEMILLAS</v>
      </c>
      <c r="I288" s="3" t="s">
        <v>42</v>
      </c>
      <c r="J288" s="3" t="s">
        <v>41</v>
      </c>
      <c r="K288" s="3" t="s">
        <v>42</v>
      </c>
      <c r="L288" s="3" t="s">
        <v>41</v>
      </c>
    </row>
    <row r="289" spans="1:12" ht="57.6">
      <c r="A289" s="3" t="s">
        <v>4440</v>
      </c>
      <c r="B289" s="3" t="s">
        <v>4441</v>
      </c>
      <c r="C289" s="3" t="s">
        <v>45</v>
      </c>
      <c r="D289" s="3" t="s">
        <v>37</v>
      </c>
      <c r="E289" s="3" t="s">
        <v>3555</v>
      </c>
      <c r="F289" s="3" t="s">
        <v>3566</v>
      </c>
      <c r="G289" s="3" t="s">
        <v>4442</v>
      </c>
      <c r="H289" s="3" t="str">
        <f>HYPERLINK("http://www.jccm.es/sede/tramite/JGJ","CERTIFICACION DE PLANTAS DE VIVERO")</f>
        <v>CERTIFICACION DE PLANTAS DE VIVERO</v>
      </c>
      <c r="I289" s="3" t="s">
        <v>42</v>
      </c>
      <c r="J289" s="3" t="s">
        <v>41</v>
      </c>
      <c r="K289" s="3" t="s">
        <v>42</v>
      </c>
      <c r="L289" s="3" t="s">
        <v>41</v>
      </c>
    </row>
    <row r="290" spans="1:12" ht="57.6">
      <c r="A290" s="3" t="s">
        <v>4443</v>
      </c>
      <c r="B290" s="3" t="s">
        <v>4444</v>
      </c>
      <c r="C290" s="3" t="s">
        <v>45</v>
      </c>
      <c r="D290" s="3" t="s">
        <v>37</v>
      </c>
      <c r="E290" s="3" t="s">
        <v>3555</v>
      </c>
      <c r="F290" s="3" t="s">
        <v>3566</v>
      </c>
      <c r="G290" s="3" t="s">
        <v>4445</v>
      </c>
      <c r="H290" s="3" t="str">
        <f>HYPERLINK("http://www.jccm.es/sede/tramite/JGK","CERTIFICADO PATRON DE MATERIALES FORESTALES DE REPRODUCCION DE ESPECIES REGULADAS")</f>
        <v>CERTIFICADO PATRON DE MATERIALES FORESTALES DE REPRODUCCION DE ESPECIES REGULADAS</v>
      </c>
      <c r="I290" s="3" t="s">
        <v>42</v>
      </c>
      <c r="J290" s="3" t="s">
        <v>41</v>
      </c>
      <c r="K290" s="3" t="s">
        <v>42</v>
      </c>
      <c r="L290" s="3" t="s">
        <v>41</v>
      </c>
    </row>
    <row r="291" spans="1:12" ht="69">
      <c r="A291" s="3" t="s">
        <v>4446</v>
      </c>
      <c r="B291" s="3" t="s">
        <v>4447</v>
      </c>
      <c r="C291" s="3" t="s">
        <v>4448</v>
      </c>
      <c r="D291" s="3" t="s">
        <v>37</v>
      </c>
      <c r="E291" s="3" t="s">
        <v>3555</v>
      </c>
      <c r="F291" s="3" t="s">
        <v>3643</v>
      </c>
      <c r="G291" s="3" t="s">
        <v>4449</v>
      </c>
      <c r="H291" s="3" t="str">
        <f>HYPERLINK("http://www.jccm.es/sede/tramite/JLP","SOLICITUD DE CARTOGRAFIA")</f>
        <v>SOLICITUD DE CARTOGRAFIA</v>
      </c>
      <c r="I291" s="3" t="s">
        <v>42</v>
      </c>
      <c r="J291" s="3" t="s">
        <v>41</v>
      </c>
      <c r="K291" s="3" t="s">
        <v>42</v>
      </c>
      <c r="L291" s="3" t="s">
        <v>41</v>
      </c>
    </row>
    <row r="292" spans="1:12" ht="57.6">
      <c r="A292" s="3" t="s">
        <v>4450</v>
      </c>
      <c r="B292" s="3" t="s">
        <v>4451</v>
      </c>
      <c r="C292" s="3" t="s">
        <v>327</v>
      </c>
      <c r="D292" s="3" t="s">
        <v>37</v>
      </c>
      <c r="E292" s="3" t="s">
        <v>3555</v>
      </c>
      <c r="F292" s="3" t="s">
        <v>3566</v>
      </c>
      <c r="G292" s="3" t="s">
        <v>4452</v>
      </c>
      <c r="H292" s="3" t="str">
        <f>HYPERLINK("http://www.jccm.es/sede/tramite/JWW","RECONOCIMIENTO OFICIAL DE LAS ORGANIZACIONES O ASOCIACIONES DE CRIADORES DE PERROS DE RAZA PURA.")</f>
        <v>RECONOCIMIENTO OFICIAL DE LAS ORGANIZACIONES O ASOCIACIONES DE CRIADORES DE PERROS DE RAZA PURA.</v>
      </c>
      <c r="I292" s="3" t="s">
        <v>42</v>
      </c>
      <c r="J292" s="3" t="s">
        <v>41</v>
      </c>
      <c r="K292" s="3" t="s">
        <v>42</v>
      </c>
      <c r="L292" s="3" t="s">
        <v>41</v>
      </c>
    </row>
    <row r="293" spans="1:12" ht="57.6">
      <c r="A293" s="3" t="s">
        <v>4453</v>
      </c>
      <c r="B293" s="3" t="s">
        <v>4454</v>
      </c>
      <c r="C293" s="3" t="s">
        <v>70</v>
      </c>
      <c r="D293" s="3" t="s">
        <v>37</v>
      </c>
      <c r="E293" s="3" t="s">
        <v>3555</v>
      </c>
      <c r="F293" s="3" t="s">
        <v>3566</v>
      </c>
      <c r="G293" s="3" t="s">
        <v>4455</v>
      </c>
      <c r="H293" s="3" t="str">
        <f>HYPERLINK("http://www.jccm.es/sede/tramite/K3P","CONVALIDACION DE CARNE DE MANIPULADOR DE PRODUCTOS FITOSANITARIOS")</f>
        <v>CONVALIDACION DE CARNE DE MANIPULADOR DE PRODUCTOS FITOSANITARIOS</v>
      </c>
      <c r="I293" s="3" t="s">
        <v>42</v>
      </c>
      <c r="J293" s="3" t="s">
        <v>41</v>
      </c>
      <c r="K293" s="3" t="s">
        <v>42</v>
      </c>
      <c r="L293" s="3" t="s">
        <v>41</v>
      </c>
    </row>
    <row r="294" spans="1:12" ht="57.6">
      <c r="A294" s="3" t="s">
        <v>4456</v>
      </c>
      <c r="B294" s="3" t="s">
        <v>3646</v>
      </c>
      <c r="C294" s="3" t="s">
        <v>95</v>
      </c>
      <c r="D294" s="3" t="s">
        <v>95</v>
      </c>
      <c r="E294" s="3" t="s">
        <v>3555</v>
      </c>
      <c r="F294" s="3" t="s">
        <v>3566</v>
      </c>
      <c r="G294" s="3" t="s">
        <v>4457</v>
      </c>
      <c r="H294" s="3" t="str">
        <f>HYPERLINK("http://www.jccm.es/sede/tramite/K5Q","SOLICITUD DE CERTIFICACION DE OPERACIONES Y PAGO DE LA AYUDA")</f>
        <v>SOLICITUD DE CERTIFICACION DE OPERACIONES Y PAGO DE LA AYUDA</v>
      </c>
      <c r="I294" s="3" t="s">
        <v>41</v>
      </c>
      <c r="J294" s="3" t="s">
        <v>41</v>
      </c>
      <c r="K294" s="3" t="s">
        <v>42</v>
      </c>
      <c r="L294" s="3" t="s">
        <v>41</v>
      </c>
    </row>
    <row r="295" spans="1:12" ht="57.6">
      <c r="A295" s="3" t="s">
        <v>4458</v>
      </c>
      <c r="B295" s="3" t="s">
        <v>4459</v>
      </c>
      <c r="C295" s="3" t="s">
        <v>45</v>
      </c>
      <c r="D295" s="3" t="s">
        <v>46</v>
      </c>
      <c r="E295" s="3" t="s">
        <v>3555</v>
      </c>
      <c r="F295" s="3" t="s">
        <v>3566</v>
      </c>
      <c r="G295" s="3" t="s">
        <v>4460</v>
      </c>
      <c r="H295" s="3" t="str">
        <f>HYPERLINK("http://www.jccm.es/sede/tramite/KC7","CALIFICACION DE EXPLOTACIONES PARA MOVIMIENTOS INTRACOMUNITARIOS DE OVINOS Y CAPRINOS EN RELACION A LA TEMBLADERA CLASICA")</f>
        <v>CALIFICACION DE EXPLOTACIONES PARA MOVIMIENTOS INTRACOMUNITARIOS DE OVINOS Y CAPRINOS EN RELACION A LA TEMBLADERA CLASICA</v>
      </c>
      <c r="I295" s="3" t="s">
        <v>42</v>
      </c>
      <c r="J295" s="3" t="s">
        <v>41</v>
      </c>
      <c r="K295" s="3" t="s">
        <v>42</v>
      </c>
      <c r="L295" s="3" t="s">
        <v>41</v>
      </c>
    </row>
    <row r="296" spans="1:12" ht="69">
      <c r="A296" s="3" t="s">
        <v>4461</v>
      </c>
      <c r="B296" s="3" t="s">
        <v>4462</v>
      </c>
      <c r="C296" s="3" t="s">
        <v>70</v>
      </c>
      <c r="D296" s="3" t="s">
        <v>37</v>
      </c>
      <c r="E296" s="3" t="s">
        <v>3555</v>
      </c>
      <c r="F296" s="3" t="s">
        <v>3566</v>
      </c>
      <c r="G296" s="3" t="s">
        <v>4463</v>
      </c>
      <c r="H296" s="3" t="str">
        <f>HYPERLINK("http://www.jccm.es/sede/tramite/KFF","AUTORIZACION COMO ENTIDAD DE FORMACION PARA LA IMPARTICION DE CURSOS DE BIENESTAR ANIMAL, BIOSEGURIDAD, HIGIENE Y SANIDAD ANIMAL.")</f>
        <v>AUTORIZACION COMO ENTIDAD DE FORMACION PARA LA IMPARTICION DE CURSOS DE BIENESTAR ANIMAL, BIOSEGURIDAD, HIGIENE Y SANIDAD ANIMAL.</v>
      </c>
      <c r="I296" s="3" t="s">
        <v>41</v>
      </c>
      <c r="J296" s="3" t="s">
        <v>41</v>
      </c>
      <c r="K296" s="3" t="s">
        <v>42</v>
      </c>
      <c r="L296" s="3" t="s">
        <v>41</v>
      </c>
    </row>
    <row r="297" spans="1:12" ht="57.6">
      <c r="A297" s="3" t="s">
        <v>4464</v>
      </c>
      <c r="B297" s="3" t="s">
        <v>4465</v>
      </c>
      <c r="C297" s="3" t="s">
        <v>95</v>
      </c>
      <c r="D297" s="3" t="s">
        <v>95</v>
      </c>
      <c r="E297" s="3" t="s">
        <v>3555</v>
      </c>
      <c r="F297" s="3" t="s">
        <v>3566</v>
      </c>
      <c r="G297" s="3" t="s">
        <v>4466</v>
      </c>
      <c r="H297" s="3" t="str">
        <f>HYPERLINK("http://www.jccm.es/sede/tramite/KHW","SOLICITUD DE CERTIFICADO SANITARIO PARA  INTERCAMBIOS INTRACOMUNITARIOS")</f>
        <v>SOLICITUD DE CERTIFICADO SANITARIO PARA  INTERCAMBIOS INTRACOMUNITARIOS</v>
      </c>
      <c r="I297" s="3" t="s">
        <v>42</v>
      </c>
      <c r="J297" s="3" t="s">
        <v>41</v>
      </c>
      <c r="K297" s="3" t="s">
        <v>42</v>
      </c>
      <c r="L297" s="3" t="s">
        <v>41</v>
      </c>
    </row>
    <row r="298" spans="1:12" ht="69">
      <c r="A298" s="3" t="s">
        <v>4467</v>
      </c>
      <c r="B298" s="3" t="s">
        <v>4468</v>
      </c>
      <c r="C298" s="3" t="s">
        <v>95</v>
      </c>
      <c r="D298" s="3" t="s">
        <v>95</v>
      </c>
      <c r="E298" s="3" t="s">
        <v>3555</v>
      </c>
      <c r="F298" s="3" t="s">
        <v>3566</v>
      </c>
      <c r="G298" s="3" t="s">
        <v>4469</v>
      </c>
      <c r="H298" s="3" t="str">
        <f>HYPERLINK("http://www.jccm.es/sede/tramite/KPL","SOLICITUD DE EMISION DE DECLARACION VETERINARIA RESPONSABLE (DVR) PARA LA EXPORTACION DE PRODUCTOS DE ORIGEN ANIMAL DESTINADOS AL CONSUMO HUMANO")</f>
        <v>SOLICITUD DE EMISION DE DECLARACION VETERINARIA RESPONSABLE (DVR) PARA LA EXPORTACION DE PRODUCTOS DE ORIGEN ANIMAL DESTINADOS AL CONSUMO HUMANO</v>
      </c>
      <c r="I298" s="3" t="s">
        <v>42</v>
      </c>
      <c r="J298" s="3" t="s">
        <v>41</v>
      </c>
      <c r="K298" s="3" t="s">
        <v>42</v>
      </c>
      <c r="L298" s="3" t="s">
        <v>41</v>
      </c>
    </row>
    <row r="299" spans="1:12" ht="57.6">
      <c r="A299" s="3" t="s">
        <v>4470</v>
      </c>
      <c r="B299" s="3" t="s">
        <v>4471</v>
      </c>
      <c r="C299" s="3" t="s">
        <v>95</v>
      </c>
      <c r="D299" s="3" t="s">
        <v>95</v>
      </c>
      <c r="E299" s="3" t="s">
        <v>3555</v>
      </c>
      <c r="F299" s="3" t="s">
        <v>3566</v>
      </c>
      <c r="G299" s="3" t="s">
        <v>4472</v>
      </c>
      <c r="H299" s="3" t="str">
        <f>HYPERLINK("http://www.jccm.es/sede/tramite/LC0","INFORMES FITOSANITARIOS")</f>
        <v>INFORMES FITOSANITARIOS</v>
      </c>
      <c r="I299" s="3" t="s">
        <v>42</v>
      </c>
      <c r="J299" s="3" t="s">
        <v>41</v>
      </c>
      <c r="K299" s="3" t="s">
        <v>42</v>
      </c>
      <c r="L299" s="3" t="s">
        <v>41</v>
      </c>
    </row>
    <row r="300" spans="1:12" ht="103.5">
      <c r="A300" s="3" t="s">
        <v>4473</v>
      </c>
      <c r="B300" s="3" t="s">
        <v>4474</v>
      </c>
      <c r="C300" s="3" t="s">
        <v>95</v>
      </c>
      <c r="D300" s="3" t="s">
        <v>95</v>
      </c>
      <c r="E300" s="3" t="s">
        <v>3555</v>
      </c>
      <c r="F300" s="3" t="s">
        <v>3616</v>
      </c>
      <c r="G300" s="3" t="s">
        <v>4475</v>
      </c>
      <c r="H300" s="3" t="str">
        <f>HYPERLINK("http://www.jccm.es/sede/tramite/LG6","DECLARACION RESPONSABLE INICIO DE ACTIVIDAD, BAJA Y MODIFICACION EN EL REGISTRO DE VENTA DIRECTA DE PRODUCTOS LIGADOS A LA ACTIVIDAD AGRARIA (P. PRIMARIOS) Y TRANSFORMADOS CON RGSEAA")</f>
        <v>DECLARACION RESPONSABLE INICIO DE ACTIVIDAD, BAJA Y MODIFICACION EN EL REGISTRO DE VENTA DIRECTA DE PRODUCTOS LIGADOS A LA ACTIVIDAD AGRARIA (P. PRIMARIOS) Y TRANSFORMADOS CON RGSEAA</v>
      </c>
      <c r="I300" s="3" t="s">
        <v>42</v>
      </c>
      <c r="J300" s="3" t="s">
        <v>41</v>
      </c>
      <c r="K300" s="3" t="s">
        <v>42</v>
      </c>
      <c r="L300" s="3" t="s">
        <v>41</v>
      </c>
    </row>
    <row r="301" spans="1:12" ht="57.6">
      <c r="A301" s="3" t="s">
        <v>4476</v>
      </c>
      <c r="B301" s="3" t="s">
        <v>4477</v>
      </c>
      <c r="C301" s="3" t="s">
        <v>45</v>
      </c>
      <c r="D301" s="3" t="s">
        <v>37</v>
      </c>
      <c r="E301" s="3" t="s">
        <v>3555</v>
      </c>
      <c r="F301" s="3" t="s">
        <v>3556</v>
      </c>
      <c r="G301" s="3" t="s">
        <v>4478</v>
      </c>
      <c r="H301" s="3" t="str">
        <f>HYPERLINK("http://www.jccm.es/sede/tramite/LPF","CERTIFICADO DE EXCLUSION DE FINCAS EN CONCENTRACION PARCELARIA Y/O ZONA REGABLE")</f>
        <v>CERTIFICADO DE EXCLUSION DE FINCAS EN CONCENTRACION PARCELARIA Y/O ZONA REGABLE</v>
      </c>
      <c r="I301" s="3" t="s">
        <v>42</v>
      </c>
      <c r="J301" s="3" t="s">
        <v>41</v>
      </c>
      <c r="K301" s="3" t="s">
        <v>42</v>
      </c>
      <c r="L301" s="3" t="s">
        <v>41</v>
      </c>
    </row>
    <row r="302" spans="1:12" ht="57.6">
      <c r="A302" s="3" t="s">
        <v>4479</v>
      </c>
      <c r="B302" s="3" t="s">
        <v>4480</v>
      </c>
      <c r="C302" s="3" t="s">
        <v>45</v>
      </c>
      <c r="D302" s="3" t="s">
        <v>46</v>
      </c>
      <c r="E302" s="3" t="s">
        <v>3555</v>
      </c>
      <c r="F302" s="3" t="s">
        <v>3566</v>
      </c>
      <c r="G302" s="3" t="s">
        <v>4481</v>
      </c>
      <c r="H302" s="3" t="str">
        <f>HYPERLINK("http://www.jccm.es/sede/tramite/LQ8","CERTIFICADO DE RENTA AGRARIA PARA LA OBTENCION DE FINANCIACION PREFERENTE")</f>
        <v>CERTIFICADO DE RENTA AGRARIA PARA LA OBTENCION DE FINANCIACION PREFERENTE</v>
      </c>
      <c r="I302" s="3" t="s">
        <v>42</v>
      </c>
      <c r="J302" s="3" t="s">
        <v>41</v>
      </c>
      <c r="K302" s="3" t="s">
        <v>42</v>
      </c>
      <c r="L302" s="3" t="s">
        <v>41</v>
      </c>
    </row>
    <row r="303" spans="1:12" ht="57.6">
      <c r="A303" s="3" t="s">
        <v>4482</v>
      </c>
      <c r="B303" s="3" t="s">
        <v>4483</v>
      </c>
      <c r="C303" s="3" t="s">
        <v>45</v>
      </c>
      <c r="D303" s="3" t="s">
        <v>37</v>
      </c>
      <c r="E303" s="3" t="s">
        <v>3555</v>
      </c>
      <c r="F303" s="3" t="s">
        <v>3555</v>
      </c>
      <c r="G303" s="3" t="s">
        <v>4484</v>
      </c>
      <c r="H303" s="3" t="str">
        <f>HYPERLINK("http://www.jccm.es/sede/tramite/LRJ","EXPEDICION DE CERTIFICADO DE CAPACITACION DEL PERSONAL QUE UTILICE ANIMALES CON FINES EXPERIMENTALES")</f>
        <v>EXPEDICION DE CERTIFICADO DE CAPACITACION DEL PERSONAL QUE UTILICE ANIMALES CON FINES EXPERIMENTALES</v>
      </c>
      <c r="I303" s="3" t="s">
        <v>42</v>
      </c>
      <c r="J303" s="3" t="s">
        <v>41</v>
      </c>
      <c r="K303" s="3" t="s">
        <v>42</v>
      </c>
      <c r="L303" s="3" t="s">
        <v>41</v>
      </c>
    </row>
    <row r="304" spans="1:12" ht="57.6">
      <c r="A304" s="3" t="s">
        <v>4485</v>
      </c>
      <c r="B304" s="3" t="s">
        <v>4486</v>
      </c>
      <c r="C304" s="3" t="s">
        <v>327</v>
      </c>
      <c r="D304" s="3" t="s">
        <v>37</v>
      </c>
      <c r="E304" s="3" t="s">
        <v>3555</v>
      </c>
      <c r="F304" s="3" t="s">
        <v>3555</v>
      </c>
      <c r="G304" s="3" t="s">
        <v>4487</v>
      </c>
      <c r="H304" s="3" t="str">
        <f>HYPERLINK("http://www.jccm.es/sede/tramite/LYY","SOLICITUD DE CERTIFICADOS/DOCUMENTACION DEL REGISTRO DE SOCIEDADES AGRARIAS DE TRANSFORMACION (S.A.T.)")</f>
        <v>SOLICITUD DE CERTIFICADOS/DOCUMENTACION DEL REGISTRO DE SOCIEDADES AGRARIAS DE TRANSFORMACION (S.A.T.)</v>
      </c>
      <c r="I304" s="3" t="s">
        <v>42</v>
      </c>
      <c r="J304" s="3" t="s">
        <v>41</v>
      </c>
      <c r="K304" s="3" t="s">
        <v>42</v>
      </c>
      <c r="L304" s="3" t="s">
        <v>41</v>
      </c>
    </row>
    <row r="305" spans="1:12" ht="69">
      <c r="A305" s="3" t="s">
        <v>4488</v>
      </c>
      <c r="B305" s="3" t="s">
        <v>4489</v>
      </c>
      <c r="C305" s="3" t="s">
        <v>51</v>
      </c>
      <c r="D305" s="3" t="s">
        <v>37</v>
      </c>
      <c r="E305" s="3" t="s">
        <v>3555</v>
      </c>
      <c r="F305" s="3" t="s">
        <v>3566</v>
      </c>
      <c r="G305" s="3" t="s">
        <v>4490</v>
      </c>
      <c r="H305" s="3" t="str">
        <f>HYPERLINK("http://www.jccm.es/sede/tramite/G48","SOLICITUD DE RECONOCIMIENTO E INSCRIPCION EN EL REGISTRO REGIONAL DE AGRUPACION DE DEFENSA SANITARIA GANADERA")</f>
        <v>SOLICITUD DE RECONOCIMIENTO E INSCRIPCION EN EL REGISTRO REGIONAL DE AGRUPACION DE DEFENSA SANITARIA GANADERA</v>
      </c>
      <c r="I305" s="3" t="s">
        <v>42</v>
      </c>
      <c r="J305" s="3" t="s">
        <v>41</v>
      </c>
      <c r="K305" s="3" t="s">
        <v>42</v>
      </c>
      <c r="L305" s="3" t="s">
        <v>41</v>
      </c>
    </row>
    <row r="306" spans="1:12" ht="57.6">
      <c r="A306" s="3" t="s">
        <v>4491</v>
      </c>
      <c r="B306" s="3" t="s">
        <v>4492</v>
      </c>
      <c r="C306" s="3" t="s">
        <v>51</v>
      </c>
      <c r="D306" s="3" t="s">
        <v>37</v>
      </c>
      <c r="E306" s="3" t="s">
        <v>3555</v>
      </c>
      <c r="F306" s="3" t="s">
        <v>3566</v>
      </c>
      <c r="G306" s="3" t="s">
        <v>4493</v>
      </c>
      <c r="H306" s="3" t="str">
        <f>HYPERLINK("http://www.jccm.es/sede/tramite/L6O","SOLICITUD DE FUSION DE AGRUPACIONES DE DEFENSA SANITARIA GANADERA")</f>
        <v>SOLICITUD DE FUSION DE AGRUPACIONES DE DEFENSA SANITARIA GANADERA</v>
      </c>
      <c r="I306" s="3" t="s">
        <v>41</v>
      </c>
      <c r="J306" s="3" t="s">
        <v>41</v>
      </c>
      <c r="K306" s="3" t="s">
        <v>42</v>
      </c>
      <c r="L306" s="3" t="s">
        <v>41</v>
      </c>
    </row>
    <row r="307" spans="1:12" ht="69">
      <c r="A307" s="3" t="s">
        <v>4494</v>
      </c>
      <c r="B307" s="3" t="s">
        <v>4495</v>
      </c>
      <c r="C307" s="3" t="s">
        <v>45</v>
      </c>
      <c r="D307" s="3" t="s">
        <v>37</v>
      </c>
      <c r="E307" s="3" t="s">
        <v>3555</v>
      </c>
      <c r="F307" s="3" t="s">
        <v>3566</v>
      </c>
      <c r="G307" s="3" t="s">
        <v>4496</v>
      </c>
      <c r="H307" s="3" t="str">
        <f>HYPERLINK("http://www.jccm.es/sede/tramite/IFY","SOLICITUD DE RECONOCIMIENTO Y REGISTRO DE LAS AGRUPACIONES DE SANIDAD VEGETAL EN CASTILLA-LA MANCHA")</f>
        <v>SOLICITUD DE RECONOCIMIENTO Y REGISTRO DE LAS AGRUPACIONES DE SANIDAD VEGETAL EN CASTILLA-LA MANCHA</v>
      </c>
      <c r="I307" s="3" t="s">
        <v>41</v>
      </c>
      <c r="J307" s="3" t="s">
        <v>41</v>
      </c>
      <c r="K307" s="3" t="s">
        <v>42</v>
      </c>
      <c r="L307" s="3" t="s">
        <v>41</v>
      </c>
    </row>
    <row r="308" spans="1:12" ht="57.6">
      <c r="A308" s="3" t="s">
        <v>4497</v>
      </c>
      <c r="B308" s="3" t="s">
        <v>4498</v>
      </c>
      <c r="C308" s="3" t="s">
        <v>45</v>
      </c>
      <c r="D308" s="3" t="s">
        <v>37</v>
      </c>
      <c r="E308" s="3" t="s">
        <v>3555</v>
      </c>
      <c r="F308" s="3" t="s">
        <v>3566</v>
      </c>
      <c r="G308" s="3" t="s">
        <v>4499</v>
      </c>
      <c r="H308" s="3" t="str">
        <f>HYPERLINK("http://www.jccm.es/sede/tramite/KFT","TRANSFERENCIA DE RECONOCIMIENTO DE LAS AGRUPACIONES DE SANIDAD VEGETAL EN CASTILLA-LA MANCHA")</f>
        <v>TRANSFERENCIA DE RECONOCIMIENTO DE LAS AGRUPACIONES DE SANIDAD VEGETAL EN CASTILLA-LA MANCHA</v>
      </c>
      <c r="I308" s="3" t="s">
        <v>41</v>
      </c>
      <c r="J308" s="3" t="s">
        <v>41</v>
      </c>
      <c r="K308" s="3" t="s">
        <v>42</v>
      </c>
      <c r="L308" s="3" t="s">
        <v>41</v>
      </c>
    </row>
    <row r="309" spans="1:12" ht="57.6">
      <c r="A309" s="3" t="s">
        <v>4500</v>
      </c>
      <c r="B309" s="3" t="s">
        <v>4501</v>
      </c>
      <c r="C309" s="3" t="s">
        <v>45</v>
      </c>
      <c r="D309" s="3" t="s">
        <v>37</v>
      </c>
      <c r="E309" s="3" t="s">
        <v>3555</v>
      </c>
      <c r="F309" s="3" t="s">
        <v>3566</v>
      </c>
      <c r="G309" s="3" t="s">
        <v>4502</v>
      </c>
      <c r="H309" s="3" t="str">
        <f>HYPERLINK("http://www.jccm.es/sede/tramite/KFS","MODIFICACION DE RECONOCIMIENTO DE LAS AGRUPACIONES DE SANIDAD VEGETAL EN CASTILLA-LA MANCHA")</f>
        <v>MODIFICACION DE RECONOCIMIENTO DE LAS AGRUPACIONES DE SANIDAD VEGETAL EN CASTILLA-LA MANCHA</v>
      </c>
      <c r="I309" s="3" t="s">
        <v>41</v>
      </c>
      <c r="J309" s="3" t="s">
        <v>41</v>
      </c>
      <c r="K309" s="3" t="s">
        <v>42</v>
      </c>
      <c r="L309" s="3" t="s">
        <v>41</v>
      </c>
    </row>
    <row r="310" spans="1:12" ht="57.6">
      <c r="A310" s="3" t="s">
        <v>4503</v>
      </c>
      <c r="B310" s="3" t="s">
        <v>4504</v>
      </c>
      <c r="C310" s="3" t="s">
        <v>95</v>
      </c>
      <c r="D310" s="3" t="s">
        <v>95</v>
      </c>
      <c r="E310" s="3" t="s">
        <v>3555</v>
      </c>
      <c r="F310" s="3" t="s">
        <v>3566</v>
      </c>
      <c r="G310" s="3" t="s">
        <v>4505</v>
      </c>
      <c r="H310" s="3" t="str">
        <f>HYPERLINK("http://www.jccm.es/sede/tramite/K2I","DECLARACIONES DE COSECHA DE PARCELAS ILEGALES.")</f>
        <v>DECLARACIONES DE COSECHA DE PARCELAS ILEGALES.</v>
      </c>
      <c r="I310" s="3" t="s">
        <v>41</v>
      </c>
      <c r="J310" s="3" t="s">
        <v>41</v>
      </c>
      <c r="K310" s="3" t="s">
        <v>42</v>
      </c>
      <c r="L310" s="3" t="s">
        <v>41</v>
      </c>
    </row>
    <row r="311" spans="1:12" ht="57.6">
      <c r="A311" s="3" t="s">
        <v>4506</v>
      </c>
      <c r="B311" s="3" t="s">
        <v>4507</v>
      </c>
      <c r="C311" s="3" t="s">
        <v>95</v>
      </c>
      <c r="D311" s="3" t="s">
        <v>95</v>
      </c>
      <c r="E311" s="3" t="s">
        <v>3555</v>
      </c>
      <c r="F311" s="3" t="s">
        <v>3566</v>
      </c>
      <c r="G311" s="3" t="s">
        <v>4508</v>
      </c>
      <c r="H311" s="3" t="str">
        <f>HYPERLINK("http://www.jccm.es/sede/tramite/K2K","DECLARACION DE NO VENDIMINA")</f>
        <v>DECLARACION DE NO VENDIMINA</v>
      </c>
      <c r="I311" s="3" t="s">
        <v>42</v>
      </c>
      <c r="J311" s="3" t="s">
        <v>41</v>
      </c>
      <c r="K311" s="3" t="s">
        <v>42</v>
      </c>
      <c r="L311" s="3" t="s">
        <v>41</v>
      </c>
    </row>
    <row r="312" spans="1:12" ht="57.6">
      <c r="A312" s="3" t="s">
        <v>4509</v>
      </c>
      <c r="B312" s="3" t="s">
        <v>4510</v>
      </c>
      <c r="C312" s="3" t="s">
        <v>95</v>
      </c>
      <c r="D312" s="3" t="s">
        <v>95</v>
      </c>
      <c r="E312" s="3" t="s">
        <v>3555</v>
      </c>
      <c r="F312" s="3" t="s">
        <v>3566</v>
      </c>
      <c r="G312" s="3" t="s">
        <v>4511</v>
      </c>
      <c r="H312" s="3" t="str">
        <f>HYPERLINK("http://www.jccm.es/sede/tramite/K2J","CERTIFICADO DE DESTILACION")</f>
        <v>CERTIFICADO DE DESTILACION</v>
      </c>
      <c r="I312" s="3" t="s">
        <v>42</v>
      </c>
      <c r="J312" s="3" t="s">
        <v>41</v>
      </c>
      <c r="K312" s="3" t="s">
        <v>42</v>
      </c>
      <c r="L312" s="3" t="s">
        <v>41</v>
      </c>
    </row>
    <row r="313" spans="1:12" ht="57.6">
      <c r="A313" s="3" t="s">
        <v>4512</v>
      </c>
      <c r="B313" s="3" t="s">
        <v>4513</v>
      </c>
      <c r="C313" s="3" t="s">
        <v>95</v>
      </c>
      <c r="D313" s="3" t="s">
        <v>95</v>
      </c>
      <c r="E313" s="3" t="s">
        <v>3555</v>
      </c>
      <c r="F313" s="3" t="s">
        <v>3566</v>
      </c>
      <c r="G313" s="3" t="s">
        <v>4514</v>
      </c>
      <c r="H313" s="3" t="str">
        <f>HYPERLINK("http://www.jccm.es/sede/tramite/JIK","DECLARACION DE COSECHA DE UVA Y DECLARACION DE COSECHA POR PARCELA.")</f>
        <v>DECLARACION DE COSECHA DE UVA Y DECLARACION DE COSECHA POR PARCELA.</v>
      </c>
      <c r="I313" s="3" t="s">
        <v>41</v>
      </c>
      <c r="J313" s="3" t="s">
        <v>41</v>
      </c>
      <c r="K313" s="3" t="s">
        <v>42</v>
      </c>
      <c r="L313" s="3" t="s">
        <v>41</v>
      </c>
    </row>
    <row r="314" spans="1:12" ht="57.6">
      <c r="A314" s="3" t="s">
        <v>4515</v>
      </c>
      <c r="B314" s="3" t="s">
        <v>4516</v>
      </c>
      <c r="C314" s="3" t="s">
        <v>95</v>
      </c>
      <c r="D314" s="3" t="s">
        <v>95</v>
      </c>
      <c r="E314" s="3" t="s">
        <v>3555</v>
      </c>
      <c r="F314" s="3" t="s">
        <v>3616</v>
      </c>
      <c r="G314" s="3" t="s">
        <v>4517</v>
      </c>
      <c r="H314" s="3" t="str">
        <f>HYPERLINK("http://www.jccm.es/sede/tramite/JIN","RELACION DE PROVEEDORES Y JUSTIFICANTE DE COMPRA-VENTA DE PRODUCTOS VITIVINICOLAS")</f>
        <v>RELACION DE PROVEEDORES Y JUSTIFICANTE DE COMPRA-VENTA DE PRODUCTOS VITIVINICOLAS</v>
      </c>
      <c r="I314" s="3" t="s">
        <v>41</v>
      </c>
      <c r="J314" s="3" t="s">
        <v>41</v>
      </c>
      <c r="K314" s="3" t="s">
        <v>42</v>
      </c>
      <c r="L314" s="3" t="s">
        <v>41</v>
      </c>
    </row>
    <row r="315" spans="1:12" ht="69">
      <c r="A315" s="3" t="s">
        <v>4518</v>
      </c>
      <c r="B315" s="3" t="s">
        <v>4519</v>
      </c>
      <c r="C315" s="3" t="s">
        <v>327</v>
      </c>
      <c r="D315" s="3" t="s">
        <v>46</v>
      </c>
      <c r="E315" s="3" t="s">
        <v>3555</v>
      </c>
      <c r="F315" s="3" t="s">
        <v>3566</v>
      </c>
      <c r="G315" s="3" t="s">
        <v>4520</v>
      </c>
      <c r="H315" s="3" t="str">
        <f>HYPERLINK("http://www.jccm.es/sede/tramite/JWL","CALIFICACION SANITARIA DE LAS EXPLOTACIONES DE GANADO BOVINO, OVINO, CAPRINO Y PORCINO EN LA COMUNIDAD AUTONOMA DE CASTILLA-LA MANCHA.")</f>
        <v>CALIFICACION SANITARIA DE LAS EXPLOTACIONES DE GANADO BOVINO, OVINO, CAPRINO Y PORCINO EN LA COMUNIDAD AUTONOMA DE CASTILLA-LA MANCHA.</v>
      </c>
      <c r="I315" s="3" t="s">
        <v>42</v>
      </c>
      <c r="J315" s="3" t="s">
        <v>41</v>
      </c>
      <c r="K315" s="3" t="s">
        <v>41</v>
      </c>
      <c r="L315" s="3" t="s">
        <v>41</v>
      </c>
    </row>
    <row r="316" spans="1:12" ht="69">
      <c r="A316" s="3" t="s">
        <v>4521</v>
      </c>
      <c r="B316" s="3" t="s">
        <v>4522</v>
      </c>
      <c r="C316" s="3" t="s">
        <v>327</v>
      </c>
      <c r="D316" s="3" t="s">
        <v>46</v>
      </c>
      <c r="E316" s="3" t="s">
        <v>3555</v>
      </c>
      <c r="F316" s="3" t="s">
        <v>3566</v>
      </c>
      <c r="G316" s="3" t="s">
        <v>4523</v>
      </c>
      <c r="H316" s="3" t="str">
        <f>HYPERLINK("http://www.jccm.es/sede/tramite/953","CALIFICACION SANITARIA FRENTE A LA BRUCELOSIS BOVINA EN EXPLOTACIONES DE ENGORDE EN LA COMUNIDAD AUTONOMA DE CASTILLA-LA MANCHA")</f>
        <v>CALIFICACION SANITARIA FRENTE A LA BRUCELOSIS BOVINA EN EXPLOTACIONES DE ENGORDE EN LA COMUNIDAD AUTONOMA DE CASTILLA-LA MANCHA</v>
      </c>
      <c r="I316" s="3" t="s">
        <v>42</v>
      </c>
      <c r="J316" s="3" t="s">
        <v>41</v>
      </c>
      <c r="K316" s="3" t="s">
        <v>42</v>
      </c>
      <c r="L316" s="3" t="s">
        <v>41</v>
      </c>
    </row>
    <row r="317" spans="1:12" ht="69">
      <c r="A317" s="3" t="s">
        <v>4524</v>
      </c>
      <c r="B317" s="3" t="s">
        <v>4525</v>
      </c>
      <c r="C317" s="3" t="s">
        <v>327</v>
      </c>
      <c r="D317" s="3" t="s">
        <v>46</v>
      </c>
      <c r="E317" s="3" t="s">
        <v>3555</v>
      </c>
      <c r="F317" s="3" t="s">
        <v>3566</v>
      </c>
      <c r="G317" s="3" t="s">
        <v>4526</v>
      </c>
      <c r="H317" s="3" t="str">
        <f>HYPERLINK("http://www.jccm.es/sede/tramite/K1N","CALIFICACION SANITARIA FRENTE A TUBERCULOSIS BOVINA EN EXPLOTACIONES DE ENGORDE EN LA COMUNIDAD AUTONOMA DE CASTILLA-LA MANCHA.")</f>
        <v>CALIFICACION SANITARIA FRENTE A TUBERCULOSIS BOVINA EN EXPLOTACIONES DE ENGORDE EN LA COMUNIDAD AUTONOMA DE CASTILLA-LA MANCHA.</v>
      </c>
      <c r="I317" s="3" t="s">
        <v>42</v>
      </c>
      <c r="J317" s="3" t="s">
        <v>41</v>
      </c>
      <c r="K317" s="3" t="s">
        <v>42</v>
      </c>
      <c r="L317" s="3" t="s">
        <v>41</v>
      </c>
    </row>
    <row r="318" spans="1:12" ht="69">
      <c r="A318" s="3" t="s">
        <v>4527</v>
      </c>
      <c r="B318" s="3" t="s">
        <v>4528</v>
      </c>
      <c r="C318" s="3" t="s">
        <v>327</v>
      </c>
      <c r="D318" s="3" t="s">
        <v>46</v>
      </c>
      <c r="E318" s="3" t="s">
        <v>3555</v>
      </c>
      <c r="F318" s="3" t="s">
        <v>3566</v>
      </c>
      <c r="G318" s="3" t="s">
        <v>4529</v>
      </c>
      <c r="H318" s="3" t="str">
        <f>HYPERLINK("http://www.jccm.es/sede/tramite/K22","CALIFICACION SANITARIA FRENTE A BRUCELOSIS OVINA/CAPRINA EN EXPLOTACIONES DE ENGORDE EN LA COMUNIDAD AUTONOMA DE CASTILLA-LA MANCHA.")</f>
        <v>CALIFICACION SANITARIA FRENTE A BRUCELOSIS OVINA/CAPRINA EN EXPLOTACIONES DE ENGORDE EN LA COMUNIDAD AUTONOMA DE CASTILLA-LA MANCHA.</v>
      </c>
      <c r="I318" s="3" t="s">
        <v>42</v>
      </c>
      <c r="J318" s="3" t="s">
        <v>41</v>
      </c>
      <c r="K318" s="3" t="s">
        <v>42</v>
      </c>
      <c r="L318" s="3" t="s">
        <v>41</v>
      </c>
    </row>
    <row r="319" spans="1:12" ht="57.6">
      <c r="A319" s="3" t="s">
        <v>4530</v>
      </c>
      <c r="B319" s="3" t="s">
        <v>4531</v>
      </c>
      <c r="C319" s="3" t="s">
        <v>95</v>
      </c>
      <c r="D319" s="3" t="s">
        <v>95</v>
      </c>
      <c r="E319" s="3" t="s">
        <v>3555</v>
      </c>
      <c r="F319" s="3" t="s">
        <v>3616</v>
      </c>
      <c r="G319" s="3" t="s">
        <v>4532</v>
      </c>
      <c r="H319" s="3" t="str">
        <f>HYPERLINK("http://www.jccm.es/sede/tramite/LJM","DOCUMENTO DE ACOMPAÑAMIENTO PRODUCTOS VITIVINICOLAS.")</f>
        <v>DOCUMENTO DE ACOMPAÑAMIENTO PRODUCTOS VITIVINICOLAS.</v>
      </c>
      <c r="I319" s="3" t="s">
        <v>41</v>
      </c>
      <c r="J319" s="3" t="s">
        <v>41</v>
      </c>
      <c r="K319" s="3" t="s">
        <v>42</v>
      </c>
      <c r="L319" s="3" t="s">
        <v>41</v>
      </c>
    </row>
    <row r="320" spans="1:12" ht="57.6">
      <c r="A320" s="3" t="s">
        <v>4533</v>
      </c>
      <c r="B320" s="3" t="s">
        <v>4534</v>
      </c>
      <c r="C320" s="3" t="s">
        <v>95</v>
      </c>
      <c r="D320" s="3" t="s">
        <v>95</v>
      </c>
      <c r="E320" s="3" t="s">
        <v>3555</v>
      </c>
      <c r="F320" s="3" t="s">
        <v>3616</v>
      </c>
      <c r="G320" s="3" t="s">
        <v>4535</v>
      </c>
      <c r="H320" s="3" t="str">
        <f>HYPERLINK("http://www.jccm.es/sede/tramite/K2H","SOLICITUD ALTA DE LA TASA EN GELIBO WEB")</f>
        <v>SOLICITUD ALTA DE LA TASA EN GELIBO WEB</v>
      </c>
      <c r="I320" s="3" t="s">
        <v>42</v>
      </c>
      <c r="J320" s="3" t="s">
        <v>41</v>
      </c>
      <c r="K320" s="3" t="s">
        <v>42</v>
      </c>
      <c r="L320" s="3" t="s">
        <v>41</v>
      </c>
    </row>
    <row r="321" spans="1:12" ht="57.6">
      <c r="A321" s="3" t="s">
        <v>4536</v>
      </c>
      <c r="B321" s="3" t="s">
        <v>4537</v>
      </c>
      <c r="C321" s="3" t="s">
        <v>51</v>
      </c>
      <c r="D321" s="3" t="s">
        <v>37</v>
      </c>
      <c r="E321" s="3" t="s">
        <v>3555</v>
      </c>
      <c r="F321" s="3" t="s">
        <v>3556</v>
      </c>
      <c r="G321" s="3" t="s">
        <v>4538</v>
      </c>
      <c r="H321" s="3" t="str">
        <f>HYPERLINK("http://www.jccm.es/sede/tramite/J5K","INFORME PREVIO DE SUBVENCIONALIDAD LEADER 2014/2020")</f>
        <v>INFORME PREVIO DE SUBVENCIONALIDAD LEADER 2014/2020</v>
      </c>
      <c r="I321" s="3" t="s">
        <v>41</v>
      </c>
      <c r="J321" s="3" t="s">
        <v>41</v>
      </c>
      <c r="K321" s="3" t="s">
        <v>42</v>
      </c>
      <c r="L321" s="3" t="s">
        <v>41</v>
      </c>
    </row>
    <row r="322" spans="1:12" ht="57.6">
      <c r="A322" s="3" t="s">
        <v>4539</v>
      </c>
      <c r="B322" s="3" t="s">
        <v>4540</v>
      </c>
      <c r="C322" s="3" t="s">
        <v>95</v>
      </c>
      <c r="D322" s="3" t="s">
        <v>95</v>
      </c>
      <c r="E322" s="3" t="s">
        <v>3555</v>
      </c>
      <c r="F322" s="3" t="s">
        <v>3566</v>
      </c>
      <c r="G322" s="3" t="s">
        <v>4541</v>
      </c>
      <c r="H322" s="3" t="str">
        <f>HYPERLINK("http://www.jccm.es/sede/tramite/K5P","DECLARACION DE ACCIONES")</f>
        <v>DECLARACION DE ACCIONES</v>
      </c>
      <c r="I322" s="3" t="s">
        <v>41</v>
      </c>
      <c r="J322" s="3" t="s">
        <v>41</v>
      </c>
      <c r="K322" s="3" t="s">
        <v>42</v>
      </c>
      <c r="L322" s="3" t="s">
        <v>41</v>
      </c>
    </row>
    <row r="323" spans="1:12" ht="57.6">
      <c r="A323" s="3" t="s">
        <v>4542</v>
      </c>
      <c r="B323" s="3" t="s">
        <v>4543</v>
      </c>
      <c r="C323" s="3" t="s">
        <v>95</v>
      </c>
      <c r="D323" s="3" t="s">
        <v>95</v>
      </c>
      <c r="E323" s="3" t="s">
        <v>3555</v>
      </c>
      <c r="F323" s="3" t="s">
        <v>3566</v>
      </c>
      <c r="G323" s="3" t="s">
        <v>4544</v>
      </c>
      <c r="H323" s="3" t="str">
        <f>HYPERLINK("http://www.jccm.es/sede/tramite/K5R","DECLARACION DE PLANTACION")</f>
        <v>DECLARACION DE PLANTACION</v>
      </c>
      <c r="I323" s="3" t="s">
        <v>41</v>
      </c>
      <c r="J323" s="3" t="s">
        <v>41</v>
      </c>
      <c r="K323" s="3" t="s">
        <v>42</v>
      </c>
      <c r="L323" s="3" t="s">
        <v>41</v>
      </c>
    </row>
    <row r="324" spans="1:12" ht="57.6">
      <c r="A324" s="3" t="s">
        <v>4545</v>
      </c>
      <c r="B324" s="3" t="s">
        <v>4546</v>
      </c>
      <c r="C324" s="3" t="s">
        <v>95</v>
      </c>
      <c r="D324" s="3" t="s">
        <v>95</v>
      </c>
      <c r="E324" s="3" t="s">
        <v>3555</v>
      </c>
      <c r="F324" s="3" t="s">
        <v>3616</v>
      </c>
      <c r="G324" s="3" t="s">
        <v>4547</v>
      </c>
      <c r="H324" s="3" t="str">
        <f>HYPERLINK("http://www.jccm.es/sede/tramite/K8J","PRESTACION DEL SERVICIO ANALITICO POR EL LABORATORIO REGIONAL AGROALIMENTARIO Y AMBIENTAL DE CASTILLA-LA MANCHA.")</f>
        <v>PRESTACION DEL SERVICIO ANALITICO POR EL LABORATORIO REGIONAL AGROALIMENTARIO Y AMBIENTAL DE CASTILLA-LA MANCHA.</v>
      </c>
      <c r="I324" s="3" t="s">
        <v>42</v>
      </c>
      <c r="J324" s="3" t="s">
        <v>41</v>
      </c>
      <c r="K324" s="3" t="s">
        <v>42</v>
      </c>
      <c r="L324" s="3" t="s">
        <v>41</v>
      </c>
    </row>
    <row r="325" spans="1:12" ht="69">
      <c r="A325" s="3" t="s">
        <v>4548</v>
      </c>
      <c r="B325" s="3" t="s">
        <v>4549</v>
      </c>
      <c r="C325" s="3" t="s">
        <v>4550</v>
      </c>
      <c r="D325" s="3" t="s">
        <v>46</v>
      </c>
      <c r="E325" s="3" t="s">
        <v>3555</v>
      </c>
      <c r="F325" s="3" t="s">
        <v>3643</v>
      </c>
      <c r="G325" s="3" t="s">
        <v>4551</v>
      </c>
      <c r="H325" s="3" t="str">
        <f>HYPERLINK("http://www.jccm.es/sede/tramite/LTI","PROCEDIMIENTO DE RESPONSABILIDAD PATRIMONIAL CONSEJERIA DE AGRICULTURA, AGUA Y DESARROLLO RURAL")</f>
        <v>PROCEDIMIENTO DE RESPONSABILIDAD PATRIMONIAL CONSEJERIA DE AGRICULTURA, AGUA Y DESARROLLO RURAL</v>
      </c>
      <c r="I325" s="3" t="s">
        <v>42</v>
      </c>
      <c r="J325" s="3" t="s">
        <v>41</v>
      </c>
      <c r="K325" s="3" t="s">
        <v>42</v>
      </c>
      <c r="L325" s="3" t="s">
        <v>41</v>
      </c>
    </row>
    <row r="326" spans="1:12" ht="69">
      <c r="A326" s="3" t="s">
        <v>4552</v>
      </c>
      <c r="B326" s="3" t="s">
        <v>4553</v>
      </c>
      <c r="C326" s="3" t="s">
        <v>2140</v>
      </c>
      <c r="D326" s="3" t="s">
        <v>37</v>
      </c>
      <c r="E326" s="3" t="s">
        <v>3555</v>
      </c>
      <c r="F326" s="3" t="s">
        <v>3566</v>
      </c>
      <c r="G326" s="3" t="s">
        <v>4554</v>
      </c>
      <c r="H326" s="3" t="str">
        <f>HYPERLINK("http://www.jccm.es/sede/tramite/LFH","SELECCION DE ENTIDADES COLABORADORAS PARA LA GESTION DEL POTENCIAL VITICOLA.")</f>
        <v>SELECCION DE ENTIDADES COLABORADORAS PARA LA GESTION DEL POTENCIAL VITICOLA.</v>
      </c>
      <c r="I326" s="3" t="s">
        <v>41</v>
      </c>
      <c r="J326" s="3" t="s">
        <v>41</v>
      </c>
      <c r="K326" s="3" t="s">
        <v>42</v>
      </c>
      <c r="L326" s="3" t="s">
        <v>41</v>
      </c>
    </row>
    <row r="327" spans="1:12" ht="80.45">
      <c r="A327" s="3" t="s">
        <v>4555</v>
      </c>
      <c r="B327" s="3" t="s">
        <v>4556</v>
      </c>
      <c r="C327" s="3" t="s">
        <v>374</v>
      </c>
      <c r="D327" s="3" t="s">
        <v>95</v>
      </c>
      <c r="E327" s="3" t="s">
        <v>3555</v>
      </c>
      <c r="F327" s="3" t="s">
        <v>3643</v>
      </c>
      <c r="G327" s="3" t="s">
        <v>4557</v>
      </c>
      <c r="H327" s="3" t="str">
        <f>HYPERLINK("http://www.jccm.es/sede/tramite/LHQ","RECONOCIMIENTO DE ENTIDADES AGRARIAS DE COLABORACION EN EL AMBITO DE LA SOLICITUD UNICA Y EN EL AMBITO DE AYUDAS A LA CREACION E INVERSION EN EXPLOTACIONES AGRARIAS")</f>
        <v>RECONOCIMIENTO DE ENTIDADES AGRARIAS DE COLABORACION EN EL AMBITO DE LA SOLICITUD UNICA Y EN EL AMBITO DE AYUDAS A LA CREACION E INVERSION EN EXPLOTACIONES AGRARIAS</v>
      </c>
      <c r="I327" s="3" t="s">
        <v>41</v>
      </c>
      <c r="J327" s="3" t="s">
        <v>41</v>
      </c>
      <c r="K327" s="3" t="s">
        <v>42</v>
      </c>
      <c r="L327" s="3" t="s">
        <v>41</v>
      </c>
    </row>
    <row r="328" spans="1:12" ht="80.45">
      <c r="A328" s="3" t="s">
        <v>4558</v>
      </c>
      <c r="B328" s="3" t="s">
        <v>4559</v>
      </c>
      <c r="C328" s="3" t="s">
        <v>192</v>
      </c>
      <c r="D328" s="3" t="s">
        <v>46</v>
      </c>
      <c r="E328" s="3" t="s">
        <v>3555</v>
      </c>
      <c r="F328" s="3" t="s">
        <v>3643</v>
      </c>
      <c r="G328" s="3" t="s">
        <v>4560</v>
      </c>
      <c r="H328" s="3" t="str">
        <f>HYPERLINK("http://www.jccm.es/sede/tramite/JXH","PROVISION, POR EL PROCEDIMIENTO DE LIBRE DESIGNACION,  DE PUESTOS DE TRABAJO VACANTES EN LA ADMINISTRACION DE LA JUNTA DE COMUNIDADES DE CASTILLA-LA MANCHA.")</f>
        <v>PROVISION, POR EL PROCEDIMIENTO DE LIBRE DESIGNACION,  DE PUESTOS DE TRABAJO VACANTES EN LA ADMINISTRACION DE LA JUNTA DE COMUNIDADES DE CASTILLA-LA MANCHA.</v>
      </c>
      <c r="I328" s="3" t="s">
        <v>41</v>
      </c>
      <c r="J328" s="3" t="s">
        <v>41</v>
      </c>
      <c r="K328" s="3" t="s">
        <v>42</v>
      </c>
      <c r="L328" s="3" t="s">
        <v>41</v>
      </c>
    </row>
    <row r="329" spans="1:12" ht="92.1">
      <c r="A329" s="3" t="s">
        <v>4561</v>
      </c>
      <c r="B329" s="3" t="s">
        <v>4562</v>
      </c>
      <c r="C329" s="3" t="s">
        <v>36</v>
      </c>
      <c r="D329" s="3" t="s">
        <v>46</v>
      </c>
      <c r="E329" s="3" t="s">
        <v>3555</v>
      </c>
      <c r="F329" s="3" t="s">
        <v>3643</v>
      </c>
      <c r="G329" s="3" t="s">
        <v>4563</v>
      </c>
      <c r="H329" s="3" t="str">
        <f>HYPERLINK("http://www.jccm.es/sede/tramite/LXF","PROVISION, MEDIANTE CONCURSO SINGULARIZADO DE MERITOS (CSM AGADR 2/2022, DE PUESTOS DE TRABAJO VACANTES EN LA ADMINISTRACION DE LA JUNTA DE COMUNIDADES DE CASTILLA-LA MANCHA")</f>
        <v>PROVISION, MEDIANTE CONCURSO SINGULARIZADO DE MERITOS (CSM AGADR 2/2022, DE PUESTOS DE TRABAJO VACANTES EN LA ADMINISTRACION DE LA JUNTA DE COMUNIDADES DE CASTILLA-LA MANCHA</v>
      </c>
      <c r="I329" s="3" t="s">
        <v>41</v>
      </c>
      <c r="J329" s="3" t="s">
        <v>41</v>
      </c>
      <c r="K329" s="3" t="s">
        <v>42</v>
      </c>
      <c r="L329" s="3" t="s">
        <v>41</v>
      </c>
    </row>
    <row r="330" spans="1:12" ht="80.45">
      <c r="A330" s="3" t="s">
        <v>4564</v>
      </c>
      <c r="B330" s="3" t="s">
        <v>4565</v>
      </c>
      <c r="C330" s="3" t="s">
        <v>4566</v>
      </c>
      <c r="D330" s="3" t="s">
        <v>95</v>
      </c>
      <c r="E330" s="3" t="s">
        <v>3555</v>
      </c>
      <c r="F330" s="3" t="s">
        <v>3566</v>
      </c>
      <c r="G330" s="3" t="s">
        <v>4567</v>
      </c>
      <c r="H330" s="3" t="str">
        <f>HYPERLINK("http://www.jccm.es/sede/tramite/KQ7","SELECCION DE LAS OPERADORAS ENCARGADAS DEL SERVICIO DE RETIRADA Y DESTRUCCION DE LOS ANIMALES MUERTOS EN LAS EXPLOTACIONES GANADERAS DENTRO DEL MARCO DEL SEGURO AGRARIO")</f>
        <v>SELECCION DE LAS OPERADORAS ENCARGADAS DEL SERVICIO DE RETIRADA Y DESTRUCCION DE LOS ANIMALES MUERTOS EN LAS EXPLOTACIONES GANADERAS DENTRO DEL MARCO DEL SEGURO AGRARIO</v>
      </c>
      <c r="I330" s="3" t="s">
        <v>42</v>
      </c>
      <c r="J330" s="3" t="s">
        <v>41</v>
      </c>
      <c r="K330" s="3" t="s">
        <v>42</v>
      </c>
      <c r="L330" s="3" t="s">
        <v>41</v>
      </c>
    </row>
  </sheetData>
  <phoneticPr fontId="1" type="noConversion"/>
  <printOptions horizontalCentered="1"/>
  <pageMargins left="0.19685039370078741" right="3.937007874015748E-2" top="0.6692913385826772" bottom="0.43307086614173229" header="0.27559055118110237" footer="0.19685039370078741"/>
  <pageSetup paperSize="9" scale="70" orientation="landscape" r:id="rId1"/>
  <headerFooter alignWithMargins="0">
    <oddHeader>&amp;CConsejería de Agricultura, Agua  y Desarrollo Rural</oddHeader>
    <oddFooter>&amp;CPágina &amp;P</oddFooter>
  </headerFooter>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L5"/>
  <sheetViews>
    <sheetView topLeftCell="C1" zoomScaleNormal="100" workbookViewId="0">
      <selection activeCell="E2" sqref="E2"/>
    </sheetView>
  </sheetViews>
  <sheetFormatPr defaultColWidth="11.42578125" defaultRowHeight="11.45"/>
  <cols>
    <col min="1" max="1" width="16.28515625" style="1" customWidth="1"/>
    <col min="2" max="2" width="26.42578125" style="1" customWidth="1"/>
    <col min="3" max="3" width="18.5703125" style="1" customWidth="1"/>
    <col min="4" max="4" width="14.85546875" style="1" customWidth="1"/>
    <col min="5" max="5" width="20.85546875" style="1" customWidth="1"/>
    <col min="6" max="6" width="23.85546875" style="1" customWidth="1"/>
    <col min="7" max="7" width="11.140625" style="1" bestFit="1" customWidth="1"/>
    <col min="8" max="8" width="29" style="1" customWidth="1"/>
    <col min="9" max="9" width="11.28515625" style="1" bestFit="1" customWidth="1"/>
    <col min="10" max="10" width="4" style="1" bestFit="1" customWidth="1"/>
    <col min="11" max="11" width="7" style="1" bestFit="1" customWidth="1"/>
    <col min="12" max="12" width="5.5703125" style="1" bestFit="1" customWidth="1"/>
    <col min="13" max="16384" width="11.42578125" style="1"/>
  </cols>
  <sheetData>
    <row r="1" spans="1:12" ht="23.1">
      <c r="A1" s="2" t="s">
        <v>25</v>
      </c>
      <c r="B1" s="2" t="s">
        <v>26</v>
      </c>
      <c r="C1" s="2" t="s">
        <v>27</v>
      </c>
      <c r="D1" s="2" t="s">
        <v>2</v>
      </c>
      <c r="E1" s="2" t="s">
        <v>0</v>
      </c>
      <c r="F1" s="2" t="s">
        <v>3</v>
      </c>
      <c r="G1" s="2" t="s">
        <v>28</v>
      </c>
      <c r="H1" s="2" t="s">
        <v>29</v>
      </c>
      <c r="I1" s="2" t="s">
        <v>30</v>
      </c>
      <c r="J1" s="4" t="s">
        <v>31</v>
      </c>
      <c r="K1" s="2" t="s">
        <v>32</v>
      </c>
      <c r="L1" s="2" t="s">
        <v>33</v>
      </c>
    </row>
    <row r="2" spans="1:12" ht="57.6">
      <c r="A2" s="3" t="s">
        <v>4568</v>
      </c>
      <c r="B2" s="3" t="s">
        <v>4569</v>
      </c>
      <c r="C2" s="3" t="s">
        <v>70</v>
      </c>
      <c r="D2" s="3" t="s">
        <v>46</v>
      </c>
      <c r="E2" s="3" t="s">
        <v>4570</v>
      </c>
      <c r="F2" s="3" t="s">
        <v>4570</v>
      </c>
      <c r="G2" s="3" t="s">
        <v>4571</v>
      </c>
      <c r="H2" s="3" t="str">
        <f>HYPERLINK("http://www.jccm.es/sede/tramite/KNN","CONVOCATORIA CONTRATACION 2 PLAZAS DE DOCTORES PARA PROYECTOS DE  INVESTIGACION EN EL IVICAM DE TOMELLOSO (CR) Y EL CIAPA DE MARCHAMALO (GU)")</f>
        <v>CONVOCATORIA CONTRATACION 2 PLAZAS DE DOCTORES PARA PROYECTOS DE  INVESTIGACION EN EL IVICAM DE TOMELLOSO (CR) Y EL CIAPA DE MARCHAMALO (GU)</v>
      </c>
      <c r="I2" s="3" t="s">
        <v>41</v>
      </c>
      <c r="J2" s="3" t="s">
        <v>41</v>
      </c>
      <c r="K2" s="3" t="s">
        <v>42</v>
      </c>
      <c r="L2" s="3" t="s">
        <v>41</v>
      </c>
    </row>
    <row r="3" spans="1:12" ht="80.45">
      <c r="A3" s="3" t="s">
        <v>4572</v>
      </c>
      <c r="B3" s="3" t="s">
        <v>4559</v>
      </c>
      <c r="C3" s="3" t="s">
        <v>192</v>
      </c>
      <c r="D3" s="3" t="s">
        <v>46</v>
      </c>
      <c r="E3" s="3" t="s">
        <v>4570</v>
      </c>
      <c r="F3" s="3" t="s">
        <v>4570</v>
      </c>
      <c r="G3" s="3" t="s">
        <v>4573</v>
      </c>
      <c r="H3" s="3" t="str">
        <f>HYPERLINK("http://www.jccm.es/sede/tramite/KLE","PROVISION, POR EL PROCEDIMIENTO DE LIBRE DESIGNACION (LD.IRIAF.L1/2021), DE UN PUESTO DE TRABAJO DE LA CATEGORIA DE CONDUCTOR/A RESERVADO A PERSONAL LABORAL.")</f>
        <v>PROVISION, POR EL PROCEDIMIENTO DE LIBRE DESIGNACION (LD.IRIAF.L1/2021), DE UN PUESTO DE TRABAJO DE LA CATEGORIA DE CONDUCTOR/A RESERVADO A PERSONAL LABORAL.</v>
      </c>
      <c r="I3" s="3" t="s">
        <v>41</v>
      </c>
      <c r="J3" s="3" t="s">
        <v>41</v>
      </c>
      <c r="K3" s="3" t="s">
        <v>42</v>
      </c>
      <c r="L3" s="3" t="s">
        <v>41</v>
      </c>
    </row>
    <row r="4" spans="1:12" ht="92.1">
      <c r="A4" s="3" t="s">
        <v>4574</v>
      </c>
      <c r="B4" s="3" t="s">
        <v>4575</v>
      </c>
      <c r="C4" s="3" t="s">
        <v>36</v>
      </c>
      <c r="D4" s="3" t="s">
        <v>46</v>
      </c>
      <c r="E4" s="3" t="s">
        <v>4570</v>
      </c>
      <c r="F4" s="3" t="s">
        <v>4570</v>
      </c>
      <c r="G4" s="3" t="s">
        <v>4576</v>
      </c>
      <c r="H4" s="3" t="str">
        <f>HYPERLINK("http://www.jccm.es/sede/tramite/LDR","PROVISION, MEDIANTE CONCURSO SINGULARIZADO DE MERITOS (CSM AAD 1/2022, DE TRES PUESTOS DE TRABAJO VACANTE EN LA ADMINISTRACION DE LA JUNTA DE COMUNIDADES DE CASTILLA-LA MANCHA")</f>
        <v>PROVISION, MEDIANTE CONCURSO SINGULARIZADO DE MERITOS (CSM AAD 1/2022, DE TRES PUESTOS DE TRABAJO VACANTE EN LA ADMINISTRACION DE LA JUNTA DE COMUNIDADES DE CASTILLA-LA MANCHA</v>
      </c>
      <c r="I4" s="3" t="s">
        <v>41</v>
      </c>
      <c r="J4" s="3" t="s">
        <v>41</v>
      </c>
      <c r="K4" s="3" t="s">
        <v>42</v>
      </c>
      <c r="L4" s="3" t="s">
        <v>41</v>
      </c>
    </row>
    <row r="5" spans="1:12" ht="57.6">
      <c r="A5" s="3" t="s">
        <v>4577</v>
      </c>
      <c r="B5" s="3" t="s">
        <v>4578</v>
      </c>
      <c r="C5" s="3" t="s">
        <v>327</v>
      </c>
      <c r="D5" s="3" t="s">
        <v>46</v>
      </c>
      <c r="E5" s="3" t="s">
        <v>4570</v>
      </c>
      <c r="F5" s="3" t="s">
        <v>4570</v>
      </c>
      <c r="G5" s="3" t="s">
        <v>4579</v>
      </c>
      <c r="H5" s="3" t="str">
        <f>HYPERLINK("http://www.jccm.es/sede/tramite/KRJ","SUMINISTRO DE VARETAS DE MATERIAL INICIAL DE PISTACHERO.")</f>
        <v>SUMINISTRO DE VARETAS DE MATERIAL INICIAL DE PISTACHERO.</v>
      </c>
      <c r="I5" s="3" t="s">
        <v>42</v>
      </c>
      <c r="J5" s="3" t="s">
        <v>41</v>
      </c>
      <c r="K5" s="3" t="s">
        <v>42</v>
      </c>
      <c r="L5" s="3" t="s">
        <v>41</v>
      </c>
    </row>
  </sheetData>
  <printOptions horizontalCentered="1"/>
  <pageMargins left="0.19685039370078741" right="3.937007874015748E-2" top="0.6692913385826772" bottom="0.43307086614173229" header="0.27559055118110237" footer="0.19685039370078741"/>
  <pageSetup paperSize="9" scale="70" orientation="landscape" r:id="rId1"/>
  <headerFooter alignWithMargins="0">
    <oddHeader>&amp;CConsejería de Agricultura, Agua  y Desarrollo Rural</oddHeader>
    <oddFooter>&amp;CPágina &amp;P</oddFooter>
  </headerFooter>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L240"/>
  <sheetViews>
    <sheetView zoomScaleNormal="100" workbookViewId="0">
      <selection activeCell="F2" sqref="F2"/>
    </sheetView>
  </sheetViews>
  <sheetFormatPr defaultColWidth="11.42578125" defaultRowHeight="11.45"/>
  <cols>
    <col min="1" max="1" width="15.28515625" style="1" customWidth="1"/>
    <col min="2" max="2" width="27.42578125" style="1" customWidth="1"/>
    <col min="3" max="3" width="11.42578125" style="1"/>
    <col min="4" max="4" width="14.85546875" style="1" customWidth="1"/>
    <col min="5" max="5" width="19.42578125" style="1" customWidth="1"/>
    <col min="6" max="6" width="22.140625" style="1" customWidth="1"/>
    <col min="7" max="7" width="11.140625" style="1" bestFit="1" customWidth="1"/>
    <col min="8" max="8" width="35.85546875" style="1" customWidth="1"/>
    <col min="9" max="9" width="11.28515625" style="1" bestFit="1" customWidth="1"/>
    <col min="10" max="10" width="4" style="1" bestFit="1" customWidth="1"/>
    <col min="11" max="11" width="7" style="1" bestFit="1" customWidth="1"/>
    <col min="12" max="12" width="5.5703125" style="1" bestFit="1" customWidth="1"/>
    <col min="13" max="16384" width="11.42578125" style="1"/>
  </cols>
  <sheetData>
    <row r="1" spans="1:12" ht="23.1">
      <c r="A1" s="2" t="s">
        <v>25</v>
      </c>
      <c r="B1" s="2" t="s">
        <v>26</v>
      </c>
      <c r="C1" s="2" t="s">
        <v>27</v>
      </c>
      <c r="D1" s="2" t="s">
        <v>2</v>
      </c>
      <c r="E1" s="2" t="s">
        <v>0</v>
      </c>
      <c r="F1" s="2" t="s">
        <v>3</v>
      </c>
      <c r="G1" s="2" t="s">
        <v>28</v>
      </c>
      <c r="H1" s="2" t="s">
        <v>29</v>
      </c>
      <c r="I1" s="2" t="s">
        <v>30</v>
      </c>
      <c r="J1" s="4" t="s">
        <v>31</v>
      </c>
      <c r="K1" s="2" t="s">
        <v>32</v>
      </c>
      <c r="L1" s="2" t="s">
        <v>33</v>
      </c>
    </row>
    <row r="2" spans="1:12" ht="57.6">
      <c r="A2" s="3" t="s">
        <v>4580</v>
      </c>
      <c r="B2" s="3" t="s">
        <v>4581</v>
      </c>
      <c r="C2" s="3" t="s">
        <v>3755</v>
      </c>
      <c r="D2" s="3" t="s">
        <v>46</v>
      </c>
      <c r="E2" s="3" t="s">
        <v>4582</v>
      </c>
      <c r="F2" s="3" t="s">
        <v>4583</v>
      </c>
      <c r="G2" s="3" t="s">
        <v>4584</v>
      </c>
      <c r="H2" s="3" t="str">
        <f>HYPERLINK("http://www.jccm.es/sede/tramite/IDD","REGULACION DE USO DE LOS ALBERGUES Y CAMPAMENTOS PERTENECIENTES A LA RED DE ALBERGUES JUVENILES DE CASTILLA-LA MANCHA")</f>
        <v>REGULACION DE USO DE LOS ALBERGUES Y CAMPAMENTOS PERTENECIENTES A LA RED DE ALBERGUES JUVENILES DE CASTILLA-LA MANCHA</v>
      </c>
      <c r="I2" s="3" t="s">
        <v>41</v>
      </c>
      <c r="J2" s="3" t="s">
        <v>41</v>
      </c>
      <c r="K2" s="3" t="s">
        <v>42</v>
      </c>
      <c r="L2" s="3" t="s">
        <v>41</v>
      </c>
    </row>
    <row r="3" spans="1:12" ht="69">
      <c r="A3" s="3" t="s">
        <v>4585</v>
      </c>
      <c r="B3" s="3" t="s">
        <v>4586</v>
      </c>
      <c r="C3" s="3" t="s">
        <v>36</v>
      </c>
      <c r="D3" s="3" t="s">
        <v>37</v>
      </c>
      <c r="E3" s="3" t="s">
        <v>4582</v>
      </c>
      <c r="F3" s="3" t="s">
        <v>4587</v>
      </c>
      <c r="G3" s="3" t="s">
        <v>4588</v>
      </c>
      <c r="H3" s="3" t="str">
        <f>HYPERLINK("http://www.jccm.es/sede/tramite/IIU","AUTORIZACION DE APERTURA Y FUNCIONAMIENTO DE ESCUELAS DE MUSICA Y DANZA E INSRIPCION EN EL REGISTRO DE CENTROS DOCENTES DE CASTILLA-LA MANCHA")</f>
        <v>AUTORIZACION DE APERTURA Y FUNCIONAMIENTO DE ESCUELAS DE MUSICA Y DANZA E INSRIPCION EN EL REGISTRO DE CENTROS DOCENTES DE CASTILLA-LA MANCHA</v>
      </c>
      <c r="I3" s="3" t="s">
        <v>42</v>
      </c>
      <c r="J3" s="3" t="s">
        <v>41</v>
      </c>
      <c r="K3" s="3" t="s">
        <v>42</v>
      </c>
      <c r="L3" s="3" t="s">
        <v>42</v>
      </c>
    </row>
    <row r="4" spans="1:12" ht="80.45">
      <c r="A4" s="3" t="s">
        <v>4589</v>
      </c>
      <c r="B4" s="3" t="s">
        <v>4590</v>
      </c>
      <c r="C4" s="3" t="s">
        <v>45</v>
      </c>
      <c r="D4" s="3" t="s">
        <v>46</v>
      </c>
      <c r="E4" s="3" t="s">
        <v>4582</v>
      </c>
      <c r="F4" s="3" t="s">
        <v>4591</v>
      </c>
      <c r="G4" s="3" t="s">
        <v>4592</v>
      </c>
      <c r="H4" s="3" t="str">
        <f>HYPERLINK("http://www.jccm.es/sede/tramite/IO7","AUTORIZACION DE APERTURA Y FUNCIONAMIENTO DE LOS CENTROS PRIVADOS QUE IMPARTAN LAS ENSEÑANZAS DE TECNICOS DEPORTIVOS EN LA COMUNIDAD AUTONOMA DE CASTILLA-LA MANCHA")</f>
        <v>AUTORIZACION DE APERTURA Y FUNCIONAMIENTO DE LOS CENTROS PRIVADOS QUE IMPARTAN LAS ENSEÑANZAS DE TECNICOS DEPORTIVOS EN LA COMUNIDAD AUTONOMA DE CASTILLA-LA MANCHA</v>
      </c>
      <c r="I4" s="3" t="s">
        <v>42</v>
      </c>
      <c r="J4" s="3" t="s">
        <v>41</v>
      </c>
      <c r="K4" s="3" t="s">
        <v>42</v>
      </c>
      <c r="L4" s="3" t="s">
        <v>41</v>
      </c>
    </row>
    <row r="5" spans="1:12" ht="69">
      <c r="A5" s="3" t="s">
        <v>4593</v>
      </c>
      <c r="B5" s="3" t="s">
        <v>4594</v>
      </c>
      <c r="C5" s="3" t="s">
        <v>45</v>
      </c>
      <c r="D5" s="3" t="s">
        <v>46</v>
      </c>
      <c r="E5" s="3" t="s">
        <v>4582</v>
      </c>
      <c r="F5" s="3" t="s">
        <v>4591</v>
      </c>
      <c r="G5" s="3" t="s">
        <v>4595</v>
      </c>
      <c r="H5" s="3" t="str">
        <f>HYPERLINK("http://www.jccm.es/sede/tramite/I8B","AUTORIZACION DE APERTURA Y FUNCIONAMIENTO DE CENTROS DOCENTES E INSCRIPCION EN EL REGISTRO DE CENTROS DOCENTES DE CASTILLA-LA MANCHA (VUDS)")</f>
        <v>AUTORIZACION DE APERTURA Y FUNCIONAMIENTO DE CENTROS DOCENTES E INSCRIPCION EN EL REGISTRO DE CENTROS DOCENTES DE CASTILLA-LA MANCHA (VUDS)</v>
      </c>
      <c r="I5" s="3" t="s">
        <v>42</v>
      </c>
      <c r="J5" s="3" t="s">
        <v>41</v>
      </c>
      <c r="K5" s="3" t="s">
        <v>42</v>
      </c>
      <c r="L5" s="3" t="s">
        <v>42</v>
      </c>
    </row>
    <row r="6" spans="1:12" ht="92.1">
      <c r="A6" s="3" t="s">
        <v>4596</v>
      </c>
      <c r="B6" s="3" t="s">
        <v>4597</v>
      </c>
      <c r="C6" s="3" t="s">
        <v>4598</v>
      </c>
      <c r="D6" s="3" t="s">
        <v>95</v>
      </c>
      <c r="E6" s="3" t="s">
        <v>4582</v>
      </c>
      <c r="F6" s="3" t="s">
        <v>4591</v>
      </c>
      <c r="G6" s="3" t="s">
        <v>4599</v>
      </c>
      <c r="H6" s="3" t="str">
        <f>HYPERLINK("http://www.jccm.es/sede/tramite/JBJ","PROCEDIMIENTO PARA PERMITIR LA SIMULTANEIDAD DE ESTUDIOS NO UNIVERSITARIOS EN C-LM")</f>
        <v>PROCEDIMIENTO PARA PERMITIR LA SIMULTANEIDAD DE ESTUDIOS NO UNIVERSITARIOS EN C-LM</v>
      </c>
      <c r="I6" s="3" t="s">
        <v>42</v>
      </c>
      <c r="J6" s="3" t="s">
        <v>41</v>
      </c>
      <c r="K6" s="3" t="s">
        <v>42</v>
      </c>
      <c r="L6" s="3" t="s">
        <v>41</v>
      </c>
    </row>
    <row r="7" spans="1:12" ht="183.95">
      <c r="A7" s="3" t="s">
        <v>4600</v>
      </c>
      <c r="B7" s="3" t="s">
        <v>4601</v>
      </c>
      <c r="C7" s="3" t="s">
        <v>4602</v>
      </c>
      <c r="D7" s="3" t="s">
        <v>95</v>
      </c>
      <c r="E7" s="3" t="s">
        <v>4582</v>
      </c>
      <c r="F7" s="3" t="s">
        <v>4603</v>
      </c>
      <c r="G7" s="3" t="s">
        <v>4604</v>
      </c>
      <c r="H7" s="3" t="str">
        <f>HYPERLINK("http://www.jccm.es/sede/tramite/IPT","APERTURA Y FUNCIONAMIENTO DEL SERVICIO DE COMEDOR ESCOLAR EN  CENTROS PUBLICOS DE EDUCACION INFANTIL, PRIMARIA, EDUCACION ESPECIAL Y NO UNIVERSITARIOS CON SERVICIO DE RESIDENCIA")</f>
        <v>APERTURA Y FUNCIONAMIENTO DEL SERVICIO DE COMEDOR ESCOLAR EN  CENTROS PUBLICOS DE EDUCACION INFANTIL, PRIMARIA, EDUCACION ESPECIAL Y NO UNIVERSITARIOS CON SERVICIO DE RESIDENCIA</v>
      </c>
      <c r="I7" s="3" t="s">
        <v>42</v>
      </c>
      <c r="J7" s="3" t="s">
        <v>41</v>
      </c>
      <c r="K7" s="3" t="s">
        <v>42</v>
      </c>
      <c r="L7" s="3" t="s">
        <v>41</v>
      </c>
    </row>
    <row r="8" spans="1:12" ht="57.6">
      <c r="A8" s="3" t="s">
        <v>4605</v>
      </c>
      <c r="B8" s="3" t="s">
        <v>4606</v>
      </c>
      <c r="C8" s="3" t="s">
        <v>45</v>
      </c>
      <c r="D8" s="3" t="s">
        <v>37</v>
      </c>
      <c r="E8" s="3" t="s">
        <v>4582</v>
      </c>
      <c r="F8" s="3" t="s">
        <v>4583</v>
      </c>
      <c r="G8" s="3" t="s">
        <v>4607</v>
      </c>
      <c r="H8" s="3" t="str">
        <f>HYPERLINK("http://www.jccm.es/sede/tramite/JT6","RECONOCIMIENTO OFICIAL DE ALBERGUES JUVENILES")</f>
        <v>RECONOCIMIENTO OFICIAL DE ALBERGUES JUVENILES</v>
      </c>
      <c r="I8" s="3" t="s">
        <v>42</v>
      </c>
      <c r="J8" s="3" t="s">
        <v>41</v>
      </c>
      <c r="K8" s="3" t="s">
        <v>42</v>
      </c>
      <c r="L8" s="3" t="s">
        <v>41</v>
      </c>
    </row>
    <row r="9" spans="1:12" ht="57.6">
      <c r="A9" s="3" t="s">
        <v>4608</v>
      </c>
      <c r="B9" s="3" t="s">
        <v>4609</v>
      </c>
      <c r="C9" s="3" t="s">
        <v>70</v>
      </c>
      <c r="D9" s="3" t="s">
        <v>46</v>
      </c>
      <c r="E9" s="3" t="s">
        <v>4582</v>
      </c>
      <c r="F9" s="3" t="s">
        <v>4610</v>
      </c>
      <c r="G9" s="3" t="s">
        <v>4611</v>
      </c>
      <c r="H9" s="3" t="str">
        <f>HYPERLINK("http://www.jccm.es/sede/tramite/JQW","AUTORIZACION DE INTERVENCIONES EN BIENES INMUEBLES DEL PATRIMONIO CULTURAL DE CASTILLA - LA MANCHA.")</f>
        <v>AUTORIZACION DE INTERVENCIONES EN BIENES INMUEBLES DEL PATRIMONIO CULTURAL DE CASTILLA - LA MANCHA.</v>
      </c>
      <c r="I9" s="3" t="s">
        <v>42</v>
      </c>
      <c r="J9" s="3" t="s">
        <v>41</v>
      </c>
      <c r="K9" s="3" t="s">
        <v>42</v>
      </c>
      <c r="L9" s="3" t="s">
        <v>41</v>
      </c>
    </row>
    <row r="10" spans="1:12" ht="69">
      <c r="A10" s="3" t="s">
        <v>4612</v>
      </c>
      <c r="B10" s="3" t="s">
        <v>4613</v>
      </c>
      <c r="C10" s="3" t="s">
        <v>70</v>
      </c>
      <c r="D10" s="3" t="s">
        <v>46</v>
      </c>
      <c r="E10" s="3" t="s">
        <v>4582</v>
      </c>
      <c r="F10" s="3" t="s">
        <v>4614</v>
      </c>
      <c r="G10" s="3" t="s">
        <v>4615</v>
      </c>
      <c r="H10" s="3" t="str">
        <f>HYPERLINK("http://www.jccm.es/sede/tramite/K1Q","AUTORIZACION DE PROYECTOS DE FORMACION PROFESIONAL DUAL.")</f>
        <v>AUTORIZACION DE PROYECTOS DE FORMACION PROFESIONAL DUAL.</v>
      </c>
      <c r="I10" s="3" t="s">
        <v>41</v>
      </c>
      <c r="J10" s="3" t="s">
        <v>41</v>
      </c>
      <c r="K10" s="3" t="s">
        <v>42</v>
      </c>
      <c r="L10" s="3" t="s">
        <v>41</v>
      </c>
    </row>
    <row r="11" spans="1:12" ht="92.1">
      <c r="A11" s="3" t="s">
        <v>4616</v>
      </c>
      <c r="B11" s="3" t="s">
        <v>4617</v>
      </c>
      <c r="C11" s="3" t="s">
        <v>45</v>
      </c>
      <c r="D11" s="3" t="s">
        <v>46</v>
      </c>
      <c r="E11" s="3" t="s">
        <v>4582</v>
      </c>
      <c r="F11" s="3" t="s">
        <v>4587</v>
      </c>
      <c r="G11" s="3" t="s">
        <v>4618</v>
      </c>
      <c r="H11" s="3" t="str">
        <f>HYPERLINK("http://www.jccm.es/sede/tramite/IV4","PROCEDIMIENTO DE INCORPORACION, MODIFICACION, ABANDONO Y CONTINUIDAD DE PROYECTOS BILINGUES Y PLURILINGUES EN CENTROS EDUCATIVOS NO UNIVERSITARIOS SOSTENIDOS CON FONDOS PUBLICOS DE CLM")</f>
        <v>PROCEDIMIENTO DE INCORPORACION, MODIFICACION, ABANDONO Y CONTINUIDAD DE PROYECTOS BILINGUES Y PLURILINGUES EN CENTROS EDUCATIVOS NO UNIVERSITARIOS SOSTENIDOS CON FONDOS PUBLICOS DE CLM</v>
      </c>
      <c r="I11" s="3" t="s">
        <v>41</v>
      </c>
      <c r="J11" s="3" t="s">
        <v>41</v>
      </c>
      <c r="K11" s="3" t="s">
        <v>42</v>
      </c>
      <c r="L11" s="3" t="s">
        <v>41</v>
      </c>
    </row>
    <row r="12" spans="1:12" ht="69">
      <c r="A12" s="3" t="s">
        <v>4619</v>
      </c>
      <c r="B12" s="3" t="s">
        <v>4620</v>
      </c>
      <c r="C12" s="3" t="s">
        <v>51</v>
      </c>
      <c r="D12" s="3" t="s">
        <v>46</v>
      </c>
      <c r="E12" s="3" t="s">
        <v>4582</v>
      </c>
      <c r="F12" s="3" t="s">
        <v>4587</v>
      </c>
      <c r="G12" s="3" t="s">
        <v>4621</v>
      </c>
      <c r="H12" s="3" t="str">
        <f>HYPERLINK("http://www.jccm.es/sede/tramite/K2U","SOLICITUD PROGRAMA BACHIBAC")</f>
        <v>SOLICITUD PROGRAMA BACHIBAC</v>
      </c>
      <c r="I12" s="3" t="s">
        <v>41</v>
      </c>
      <c r="J12" s="3" t="s">
        <v>41</v>
      </c>
      <c r="K12" s="3" t="s">
        <v>42</v>
      </c>
      <c r="L12" s="3" t="s">
        <v>41</v>
      </c>
    </row>
    <row r="13" spans="1:12" ht="69">
      <c r="A13" s="3" t="s">
        <v>4622</v>
      </c>
      <c r="B13" s="3" t="s">
        <v>4623</v>
      </c>
      <c r="C13" s="3" t="s">
        <v>926</v>
      </c>
      <c r="D13" s="3" t="s">
        <v>46</v>
      </c>
      <c r="E13" s="3" t="s">
        <v>4582</v>
      </c>
      <c r="F13" s="3" t="s">
        <v>4587</v>
      </c>
      <c r="G13" s="3" t="s">
        <v>4624</v>
      </c>
      <c r="H13" s="3" t="str">
        <f>HYPERLINK("http://www.jccm.es/sede/tramite/KMX","CONVOCATORIA PARA LA INCORPORACION A LA RED DE CENTROS COMUNIDADES DE APRENDIZAJE, RECONOCIMIENTO Y CONTINUIDAD.")</f>
        <v>CONVOCATORIA PARA LA INCORPORACION A LA RED DE CENTROS COMUNIDADES DE APRENDIZAJE, RECONOCIMIENTO Y CONTINUIDAD.</v>
      </c>
      <c r="I13" s="3" t="s">
        <v>41</v>
      </c>
      <c r="J13" s="3" t="s">
        <v>41</v>
      </c>
      <c r="K13" s="3" t="s">
        <v>42</v>
      </c>
      <c r="L13" s="3" t="s">
        <v>41</v>
      </c>
    </row>
    <row r="14" spans="1:12" ht="195.6">
      <c r="A14" s="3" t="s">
        <v>4625</v>
      </c>
      <c r="B14" s="3" t="s">
        <v>4626</v>
      </c>
      <c r="C14" s="3" t="s">
        <v>4627</v>
      </c>
      <c r="D14" s="3" t="s">
        <v>46</v>
      </c>
      <c r="E14" s="3" t="s">
        <v>4582</v>
      </c>
      <c r="F14" s="3" t="s">
        <v>4587</v>
      </c>
      <c r="G14" s="3" t="s">
        <v>4628</v>
      </c>
      <c r="H14" s="3" t="str">
        <f>HYPERLINK("http://www.jccm.es/sede/tramite/KP1","SOLICITUD DE IMPLANTACION DE UNA SEGUNDA LENGUA EXTRANJERA EN LOS CENTROS DE EDUCACION INFANTIL Y PRIMARIA SOSTENIDOS CON FONDOS PUBLICOS DE CASTILLA-LA MANCHA.")</f>
        <v>SOLICITUD DE IMPLANTACION DE UNA SEGUNDA LENGUA EXTRANJERA EN LOS CENTROS DE EDUCACION INFANTIL Y PRIMARIA SOSTENIDOS CON FONDOS PUBLICOS DE CASTILLA-LA MANCHA.</v>
      </c>
      <c r="I14" s="3" t="s">
        <v>41</v>
      </c>
      <c r="J14" s="3" t="s">
        <v>41</v>
      </c>
      <c r="K14" s="3" t="s">
        <v>42</v>
      </c>
      <c r="L14" s="3" t="s">
        <v>41</v>
      </c>
    </row>
    <row r="15" spans="1:12" ht="57.6">
      <c r="A15" s="3" t="s">
        <v>4629</v>
      </c>
      <c r="B15" s="3" t="s">
        <v>4630</v>
      </c>
      <c r="C15" s="3" t="s">
        <v>327</v>
      </c>
      <c r="D15" s="3" t="s">
        <v>46</v>
      </c>
      <c r="E15" s="3" t="s">
        <v>4582</v>
      </c>
      <c r="F15" s="3" t="s">
        <v>4591</v>
      </c>
      <c r="G15" s="3" t="s">
        <v>4631</v>
      </c>
      <c r="H15" s="3" t="str">
        <f>HYPERLINK("http://www.jccm.es/sede/tramite/LLG","EXPEDICION DE LOS TITULOS ACADEMICOS Y DE LOS SUPLEMENTOS EUROPEOS AL TITULO DE LAS ENSEÑANZAS ESTABLECIDAS EN LA LOE.")</f>
        <v>EXPEDICION DE LOS TITULOS ACADEMICOS Y DE LOS SUPLEMENTOS EUROPEOS AL TITULO DE LAS ENSEÑANZAS ESTABLECIDAS EN LA LOE.</v>
      </c>
      <c r="I15" s="3" t="s">
        <v>42</v>
      </c>
      <c r="J15" s="3" t="s">
        <v>41</v>
      </c>
      <c r="K15" s="3" t="s">
        <v>42</v>
      </c>
      <c r="L15" s="3" t="s">
        <v>41</v>
      </c>
    </row>
    <row r="16" spans="1:12" ht="69">
      <c r="A16" s="3" t="s">
        <v>4632</v>
      </c>
      <c r="B16" s="3" t="s">
        <v>4633</v>
      </c>
      <c r="C16" s="3" t="s">
        <v>62</v>
      </c>
      <c r="D16" s="3" t="s">
        <v>46</v>
      </c>
      <c r="E16" s="3" t="s">
        <v>4582</v>
      </c>
      <c r="F16" s="3" t="s">
        <v>4591</v>
      </c>
      <c r="G16" s="3" t="s">
        <v>4634</v>
      </c>
      <c r="H16" s="3" t="str">
        <f>HYPERLINK("http://www.jccm.es/sede/tramite/LOM","PROCEDIMIENTO DE SOLICITUD DE PARTICIPACION EN EL DESARROLLO DEL PLAN DE IGUALDAD Y PREVENCION DE LA VIOLENCIA DE GENERO. CURSO 2021/22.")</f>
        <v>PROCEDIMIENTO DE SOLICITUD DE PARTICIPACION EN EL DESARROLLO DEL PLAN DE IGUALDAD Y PREVENCION DE LA VIOLENCIA DE GENERO. CURSO 2021/22.</v>
      </c>
      <c r="I16" s="3" t="s">
        <v>41</v>
      </c>
      <c r="J16" s="3" t="s">
        <v>41</v>
      </c>
      <c r="K16" s="3" t="s">
        <v>42</v>
      </c>
      <c r="L16" s="3" t="s">
        <v>41</v>
      </c>
    </row>
    <row r="17" spans="1:12" ht="57.6">
      <c r="A17" s="3" t="s">
        <v>4635</v>
      </c>
      <c r="B17" s="3" t="s">
        <v>4636</v>
      </c>
      <c r="C17" s="3" t="s">
        <v>62</v>
      </c>
      <c r="D17" s="3" t="s">
        <v>46</v>
      </c>
      <c r="E17" s="3" t="s">
        <v>4582</v>
      </c>
      <c r="F17" s="3" t="s">
        <v>4591</v>
      </c>
      <c r="G17" s="3" t="s">
        <v>4637</v>
      </c>
      <c r="H17" s="3" t="str">
        <f>HYPERLINK("http://www.jccm.es/sede/tramite/LON","JUSTIFICACION DEL CENTRO EDUCATIVO DEL DESARROLLO DEL PLAN DE IGUALDAD Y PREVENCION DE LA VIOLENCIA DE GENERO.")</f>
        <v>JUSTIFICACION DEL CENTRO EDUCATIVO DEL DESARROLLO DEL PLAN DE IGUALDAD Y PREVENCION DE LA VIOLENCIA DE GENERO.</v>
      </c>
      <c r="I17" s="3" t="s">
        <v>41</v>
      </c>
      <c r="J17" s="3" t="s">
        <v>41</v>
      </c>
      <c r="K17" s="3" t="s">
        <v>42</v>
      </c>
      <c r="L17" s="3" t="s">
        <v>41</v>
      </c>
    </row>
    <row r="18" spans="1:12" ht="57.6">
      <c r="A18" s="3" t="s">
        <v>4638</v>
      </c>
      <c r="B18" s="3" t="s">
        <v>4639</v>
      </c>
      <c r="C18" s="3" t="s">
        <v>51</v>
      </c>
      <c r="D18" s="3" t="s">
        <v>37</v>
      </c>
      <c r="E18" s="3" t="s">
        <v>4582</v>
      </c>
      <c r="F18" s="3" t="s">
        <v>4591</v>
      </c>
      <c r="G18" s="3" t="s">
        <v>4640</v>
      </c>
      <c r="H18" s="3" t="str">
        <f>HYPERLINK("http://www.jccm.es/sede/tramite/J1A","REGISTRO CENTRAL DE ASOCIACIONES DE ALUMNOS Y ALUMNAS DE CENTROS DOCENTES NO UNIVERSITARIOS DE CASTILLA-LA MANCHA")</f>
        <v>REGISTRO CENTRAL DE ASOCIACIONES DE ALUMNOS Y ALUMNAS DE CENTROS DOCENTES NO UNIVERSITARIOS DE CASTILLA-LA MANCHA</v>
      </c>
      <c r="I18" s="3" t="s">
        <v>42</v>
      </c>
      <c r="J18" s="3" t="s">
        <v>41</v>
      </c>
      <c r="K18" s="3" t="s">
        <v>42</v>
      </c>
      <c r="L18" s="3" t="s">
        <v>41</v>
      </c>
    </row>
    <row r="19" spans="1:12" ht="69">
      <c r="A19" s="3" t="s">
        <v>4641</v>
      </c>
      <c r="B19" s="3" t="s">
        <v>4642</v>
      </c>
      <c r="C19" s="3" t="s">
        <v>51</v>
      </c>
      <c r="D19" s="3" t="s">
        <v>37</v>
      </c>
      <c r="E19" s="3" t="s">
        <v>4582</v>
      </c>
      <c r="F19" s="3" t="s">
        <v>4591</v>
      </c>
      <c r="G19" s="3" t="s">
        <v>4643</v>
      </c>
      <c r="H19" s="3" t="str">
        <f>HYPERLINK("http://www.jccm.es/sede/tramite/J19","REGISTRO CENTRAL DE ASOCIACIONES DE PADRES Y MADRES DE ALUMNOS DE CENTROS DOCENTES NO UNIVERSITARIOS DE CASTILLA-LA MANCHA")</f>
        <v>REGISTRO CENTRAL DE ASOCIACIONES DE PADRES Y MADRES DE ALUMNOS DE CENTROS DOCENTES NO UNIVERSITARIOS DE CASTILLA-LA MANCHA</v>
      </c>
      <c r="I19" s="3" t="s">
        <v>42</v>
      </c>
      <c r="J19" s="3" t="s">
        <v>41</v>
      </c>
      <c r="K19" s="3" t="s">
        <v>42</v>
      </c>
      <c r="L19" s="3" t="s">
        <v>41</v>
      </c>
    </row>
    <row r="20" spans="1:12" ht="57.6">
      <c r="A20" s="3" t="s">
        <v>4644</v>
      </c>
      <c r="B20" s="3" t="s">
        <v>4645</v>
      </c>
      <c r="C20" s="3" t="s">
        <v>45</v>
      </c>
      <c r="D20" s="3" t="s">
        <v>37</v>
      </c>
      <c r="E20" s="3" t="s">
        <v>4582</v>
      </c>
      <c r="F20" s="3" t="s">
        <v>4583</v>
      </c>
      <c r="G20" s="3" t="s">
        <v>4646</v>
      </c>
      <c r="H20" s="3" t="str">
        <f>HYPERLINK("http://www.jccm.es/sede/tramite/IE3","REGISTRO DE ENTIDADES DEPORTIVAS")</f>
        <v>REGISTRO DE ENTIDADES DEPORTIVAS</v>
      </c>
      <c r="I20" s="3" t="s">
        <v>42</v>
      </c>
      <c r="J20" s="3" t="s">
        <v>41</v>
      </c>
      <c r="K20" s="3" t="s">
        <v>42</v>
      </c>
      <c r="L20" s="3" t="s">
        <v>41</v>
      </c>
    </row>
    <row r="21" spans="1:12" ht="57.6">
      <c r="A21" s="3" t="s">
        <v>4647</v>
      </c>
      <c r="B21" s="3" t="s">
        <v>4648</v>
      </c>
      <c r="C21" s="3" t="s">
        <v>4649</v>
      </c>
      <c r="D21" s="3" t="s">
        <v>37</v>
      </c>
      <c r="E21" s="3" t="s">
        <v>4582</v>
      </c>
      <c r="F21" s="3" t="s">
        <v>4603</v>
      </c>
      <c r="G21" s="3" t="s">
        <v>4650</v>
      </c>
      <c r="H21" s="3" t="str">
        <f>HYPERLINK("http://www.jccm.es/sede/tramite/IUW","REGISTRO DE MATERIALES CURRICULARES.")</f>
        <v>REGISTRO DE MATERIALES CURRICULARES.</v>
      </c>
      <c r="I21" s="3" t="s">
        <v>42</v>
      </c>
      <c r="J21" s="3" t="s">
        <v>41</v>
      </c>
      <c r="K21" s="3" t="s">
        <v>42</v>
      </c>
      <c r="L21" s="3" t="s">
        <v>41</v>
      </c>
    </row>
    <row r="22" spans="1:12" ht="57.6">
      <c r="A22" s="3" t="s">
        <v>4651</v>
      </c>
      <c r="B22" s="3" t="s">
        <v>4652</v>
      </c>
      <c r="C22" s="3" t="s">
        <v>45</v>
      </c>
      <c r="D22" s="3" t="s">
        <v>46</v>
      </c>
      <c r="E22" s="3" t="s">
        <v>4582</v>
      </c>
      <c r="F22" s="3" t="s">
        <v>4610</v>
      </c>
      <c r="G22" s="3" t="s">
        <v>4653</v>
      </c>
      <c r="H22" s="3" t="str">
        <f>HYPERLINK("http://www.jccm.es/sede/tramite/J36","PRESENTACION DE PROPUESTAS DE ESPECTACULOS PARA LA FERIA DE LAS ARTES ESCENICAS Y MUSICALES DE CASTILLA-LA MANCHA.")</f>
        <v>PRESENTACION DE PROPUESTAS DE ESPECTACULOS PARA LA FERIA DE LAS ARTES ESCENICAS Y MUSICALES DE CASTILLA-LA MANCHA.</v>
      </c>
      <c r="I22" s="3" t="s">
        <v>41</v>
      </c>
      <c r="J22" s="3" t="s">
        <v>41</v>
      </c>
      <c r="K22" s="3" t="s">
        <v>42</v>
      </c>
      <c r="L22" s="3" t="s">
        <v>41</v>
      </c>
    </row>
    <row r="23" spans="1:12" ht="80.45">
      <c r="A23" s="3" t="s">
        <v>4654</v>
      </c>
      <c r="B23" s="3" t="s">
        <v>4655</v>
      </c>
      <c r="C23" s="3" t="s">
        <v>45</v>
      </c>
      <c r="D23" s="3" t="s">
        <v>46</v>
      </c>
      <c r="E23" s="3" t="s">
        <v>4582</v>
      </c>
      <c r="F23" s="3" t="s">
        <v>4610</v>
      </c>
      <c r="G23" s="3" t="s">
        <v>4656</v>
      </c>
      <c r="H23" s="3" t="str">
        <f>HYPERLINK("http://www.jccm.es/sede/tramite/J0A","PRESENTACION DE PROPUESTAS DE ESPECTACULOS A LA RED DE ARTES ESCENICAS Y MUSICA DE CASTILLA-LA MANCHA")</f>
        <v>PRESENTACION DE PROPUESTAS DE ESPECTACULOS A LA RED DE ARTES ESCENICAS Y MUSICA DE CASTILLA-LA MANCHA</v>
      </c>
      <c r="I23" s="3" t="s">
        <v>41</v>
      </c>
      <c r="J23" s="3" t="s">
        <v>41</v>
      </c>
      <c r="K23" s="3" t="s">
        <v>42</v>
      </c>
      <c r="L23" s="3" t="s">
        <v>41</v>
      </c>
    </row>
    <row r="24" spans="1:12" ht="57.6">
      <c r="A24" s="3" t="s">
        <v>4657</v>
      </c>
      <c r="B24" s="3" t="s">
        <v>4658</v>
      </c>
      <c r="C24" s="3" t="s">
        <v>1655</v>
      </c>
      <c r="D24" s="3" t="s">
        <v>95</v>
      </c>
      <c r="E24" s="3" t="s">
        <v>4582</v>
      </c>
      <c r="F24" s="3" t="s">
        <v>4610</v>
      </c>
      <c r="G24" s="3" t="s">
        <v>4659</v>
      </c>
      <c r="H24" s="3" t="str">
        <f>HYPERLINK("http://www.jccm.es/sede/tramite/IAQ","REGISTRO DE LA PROPIEDAD INTELECTUAL")</f>
        <v>REGISTRO DE LA PROPIEDAD INTELECTUAL</v>
      </c>
      <c r="I24" s="3" t="s">
        <v>41</v>
      </c>
      <c r="J24" s="3" t="s">
        <v>41</v>
      </c>
      <c r="K24" s="3" t="s">
        <v>41</v>
      </c>
      <c r="L24" s="3" t="s">
        <v>41</v>
      </c>
    </row>
    <row r="25" spans="1:12" ht="57.6">
      <c r="A25" s="3" t="s">
        <v>4660</v>
      </c>
      <c r="B25" s="3" t="s">
        <v>4661</v>
      </c>
      <c r="C25" s="3" t="s">
        <v>442</v>
      </c>
      <c r="D25" s="3" t="s">
        <v>37</v>
      </c>
      <c r="E25" s="3" t="s">
        <v>4582</v>
      </c>
      <c r="F25" s="3" t="s">
        <v>4610</v>
      </c>
      <c r="G25" s="3" t="s">
        <v>4662</v>
      </c>
      <c r="H25" s="3" t="str">
        <f>HYPERLINK("http://www.jccm.es/sede/tramite/JWP","DEPOSITO LEGAL")</f>
        <v>DEPOSITO LEGAL</v>
      </c>
      <c r="I25" s="3" t="s">
        <v>42</v>
      </c>
      <c r="J25" s="3" t="s">
        <v>41</v>
      </c>
      <c r="K25" s="3" t="s">
        <v>42</v>
      </c>
      <c r="L25" s="3" t="s">
        <v>41</v>
      </c>
    </row>
    <row r="26" spans="1:12" ht="69">
      <c r="A26" s="3" t="s">
        <v>4663</v>
      </c>
      <c r="B26" s="3" t="s">
        <v>4664</v>
      </c>
      <c r="C26" s="3" t="s">
        <v>192</v>
      </c>
      <c r="D26" s="3" t="s">
        <v>46</v>
      </c>
      <c r="E26" s="3" t="s">
        <v>4582</v>
      </c>
      <c r="F26" s="3" t="s">
        <v>4610</v>
      </c>
      <c r="G26" s="3" t="s">
        <v>4665</v>
      </c>
      <c r="H26" s="3" t="str">
        <f>HYPERLINK("http://www.jccm.es/sede/tramite/K6J","ADHESION DE ENTIDADES PROGRAMADORAS A LA RED DE ARTES ESCENICAS Y MUSICALES DE CASTILLA-LA MANCHA.")</f>
        <v>ADHESION DE ENTIDADES PROGRAMADORAS A LA RED DE ARTES ESCENICAS Y MUSICALES DE CASTILLA-LA MANCHA.</v>
      </c>
      <c r="I26" s="3" t="s">
        <v>41</v>
      </c>
      <c r="J26" s="3" t="s">
        <v>41</v>
      </c>
      <c r="K26" s="3" t="s">
        <v>42</v>
      </c>
      <c r="L26" s="3" t="s">
        <v>41</v>
      </c>
    </row>
    <row r="27" spans="1:12" ht="69">
      <c r="A27" s="3" t="s">
        <v>4666</v>
      </c>
      <c r="B27" s="3" t="s">
        <v>4667</v>
      </c>
      <c r="C27" s="3" t="s">
        <v>51</v>
      </c>
      <c r="D27" s="3" t="s">
        <v>46</v>
      </c>
      <c r="E27" s="3" t="s">
        <v>4582</v>
      </c>
      <c r="F27" s="3" t="s">
        <v>4668</v>
      </c>
      <c r="G27" s="3" t="s">
        <v>4669</v>
      </c>
      <c r="H27" s="3" t="str">
        <f>HYPERLINK("http://www.jccm.es/sede/tramite/KBC","CATALOGACION DE PUESTOS DE TRABAJO Y CENTROS DOCENTES PUBLICOS NO UNIVERSITARIOS COMO DE ESPECIAL DIFICULTAD POR LA CONSEJERIA DE EDUCACION, CULTURA Y DEPORTES.")</f>
        <v>CATALOGACION DE PUESTOS DE TRABAJO Y CENTROS DOCENTES PUBLICOS NO UNIVERSITARIOS COMO DE ESPECIAL DIFICULTAD POR LA CONSEJERIA DE EDUCACION, CULTURA Y DEPORTES.</v>
      </c>
      <c r="I27" s="3" t="s">
        <v>41</v>
      </c>
      <c r="J27" s="3" t="s">
        <v>41</v>
      </c>
      <c r="K27" s="3" t="s">
        <v>42</v>
      </c>
      <c r="L27" s="3" t="s">
        <v>41</v>
      </c>
    </row>
    <row r="28" spans="1:12" ht="80.45">
      <c r="A28" s="3" t="s">
        <v>4670</v>
      </c>
      <c r="B28" s="3" t="s">
        <v>4671</v>
      </c>
      <c r="C28" s="3" t="s">
        <v>327</v>
      </c>
      <c r="D28" s="3" t="s">
        <v>37</v>
      </c>
      <c r="E28" s="3" t="s">
        <v>4582</v>
      </c>
      <c r="F28" s="3" t="s">
        <v>4672</v>
      </c>
      <c r="G28" s="3" t="s">
        <v>4673</v>
      </c>
      <c r="H28" s="3" t="str">
        <f>HYPERLINK("http://www.jccm.es/sede/tramite/L3R","CREACION DE ACADEMIAS CIENTIFICAS, ARTISTICAS Y LITERARIAS DE LA COMUNIDAD AUTONOMA DE CASTILLA-LA MANCHA.")</f>
        <v>CREACION DE ACADEMIAS CIENTIFICAS, ARTISTICAS Y LITERARIAS DE LA COMUNIDAD AUTONOMA DE CASTILLA-LA MANCHA.</v>
      </c>
      <c r="I28" s="3" t="s">
        <v>42</v>
      </c>
      <c r="J28" s="3" t="s">
        <v>41</v>
      </c>
      <c r="K28" s="3" t="s">
        <v>42</v>
      </c>
      <c r="L28" s="3" t="s">
        <v>41</v>
      </c>
    </row>
    <row r="29" spans="1:12" ht="80.45">
      <c r="A29" s="3" t="s">
        <v>4674</v>
      </c>
      <c r="B29" s="3" t="s">
        <v>4675</v>
      </c>
      <c r="C29" s="3" t="s">
        <v>45</v>
      </c>
      <c r="D29" s="3" t="s">
        <v>37</v>
      </c>
      <c r="E29" s="3" t="s">
        <v>4582</v>
      </c>
      <c r="F29" s="3" t="s">
        <v>4672</v>
      </c>
      <c r="G29" s="3" t="s">
        <v>4676</v>
      </c>
      <c r="H29" s="3" t="str">
        <f>HYPERLINK("http://www.jccm.es/sede/tramite/L3S","INSCRIPCION EN EL REGISTRO DE ACADEMIAS DE CASTILLA-LA MANCHA")</f>
        <v>INSCRIPCION EN EL REGISTRO DE ACADEMIAS DE CASTILLA-LA MANCHA</v>
      </c>
      <c r="I29" s="3" t="s">
        <v>41</v>
      </c>
      <c r="J29" s="3" t="s">
        <v>41</v>
      </c>
      <c r="K29" s="3" t="s">
        <v>42</v>
      </c>
      <c r="L29" s="3" t="s">
        <v>41</v>
      </c>
    </row>
    <row r="30" spans="1:12" ht="57.6">
      <c r="A30" s="3" t="s">
        <v>4677</v>
      </c>
      <c r="B30" s="3" t="s">
        <v>4678</v>
      </c>
      <c r="C30" s="3" t="s">
        <v>1483</v>
      </c>
      <c r="D30" s="3" t="s">
        <v>37</v>
      </c>
      <c r="E30" s="3" t="s">
        <v>4582</v>
      </c>
      <c r="F30" s="3" t="s">
        <v>4610</v>
      </c>
      <c r="G30" s="3" t="s">
        <v>4679</v>
      </c>
      <c r="H30" s="3" t="str">
        <f>HYPERLINK("http://www.jccm.es/sede/tramite/LDZ","ALTA COMO USUARIO COLECTIVO DE LA RED DE BIBLIOTECAS PUBLICAS DE CASTILLA-LA MANCHA")</f>
        <v>ALTA COMO USUARIO COLECTIVO DE LA RED DE BIBLIOTECAS PUBLICAS DE CASTILLA-LA MANCHA</v>
      </c>
      <c r="I30" s="3" t="s">
        <v>42</v>
      </c>
      <c r="J30" s="3" t="s">
        <v>41</v>
      </c>
      <c r="K30" s="3" t="s">
        <v>42</v>
      </c>
      <c r="L30" s="3" t="s">
        <v>41</v>
      </c>
    </row>
    <row r="31" spans="1:12" ht="57.6">
      <c r="A31" s="3" t="s">
        <v>4680</v>
      </c>
      <c r="B31" s="3" t="s">
        <v>4681</v>
      </c>
      <c r="C31" s="3" t="s">
        <v>1483</v>
      </c>
      <c r="D31" s="3" t="s">
        <v>37</v>
      </c>
      <c r="E31" s="3" t="s">
        <v>4582</v>
      </c>
      <c r="F31" s="3" t="s">
        <v>4610</v>
      </c>
      <c r="G31" s="3" t="s">
        <v>4682</v>
      </c>
      <c r="H31" s="3" t="str">
        <f>HYPERLINK("http://www.jccm.es/sede/tramite/LE0","ALTA COMO PERSONA USUARIA DE LA RED DE BIBLIOTECAS PUBLICAS DE CASTILLA-LA MANCHA (TARJETA PERSONAL)")</f>
        <v>ALTA COMO PERSONA USUARIA DE LA RED DE BIBLIOTECAS PUBLICAS DE CASTILLA-LA MANCHA (TARJETA PERSONAL)</v>
      </c>
      <c r="I31" s="3" t="s">
        <v>42</v>
      </c>
      <c r="J31" s="3" t="s">
        <v>41</v>
      </c>
      <c r="K31" s="3" t="s">
        <v>42</v>
      </c>
      <c r="L31" s="3" t="s">
        <v>41</v>
      </c>
    </row>
    <row r="32" spans="1:12" ht="57.6">
      <c r="A32" s="3" t="s">
        <v>4683</v>
      </c>
      <c r="B32" s="3" t="s">
        <v>4684</v>
      </c>
      <c r="C32" s="3" t="s">
        <v>700</v>
      </c>
      <c r="D32" s="3" t="s">
        <v>46</v>
      </c>
      <c r="E32" s="3" t="s">
        <v>4582</v>
      </c>
      <c r="F32" s="3" t="s">
        <v>4610</v>
      </c>
      <c r="G32" s="3" t="s">
        <v>4685</v>
      </c>
      <c r="H32" s="3" t="str">
        <f>HYPERLINK("http://www.jccm.es/sede/tramite/LG4","PRESENTACION DE PROPUESTAS DE ESPECTACULOS PARA EL PROGRAMA  CASTILLA-LA MANCHA ACTUA .")</f>
        <v>PRESENTACION DE PROPUESTAS DE ESPECTACULOS PARA EL PROGRAMA  CASTILLA-LA MANCHA ACTUA .</v>
      </c>
      <c r="I32" s="3" t="s">
        <v>42</v>
      </c>
      <c r="J32" s="3" t="s">
        <v>41</v>
      </c>
      <c r="K32" s="3" t="s">
        <v>42</v>
      </c>
      <c r="L32" s="3" t="s">
        <v>41</v>
      </c>
    </row>
    <row r="33" spans="1:12" ht="57.6">
      <c r="A33" s="3" t="s">
        <v>4686</v>
      </c>
      <c r="B33" s="3" t="s">
        <v>4687</v>
      </c>
      <c r="C33" s="3" t="s">
        <v>45</v>
      </c>
      <c r="D33" s="3" t="s">
        <v>37</v>
      </c>
      <c r="E33" s="3" t="s">
        <v>4582</v>
      </c>
      <c r="F33" s="3" t="s">
        <v>4583</v>
      </c>
      <c r="G33" s="3" t="s">
        <v>4688</v>
      </c>
      <c r="H33" s="3" t="str">
        <f>HYPERLINK("http://www.jccm.es/sede/tramite/KP7","RECONOCIMIENTO DE CORRESPONSALES JUVENILES")</f>
        <v>RECONOCIMIENTO DE CORRESPONSALES JUVENILES</v>
      </c>
      <c r="I33" s="3" t="s">
        <v>41</v>
      </c>
      <c r="J33" s="3" t="s">
        <v>41</v>
      </c>
      <c r="K33" s="3" t="s">
        <v>42</v>
      </c>
      <c r="L33" s="3" t="s">
        <v>41</v>
      </c>
    </row>
    <row r="34" spans="1:12" ht="57.6">
      <c r="A34" s="3" t="s">
        <v>4689</v>
      </c>
      <c r="B34" s="3" t="s">
        <v>4690</v>
      </c>
      <c r="C34" s="3" t="s">
        <v>45</v>
      </c>
      <c r="D34" s="3" t="s">
        <v>37</v>
      </c>
      <c r="E34" s="3" t="s">
        <v>4582</v>
      </c>
      <c r="F34" s="3" t="s">
        <v>4583</v>
      </c>
      <c r="G34" s="3" t="s">
        <v>4691</v>
      </c>
      <c r="H34" s="3" t="str">
        <f>HYPERLINK("http://www.jccm.es/sede/tramite/IDS","RECONOCIMIENTO DE CENTROS Y PUNTOS DE INFORMACION JUVENIL")</f>
        <v>RECONOCIMIENTO DE CENTROS Y PUNTOS DE INFORMACION JUVENIL</v>
      </c>
      <c r="I34" s="3" t="s">
        <v>41</v>
      </c>
      <c r="J34" s="3" t="s">
        <v>41</v>
      </c>
      <c r="K34" s="3" t="s">
        <v>42</v>
      </c>
      <c r="L34" s="3" t="s">
        <v>41</v>
      </c>
    </row>
    <row r="35" spans="1:12" ht="69">
      <c r="A35" s="3" t="s">
        <v>4692</v>
      </c>
      <c r="B35" s="3" t="s">
        <v>4693</v>
      </c>
      <c r="C35" s="3" t="s">
        <v>45</v>
      </c>
      <c r="D35" s="3" t="s">
        <v>46</v>
      </c>
      <c r="E35" s="3" t="s">
        <v>4582</v>
      </c>
      <c r="F35" s="3" t="s">
        <v>4587</v>
      </c>
      <c r="G35" s="3" t="s">
        <v>4694</v>
      </c>
      <c r="H35" s="3" t="str">
        <f>HYPERLINK("http://www.jccm.es/sede/tramite/LN8","MATRICULACION DE ALUMNADO EN CENTROS DOCENTES PUBLICOS Y PRIVADOS CONCERTADOS, 2º CICLO E. INFANTIL, E. PRIMARIA.")</f>
        <v>MATRICULACION DE ALUMNADO EN CENTROS DOCENTES PUBLICOS Y PRIVADOS CONCERTADOS, 2º CICLO E. INFANTIL, E. PRIMARIA.</v>
      </c>
      <c r="I35" s="3" t="s">
        <v>42</v>
      </c>
      <c r="J35" s="3" t="s">
        <v>41</v>
      </c>
      <c r="K35" s="3" t="s">
        <v>42</v>
      </c>
      <c r="L35" s="3" t="s">
        <v>41</v>
      </c>
    </row>
    <row r="36" spans="1:12" ht="69">
      <c r="A36" s="3" t="s">
        <v>4695</v>
      </c>
      <c r="B36" s="3" t="s">
        <v>4696</v>
      </c>
      <c r="C36" s="3" t="s">
        <v>45</v>
      </c>
      <c r="D36" s="3" t="s">
        <v>46</v>
      </c>
      <c r="E36" s="3" t="s">
        <v>4582</v>
      </c>
      <c r="F36" s="3" t="s">
        <v>4587</v>
      </c>
      <c r="G36" s="3" t="s">
        <v>4697</v>
      </c>
      <c r="H36" s="3" t="str">
        <f>HYPERLINK("http://www.jccm.es/sede/tramite/LN7","MATRICULACION DE ALUMNADO EN CENTROS DOCENTES PUBLICOS Y PRIVADOS CONCERTADOS, ESO Y BACHILLERATO.")</f>
        <v>MATRICULACION DE ALUMNADO EN CENTROS DOCENTES PUBLICOS Y PRIVADOS CONCERTADOS, ESO Y BACHILLERATO.</v>
      </c>
      <c r="I36" s="3" t="s">
        <v>42</v>
      </c>
      <c r="J36" s="3" t="s">
        <v>41</v>
      </c>
      <c r="K36" s="3" t="s">
        <v>42</v>
      </c>
      <c r="L36" s="3" t="s">
        <v>41</v>
      </c>
    </row>
    <row r="37" spans="1:12" ht="114.95">
      <c r="A37" s="3" t="s">
        <v>4698</v>
      </c>
      <c r="B37" s="3" t="s">
        <v>4699</v>
      </c>
      <c r="C37" s="3" t="s">
        <v>4700</v>
      </c>
      <c r="D37" s="3" t="s">
        <v>46</v>
      </c>
      <c r="E37" s="3" t="s">
        <v>4582</v>
      </c>
      <c r="F37" s="3" t="s">
        <v>4587</v>
      </c>
      <c r="G37" s="3" t="s">
        <v>4701</v>
      </c>
      <c r="H37" s="3" t="str">
        <f>HYPERLINK("http://www.jccm.es/sede/tramite/417","CONVOCATORIA DE PLAZAS Y AYUDAS CURSOS DE IDIOMAS EN EL EXTRANJERO.")</f>
        <v>CONVOCATORIA DE PLAZAS Y AYUDAS CURSOS DE IDIOMAS EN EL EXTRANJERO.</v>
      </c>
      <c r="I37" s="3" t="s">
        <v>41</v>
      </c>
      <c r="J37" s="3" t="s">
        <v>41</v>
      </c>
      <c r="K37" s="3" t="s">
        <v>42</v>
      </c>
      <c r="L37" s="3" t="s">
        <v>41</v>
      </c>
    </row>
    <row r="38" spans="1:12" ht="57.6">
      <c r="A38" s="3" t="s">
        <v>4702</v>
      </c>
      <c r="B38" s="3" t="s">
        <v>4703</v>
      </c>
      <c r="C38" s="3" t="s">
        <v>926</v>
      </c>
      <c r="D38" s="3" t="s">
        <v>46</v>
      </c>
      <c r="E38" s="3" t="s">
        <v>4582</v>
      </c>
      <c r="F38" s="3" t="s">
        <v>4603</v>
      </c>
      <c r="G38" s="3" t="s">
        <v>4704</v>
      </c>
      <c r="H38" s="3" t="str">
        <f>HYPERLINK("http://www.jccm.es/sede/tramite/I4K","AYUDAS INDIVIDUALES DE TRANSPORTE ESCOLAR EN LOS CENTROS DOCENTES PUBLICOS NO UNIVERSITARIOS DE CASTILLA-LA MANCHA")</f>
        <v>AYUDAS INDIVIDUALES DE TRANSPORTE ESCOLAR EN LOS CENTROS DOCENTES PUBLICOS NO UNIVERSITARIOS DE CASTILLA-LA MANCHA</v>
      </c>
      <c r="I38" s="3" t="s">
        <v>41</v>
      </c>
      <c r="J38" s="3" t="s">
        <v>41</v>
      </c>
      <c r="K38" s="3" t="s">
        <v>42</v>
      </c>
      <c r="L38" s="3" t="s">
        <v>41</v>
      </c>
    </row>
    <row r="39" spans="1:12" ht="57.6">
      <c r="A39" s="3" t="s">
        <v>4705</v>
      </c>
      <c r="B39" s="3" t="s">
        <v>4706</v>
      </c>
      <c r="C39" s="3" t="s">
        <v>4707</v>
      </c>
      <c r="D39" s="3" t="s">
        <v>46</v>
      </c>
      <c r="E39" s="3" t="s">
        <v>4582</v>
      </c>
      <c r="F39" s="3" t="s">
        <v>4591</v>
      </c>
      <c r="G39" s="3" t="s">
        <v>4708</v>
      </c>
      <c r="H39" s="3" t="str">
        <f>HYPERLINK("http://www.jccm.es/sede/tramite/I7I","PREMIOS EXTRAORDINARIOS DE BACHILLERATO DE LA COMUNIDAD AUTONOMA DE CASTILLA-LA MANCHA..")</f>
        <v>PREMIOS EXTRAORDINARIOS DE BACHILLERATO DE LA COMUNIDAD AUTONOMA DE CASTILLA-LA MANCHA..</v>
      </c>
      <c r="I39" s="3" t="s">
        <v>42</v>
      </c>
      <c r="J39" s="3" t="s">
        <v>41</v>
      </c>
      <c r="K39" s="3" t="s">
        <v>42</v>
      </c>
      <c r="L39" s="3" t="s">
        <v>41</v>
      </c>
    </row>
    <row r="40" spans="1:12" ht="92.1">
      <c r="A40" s="3" t="s">
        <v>4709</v>
      </c>
      <c r="B40" s="3" t="s">
        <v>4710</v>
      </c>
      <c r="C40" s="3" t="s">
        <v>45</v>
      </c>
      <c r="D40" s="3" t="s">
        <v>46</v>
      </c>
      <c r="E40" s="3" t="s">
        <v>4582</v>
      </c>
      <c r="F40" s="3" t="s">
        <v>4591</v>
      </c>
      <c r="G40" s="3" t="s">
        <v>4711</v>
      </c>
      <c r="H40" s="3" t="str">
        <f>HYPERLINK("http://www.jccm.es/sede/tramite/IYN","RECURSOS ADICIONALES PARA ALUMNADO CON NECESIDADES ESPECIFICAS DE APOYO EDUCATIVO EN CENTROS PRIVADOS-CONCERTADOS DE CASTILLA-LA MANCHA COMO COMPLEMENTO DEL CONCIERTO EDUCATIVO.")</f>
        <v>RECURSOS ADICIONALES PARA ALUMNADO CON NECESIDADES ESPECIFICAS DE APOYO EDUCATIVO EN CENTROS PRIVADOS-CONCERTADOS DE CASTILLA-LA MANCHA COMO COMPLEMENTO DEL CONCIERTO EDUCATIVO.</v>
      </c>
      <c r="I40" s="3" t="s">
        <v>41</v>
      </c>
      <c r="J40" s="3" t="s">
        <v>41</v>
      </c>
      <c r="K40" s="3" t="s">
        <v>42</v>
      </c>
      <c r="L40" s="3" t="s">
        <v>41</v>
      </c>
    </row>
    <row r="41" spans="1:12" ht="57.6">
      <c r="A41" s="3" t="s">
        <v>4712</v>
      </c>
      <c r="B41" s="3" t="s">
        <v>4713</v>
      </c>
      <c r="C41" s="3" t="s">
        <v>45</v>
      </c>
      <c r="D41" s="3" t="s">
        <v>46</v>
      </c>
      <c r="E41" s="3" t="s">
        <v>4582</v>
      </c>
      <c r="F41" s="3" t="s">
        <v>4583</v>
      </c>
      <c r="G41" s="3" t="s">
        <v>4714</v>
      </c>
      <c r="H41" s="3" t="str">
        <f>HYPERLINK("http://www.jccm.es/sede/tramite/IE5","PREMIOS Y DISTINCIONES AL MERITO DEPORTIVO DE CASTILLA-LA MANCHA")</f>
        <v>PREMIOS Y DISTINCIONES AL MERITO DEPORTIVO DE CASTILLA-LA MANCHA</v>
      </c>
      <c r="I41" s="3" t="s">
        <v>42</v>
      </c>
      <c r="J41" s="3" t="s">
        <v>41</v>
      </c>
      <c r="K41" s="3" t="s">
        <v>42</v>
      </c>
      <c r="L41" s="3" t="s">
        <v>41</v>
      </c>
    </row>
    <row r="42" spans="1:12" ht="80.45">
      <c r="A42" s="3" t="s">
        <v>4715</v>
      </c>
      <c r="B42" s="3" t="s">
        <v>4716</v>
      </c>
      <c r="C42" s="3" t="s">
        <v>45</v>
      </c>
      <c r="D42" s="3" t="s">
        <v>46</v>
      </c>
      <c r="E42" s="3" t="s">
        <v>4582</v>
      </c>
      <c r="F42" s="3" t="s">
        <v>4672</v>
      </c>
      <c r="G42" s="3" t="s">
        <v>4717</v>
      </c>
      <c r="H42" s="3" t="str">
        <f>HYPERLINK("http://www.jccm.es/sede/tramite/F00","ADMISION EN RESIDENCIAS UNIVERSITARIAS DE CASTILLA-LA MANCHA")</f>
        <v>ADMISION EN RESIDENCIAS UNIVERSITARIAS DE CASTILLA-LA MANCHA</v>
      </c>
      <c r="I42" s="3" t="s">
        <v>41</v>
      </c>
      <c r="J42" s="3" t="s">
        <v>41</v>
      </c>
      <c r="K42" s="3" t="s">
        <v>42</v>
      </c>
      <c r="L42" s="3" t="s">
        <v>41</v>
      </c>
    </row>
    <row r="43" spans="1:12" ht="92.1">
      <c r="A43" s="3" t="s">
        <v>4718</v>
      </c>
      <c r="B43" s="3" t="s">
        <v>4719</v>
      </c>
      <c r="C43" s="3" t="s">
        <v>36</v>
      </c>
      <c r="D43" s="3" t="s">
        <v>46</v>
      </c>
      <c r="E43" s="3" t="s">
        <v>4582</v>
      </c>
      <c r="F43" s="3" t="s">
        <v>4610</v>
      </c>
      <c r="G43" s="3" t="s">
        <v>4720</v>
      </c>
      <c r="H43" s="3" t="str">
        <f>HYPERLINK("http://www.jccm.es/sede/tramite/IBT","SUBVENCIONES PARA ADQUISICIONES BIBLIOGRAFICAS, PUBLICACIONES PERIODICAS Y MULTIMEDIA PARA LAS BIBLIOTECAS PUBLICAS MUNICIPALES DE CASTILLA-LA MANCHA")</f>
        <v>SUBVENCIONES PARA ADQUISICIONES BIBLIOGRAFICAS, PUBLICACIONES PERIODICAS Y MULTIMEDIA PARA LAS BIBLIOTECAS PUBLICAS MUNICIPALES DE CASTILLA-LA MANCHA</v>
      </c>
      <c r="I43" s="3" t="s">
        <v>41</v>
      </c>
      <c r="J43" s="3" t="s">
        <v>41</v>
      </c>
      <c r="K43" s="3" t="s">
        <v>42</v>
      </c>
      <c r="L43" s="3" t="s">
        <v>41</v>
      </c>
    </row>
    <row r="44" spans="1:12" ht="57.6">
      <c r="A44" s="3" t="s">
        <v>4721</v>
      </c>
      <c r="B44" s="3" t="s">
        <v>4722</v>
      </c>
      <c r="C44" s="3" t="s">
        <v>36</v>
      </c>
      <c r="D44" s="3" t="s">
        <v>46</v>
      </c>
      <c r="E44" s="3" t="s">
        <v>4582</v>
      </c>
      <c r="F44" s="3" t="s">
        <v>4610</v>
      </c>
      <c r="G44" s="3" t="s">
        <v>4723</v>
      </c>
      <c r="H44" s="3" t="str">
        <f>HYPERLINK("http://www.jccm.es/sede/tramite/IQI","SUBVENCIONES PARA LA DOTACION Y MEJORA DE EQUIPAMIENTO DE BIBLIOTECAS MUNICIPALES DE CASTILLA-LA MANCHA")</f>
        <v>SUBVENCIONES PARA LA DOTACION Y MEJORA DE EQUIPAMIENTO DE BIBLIOTECAS MUNICIPALES DE CASTILLA-LA MANCHA</v>
      </c>
      <c r="I44" s="3" t="s">
        <v>41</v>
      </c>
      <c r="J44" s="3" t="s">
        <v>41</v>
      </c>
      <c r="K44" s="3" t="s">
        <v>42</v>
      </c>
      <c r="L44" s="3" t="s">
        <v>41</v>
      </c>
    </row>
    <row r="45" spans="1:12" ht="57.6">
      <c r="A45" s="3" t="s">
        <v>4724</v>
      </c>
      <c r="B45" s="3" t="s">
        <v>4725</v>
      </c>
      <c r="C45" s="3" t="s">
        <v>36</v>
      </c>
      <c r="D45" s="3" t="s">
        <v>46</v>
      </c>
      <c r="E45" s="3" t="s">
        <v>4582</v>
      </c>
      <c r="F45" s="3" t="s">
        <v>4610</v>
      </c>
      <c r="G45" s="3" t="s">
        <v>4726</v>
      </c>
      <c r="H45" s="3" t="str">
        <f>HYPERLINK("http://www.jccm.es/sede/tramite/IB8","SUBVENCIONES PARA EL MANTENIMIENTO DE CONTRATOS DE BIBLIOTECARIOS MUNICIPALES POR ENTIDADES LOCALES DE CASTILLA-LA MANCHA")</f>
        <v>SUBVENCIONES PARA EL MANTENIMIENTO DE CONTRATOS DE BIBLIOTECARIOS MUNICIPALES POR ENTIDADES LOCALES DE CASTILLA-LA MANCHA</v>
      </c>
      <c r="I45" s="3" t="s">
        <v>41</v>
      </c>
      <c r="J45" s="3" t="s">
        <v>41</v>
      </c>
      <c r="K45" s="3" t="s">
        <v>42</v>
      </c>
      <c r="L45" s="3" t="s">
        <v>41</v>
      </c>
    </row>
    <row r="46" spans="1:12" ht="103.5">
      <c r="A46" s="3" t="s">
        <v>4727</v>
      </c>
      <c r="B46" s="3" t="s">
        <v>4728</v>
      </c>
      <c r="C46" s="3" t="s">
        <v>51</v>
      </c>
      <c r="D46" s="3" t="s">
        <v>46</v>
      </c>
      <c r="E46" s="3" t="s">
        <v>4582</v>
      </c>
      <c r="F46" s="3" t="s">
        <v>4587</v>
      </c>
      <c r="G46" s="3" t="s">
        <v>4729</v>
      </c>
      <c r="H46" s="3" t="str">
        <f>HYPERLINK("http://www.jccm.es/sede/tramite/G85","AYUDAS PARA REALIZAR CURSOS DE FORMACION LINGUISTICA Y/O METODOLOGICA FUERA DE ESPAÑA PARA EL PROFESORADO DE CENTROS PUBLICOS DE TITULARIDAD DE LA JCCM")</f>
        <v>AYUDAS PARA REALIZAR CURSOS DE FORMACION LINGUISTICA Y/O METODOLOGICA FUERA DE ESPAÑA PARA EL PROFESORADO DE CENTROS PUBLICOS DE TITULARIDAD DE LA JCCM</v>
      </c>
      <c r="I46" s="3" t="s">
        <v>41</v>
      </c>
      <c r="J46" s="3" t="s">
        <v>41</v>
      </c>
      <c r="K46" s="3" t="s">
        <v>42</v>
      </c>
      <c r="L46" s="3" t="s">
        <v>41</v>
      </c>
    </row>
    <row r="47" spans="1:12" ht="92.1">
      <c r="A47" s="3" t="s">
        <v>4730</v>
      </c>
      <c r="B47" s="3" t="s">
        <v>4731</v>
      </c>
      <c r="C47" s="3" t="s">
        <v>4732</v>
      </c>
      <c r="D47" s="3" t="s">
        <v>46</v>
      </c>
      <c r="E47" s="3" t="s">
        <v>4582</v>
      </c>
      <c r="F47" s="3" t="s">
        <v>4591</v>
      </c>
      <c r="G47" s="3" t="s">
        <v>4733</v>
      </c>
      <c r="H47" s="3" t="str">
        <f>HYPERLINK("http://www.jccm.es/sede/tramite/IHZ","CONVOCATORIA DE SUBVENCIONES PARA EL MANTENIMIENTO DE CENTROS DE EDUCACION INFANTIL")</f>
        <v>CONVOCATORIA DE SUBVENCIONES PARA EL MANTENIMIENTO DE CENTROS DE EDUCACION INFANTIL</v>
      </c>
      <c r="I47" s="3" t="s">
        <v>41</v>
      </c>
      <c r="J47" s="3" t="s">
        <v>41</v>
      </c>
      <c r="K47" s="3" t="s">
        <v>42</v>
      </c>
      <c r="L47" s="3" t="s">
        <v>41</v>
      </c>
    </row>
    <row r="48" spans="1:12" ht="114.95">
      <c r="A48" s="3" t="s">
        <v>4734</v>
      </c>
      <c r="B48" s="3" t="s">
        <v>4735</v>
      </c>
      <c r="C48" s="3" t="s">
        <v>4736</v>
      </c>
      <c r="D48" s="3" t="s">
        <v>46</v>
      </c>
      <c r="E48" s="3" t="s">
        <v>4582</v>
      </c>
      <c r="F48" s="3" t="s">
        <v>4591</v>
      </c>
      <c r="G48" s="3" t="s">
        <v>4737</v>
      </c>
      <c r="H48" s="3" t="str">
        <f>HYPERLINK("http://www.jccm.es/sede/tramite/IUE","CONVOCATORIA DE SUBVENCIONES PARA EL MANTENIMIENTO DE ESCUELAS INFANTILES")</f>
        <v>CONVOCATORIA DE SUBVENCIONES PARA EL MANTENIMIENTO DE ESCUELAS INFANTILES</v>
      </c>
      <c r="I48" s="3" t="s">
        <v>41</v>
      </c>
      <c r="J48" s="3" t="s">
        <v>41</v>
      </c>
      <c r="K48" s="3" t="s">
        <v>42</v>
      </c>
      <c r="L48" s="3" t="s">
        <v>41</v>
      </c>
    </row>
    <row r="49" spans="1:12" ht="57.6">
      <c r="A49" s="3" t="s">
        <v>4738</v>
      </c>
      <c r="B49" s="3" t="s">
        <v>4739</v>
      </c>
      <c r="C49" s="3" t="s">
        <v>45</v>
      </c>
      <c r="D49" s="3" t="s">
        <v>46</v>
      </c>
      <c r="E49" s="3" t="s">
        <v>4582</v>
      </c>
      <c r="F49" s="3" t="s">
        <v>4610</v>
      </c>
      <c r="G49" s="3" t="s">
        <v>4740</v>
      </c>
      <c r="H49" s="3" t="str">
        <f>HYPERLINK("http://www.jccm.es/sede/tramite/JR1","CONCESION DE PREMIOS EN METALICO POR EL HALLAZGO DE OBJETOS Y RESTOS ARQUEOLOGICOS.")</f>
        <v>CONCESION DE PREMIOS EN METALICO POR EL HALLAZGO DE OBJETOS Y RESTOS ARQUEOLOGICOS.</v>
      </c>
      <c r="I49" s="3" t="s">
        <v>42</v>
      </c>
      <c r="J49" s="3" t="s">
        <v>41</v>
      </c>
      <c r="K49" s="3" t="s">
        <v>42</v>
      </c>
      <c r="L49" s="3" t="s">
        <v>41</v>
      </c>
    </row>
    <row r="50" spans="1:12" ht="57.6">
      <c r="A50" s="3" t="s">
        <v>4741</v>
      </c>
      <c r="B50" s="3" t="s">
        <v>4742</v>
      </c>
      <c r="C50" s="3" t="s">
        <v>70</v>
      </c>
      <c r="D50" s="3" t="s">
        <v>46</v>
      </c>
      <c r="E50" s="3" t="s">
        <v>4582</v>
      </c>
      <c r="F50" s="3" t="s">
        <v>4603</v>
      </c>
      <c r="G50" s="3" t="s">
        <v>4743</v>
      </c>
      <c r="H50" s="3" t="str">
        <f>HYPERLINK("http://www.jccm.es/sede/tramite/294","CONVOCATORIA DE PLAZAS DE ESTANCIA EN RESIDENCIAS ESCOLARES DE CASTILLA-LA MANCHA.")</f>
        <v>CONVOCATORIA DE PLAZAS DE ESTANCIA EN RESIDENCIAS ESCOLARES DE CASTILLA-LA MANCHA.</v>
      </c>
      <c r="I50" s="3" t="s">
        <v>42</v>
      </c>
      <c r="J50" s="3" t="s">
        <v>41</v>
      </c>
      <c r="K50" s="3" t="s">
        <v>42</v>
      </c>
      <c r="L50" s="3" t="s">
        <v>41</v>
      </c>
    </row>
    <row r="51" spans="1:12" ht="103.5">
      <c r="A51" s="3" t="s">
        <v>4744</v>
      </c>
      <c r="B51" s="3" t="s">
        <v>4745</v>
      </c>
      <c r="C51" s="3" t="s">
        <v>4746</v>
      </c>
      <c r="D51" s="3" t="s">
        <v>46</v>
      </c>
      <c r="E51" s="3" t="s">
        <v>4582</v>
      </c>
      <c r="F51" s="3" t="s">
        <v>4603</v>
      </c>
      <c r="G51" s="3" t="s">
        <v>4747</v>
      </c>
      <c r="H51" s="3" t="str">
        <f>HYPERLINK("http://www.jccm.es/sede/tramite/K5Y","SUBVENCIONES PARA LA ADQUISICION DE MATERIALES CURRICULARES PARA ALUMNADO EBO MATRICULADO EN CENTROS DE EDUCACION ESPECIAL PRIVADOS CONCERTADOS DE CASTILLA-LA MANCHA")</f>
        <v>SUBVENCIONES PARA LA ADQUISICION DE MATERIALES CURRICULARES PARA ALUMNADO EBO MATRICULADO EN CENTROS DE EDUCACION ESPECIAL PRIVADOS CONCERTADOS DE CASTILLA-LA MANCHA</v>
      </c>
      <c r="I51" s="3" t="s">
        <v>41</v>
      </c>
      <c r="J51" s="3" t="s">
        <v>41</v>
      </c>
      <c r="K51" s="3" t="s">
        <v>42</v>
      </c>
      <c r="L51" s="3" t="s">
        <v>41</v>
      </c>
    </row>
    <row r="52" spans="1:12" ht="69">
      <c r="A52" s="3" t="s">
        <v>4748</v>
      </c>
      <c r="B52" s="3" t="s">
        <v>4749</v>
      </c>
      <c r="C52" s="3" t="s">
        <v>45</v>
      </c>
      <c r="D52" s="3" t="s">
        <v>46</v>
      </c>
      <c r="E52" s="3" t="s">
        <v>4582</v>
      </c>
      <c r="F52" s="3" t="s">
        <v>4614</v>
      </c>
      <c r="G52" s="3" t="s">
        <v>4750</v>
      </c>
      <c r="H52" s="3" t="str">
        <f>HYPERLINK("http://www.jccm.es/sede/tramite/K5A","BECAS DE FORMACION A LOS ALUMNOS QUE PARTICIPEN EN LOS PROYECTOS DE FORMACION PROFESIONAL DUAL EN CASTILLA-LA MANCHA, AUTORIZADOS DURANTE EL CURSO 2019-2020")</f>
        <v>BECAS DE FORMACION A LOS ALUMNOS QUE PARTICIPEN EN LOS PROYECTOS DE FORMACION PROFESIONAL DUAL EN CASTILLA-LA MANCHA, AUTORIZADOS DURANTE EL CURSO 2019-2020</v>
      </c>
      <c r="I52" s="3" t="s">
        <v>41</v>
      </c>
      <c r="J52" s="3" t="s">
        <v>41</v>
      </c>
      <c r="K52" s="3" t="s">
        <v>42</v>
      </c>
      <c r="L52" s="3" t="s">
        <v>41</v>
      </c>
    </row>
    <row r="53" spans="1:12" ht="69">
      <c r="A53" s="3" t="s">
        <v>4751</v>
      </c>
      <c r="B53" s="3" t="s">
        <v>4752</v>
      </c>
      <c r="C53" s="3" t="s">
        <v>45</v>
      </c>
      <c r="D53" s="3" t="s">
        <v>46</v>
      </c>
      <c r="E53" s="3" t="s">
        <v>4582</v>
      </c>
      <c r="F53" s="3" t="s">
        <v>4610</v>
      </c>
      <c r="G53" s="3" t="s">
        <v>4753</v>
      </c>
      <c r="H53" s="3" t="str">
        <f>HYPERLINK("http://www.jccm.es/sede/tramite/IFA","SUBVENCIONES PARA LA FINANCIACION DE PROYECTOS DE INVESTIGACION DEL PATRIMONIO ARQUEOLOGICO Y PALEONTOLOGICO DE CASTILLA - LA MANCHA")</f>
        <v>SUBVENCIONES PARA LA FINANCIACION DE PROYECTOS DE INVESTIGACION DEL PATRIMONIO ARQUEOLOGICO Y PALEONTOLOGICO DE CASTILLA - LA MANCHA</v>
      </c>
      <c r="I53" s="3" t="s">
        <v>41</v>
      </c>
      <c r="J53" s="3" t="s">
        <v>41</v>
      </c>
      <c r="K53" s="3" t="s">
        <v>42</v>
      </c>
      <c r="L53" s="3" t="s">
        <v>41</v>
      </c>
    </row>
    <row r="54" spans="1:12" ht="69">
      <c r="A54" s="3" t="s">
        <v>4754</v>
      </c>
      <c r="B54" s="3" t="s">
        <v>4755</v>
      </c>
      <c r="C54" s="3" t="s">
        <v>4756</v>
      </c>
      <c r="D54" s="3" t="s">
        <v>46</v>
      </c>
      <c r="E54" s="3" t="s">
        <v>4582</v>
      </c>
      <c r="F54" s="3" t="s">
        <v>4591</v>
      </c>
      <c r="G54" s="3" t="s">
        <v>4757</v>
      </c>
      <c r="H54" s="3" t="str">
        <f>HYPERLINK("http://www.jccm.es/sede/tramite/K9Z","PREMIOS EXTRAORDINARIOS DE ENSEÑANZAS ARTISTICAS PROFESIONALES DE LA COMUNIDAD AUTONOMA DE CASTILLA-LA MANCHA.")</f>
        <v>PREMIOS EXTRAORDINARIOS DE ENSEÑANZAS ARTISTICAS PROFESIONALES DE LA COMUNIDAD AUTONOMA DE CASTILLA-LA MANCHA.</v>
      </c>
      <c r="I54" s="3" t="s">
        <v>42</v>
      </c>
      <c r="J54" s="3" t="s">
        <v>41</v>
      </c>
      <c r="K54" s="3" t="s">
        <v>41</v>
      </c>
      <c r="L54" s="3" t="s">
        <v>41</v>
      </c>
    </row>
    <row r="55" spans="1:12" ht="57.6">
      <c r="A55" s="3" t="s">
        <v>4758</v>
      </c>
      <c r="B55" s="3" t="s">
        <v>4759</v>
      </c>
      <c r="C55" s="3" t="s">
        <v>4760</v>
      </c>
      <c r="D55" s="3" t="s">
        <v>46</v>
      </c>
      <c r="E55" s="3" t="s">
        <v>4582</v>
      </c>
      <c r="F55" s="3" t="s">
        <v>4591</v>
      </c>
      <c r="G55" s="3" t="s">
        <v>4761</v>
      </c>
      <c r="H55" s="3" t="str">
        <f>HYPERLINK("http://www.jccm.es/sede/tramite/KA0",".PREMIOS EXTRAORDINARIOS DE EDUCACION SECUNDARIA OBLIGATORIA DE LA COMUNIDAD AUTONOMA DE CASTILLA-LA MANCHA.")</f>
        <v>.PREMIOS EXTRAORDINARIOS DE EDUCACION SECUNDARIA OBLIGATORIA DE LA COMUNIDAD AUTONOMA DE CASTILLA-LA MANCHA.</v>
      </c>
      <c r="I55" s="3" t="s">
        <v>42</v>
      </c>
      <c r="J55" s="3" t="s">
        <v>41</v>
      </c>
      <c r="K55" s="3" t="s">
        <v>42</v>
      </c>
      <c r="L55" s="3" t="s">
        <v>41</v>
      </c>
    </row>
    <row r="56" spans="1:12" ht="114.95">
      <c r="A56" s="3" t="s">
        <v>4762</v>
      </c>
      <c r="B56" s="3" t="s">
        <v>4763</v>
      </c>
      <c r="C56" s="3" t="s">
        <v>327</v>
      </c>
      <c r="D56" s="3" t="s">
        <v>46</v>
      </c>
      <c r="E56" s="3" t="s">
        <v>4582</v>
      </c>
      <c r="F56" s="3" t="s">
        <v>4672</v>
      </c>
      <c r="G56" s="3" t="s">
        <v>4764</v>
      </c>
      <c r="H56" s="3" t="str">
        <f>HYPERLINK("http://www.jccm.es/sede/tramite/ILM","AYUDAS PARA LA CONTRATACION DE DOCTORES EN CENTROS PUBLICOS DE INVESTIGACION Y  EMPRESAS, DENTRO DE LAS MEDIDAS PARA EL RETORNO Y LA RETENCION DEL TALENTO, COFINANCIADAS POR LA JCCM Y EL FSE +")</f>
        <v>AYUDAS PARA LA CONTRATACION DE DOCTORES EN CENTROS PUBLICOS DE INVESTIGACION Y  EMPRESAS, DENTRO DE LAS MEDIDAS PARA EL RETORNO Y LA RETENCION DEL TALENTO, COFINANCIADAS POR LA JCCM Y EL FSE +</v>
      </c>
      <c r="I56" s="3" t="s">
        <v>41</v>
      </c>
      <c r="J56" s="3" t="s">
        <v>41</v>
      </c>
      <c r="K56" s="3" t="s">
        <v>42</v>
      </c>
      <c r="L56" s="3" t="s">
        <v>41</v>
      </c>
    </row>
    <row r="57" spans="1:12" ht="80.45">
      <c r="A57" s="3" t="s">
        <v>4765</v>
      </c>
      <c r="B57" s="3" t="s">
        <v>4766</v>
      </c>
      <c r="C57" s="3" t="s">
        <v>327</v>
      </c>
      <c r="D57" s="3" t="s">
        <v>46</v>
      </c>
      <c r="E57" s="3" t="s">
        <v>4582</v>
      </c>
      <c r="F57" s="3" t="s">
        <v>4672</v>
      </c>
      <c r="G57" s="3" t="s">
        <v>4767</v>
      </c>
      <c r="H57" s="3" t="str">
        <f>HYPERLINK("http://www.jccm.es/sede/tramite/KAZ","AYUDAS PARA REALIZACION DE PROYECTOS DE INVESTIGACION CIENTIFICA Y TRANSFERENCIA DE TECNOLOGIA")</f>
        <v>AYUDAS PARA REALIZACION DE PROYECTOS DE INVESTIGACION CIENTIFICA Y TRANSFERENCIA DE TECNOLOGIA</v>
      </c>
      <c r="I57" s="3" t="s">
        <v>41</v>
      </c>
      <c r="J57" s="3" t="s">
        <v>41</v>
      </c>
      <c r="K57" s="3" t="s">
        <v>42</v>
      </c>
      <c r="L57" s="3" t="s">
        <v>41</v>
      </c>
    </row>
    <row r="58" spans="1:12" ht="126.6">
      <c r="A58" s="3" t="s">
        <v>4768</v>
      </c>
      <c r="B58" s="3" t="s">
        <v>4769</v>
      </c>
      <c r="C58" s="3" t="s">
        <v>4770</v>
      </c>
      <c r="D58" s="3" t="s">
        <v>46</v>
      </c>
      <c r="E58" s="3" t="s">
        <v>4582</v>
      </c>
      <c r="F58" s="3" t="s">
        <v>4587</v>
      </c>
      <c r="G58" s="3" t="s">
        <v>4771</v>
      </c>
      <c r="H58" s="3" t="str">
        <f>HYPERLINK("http://www.jccm.es/sede/tramite/KGT","AYUDAS DE FORMACION A LOS ALUMNOS QUE PARTICIPEN EN EL SISTEMA  NACIONAL DE G. JUVENIL EN CUALQUIERA DE LAS ENSEÑANZAS DE LA OFERTA EDUCATIVA DE LA CONSEJERIA DE EDUCACION, CULTURA Y DEPORTES")</f>
        <v>AYUDAS DE FORMACION A LOS ALUMNOS QUE PARTICIPEN EN EL SISTEMA  NACIONAL DE G. JUVENIL EN CUALQUIERA DE LAS ENSEÑANZAS DE LA OFERTA EDUCATIVA DE LA CONSEJERIA DE EDUCACION, CULTURA Y DEPORTES</v>
      </c>
      <c r="I58" s="3" t="s">
        <v>41</v>
      </c>
      <c r="J58" s="3" t="s">
        <v>41</v>
      </c>
      <c r="K58" s="3" t="s">
        <v>42</v>
      </c>
      <c r="L58" s="3" t="s">
        <v>41</v>
      </c>
    </row>
    <row r="59" spans="1:12" ht="57.6">
      <c r="A59" s="3" t="s">
        <v>4772</v>
      </c>
      <c r="B59" s="3" t="s">
        <v>4773</v>
      </c>
      <c r="C59" s="3" t="s">
        <v>62</v>
      </c>
      <c r="D59" s="3" t="s">
        <v>46</v>
      </c>
      <c r="E59" s="3" t="s">
        <v>4582</v>
      </c>
      <c r="F59" s="3" t="s">
        <v>4603</v>
      </c>
      <c r="G59" s="3" t="s">
        <v>4774</v>
      </c>
      <c r="H59" s="3" t="str">
        <f>HYPERLINK("http://www.jccm.es/sede/tramite/I4N","PLAZAS DE BECARIOS COLABORADORES EN LA RED DE RESIDENCIAS ESCOLARES PUBLICAS DE CASTILLA-LA MANCHA")</f>
        <v>PLAZAS DE BECARIOS COLABORADORES EN LA RED DE RESIDENCIAS ESCOLARES PUBLICAS DE CASTILLA-LA MANCHA</v>
      </c>
      <c r="I59" s="3" t="s">
        <v>42</v>
      </c>
      <c r="J59" s="3" t="s">
        <v>41</v>
      </c>
      <c r="K59" s="3" t="s">
        <v>42</v>
      </c>
      <c r="L59" s="3" t="s">
        <v>41</v>
      </c>
    </row>
    <row r="60" spans="1:12" ht="114.95">
      <c r="A60" s="3" t="s">
        <v>4775</v>
      </c>
      <c r="B60" s="3" t="s">
        <v>4776</v>
      </c>
      <c r="C60" s="3" t="s">
        <v>4777</v>
      </c>
      <c r="D60" s="3" t="s">
        <v>46</v>
      </c>
      <c r="E60" s="3" t="s">
        <v>4582</v>
      </c>
      <c r="F60" s="3" t="s">
        <v>4587</v>
      </c>
      <c r="G60" s="3" t="s">
        <v>4778</v>
      </c>
      <c r="H60" s="3" t="str">
        <f>HYPERLINK("http://www.jccm.es/sede/tramite/KNL","CONVOCATORIA DEL PROCEDIMIENTO PARA LA SELECCION DE CENTROS  EDUCATIVOS PARTICIPANTES EN UNA ESTANCIA DE INMERSION EN INGLES EN EL CENTRO RURAL DE INNOVACION EDUCATIVA DE CUENCA (CRIEC).")</f>
        <v>CONVOCATORIA DEL PROCEDIMIENTO PARA LA SELECCION DE CENTROS  EDUCATIVOS PARTICIPANTES EN UNA ESTANCIA DE INMERSION EN INGLES EN EL CENTRO RURAL DE INNOVACION EDUCATIVA DE CUENCA (CRIEC).</v>
      </c>
      <c r="I60" s="3" t="s">
        <v>41</v>
      </c>
      <c r="J60" s="3" t="s">
        <v>41</v>
      </c>
      <c r="K60" s="3" t="s">
        <v>42</v>
      </c>
      <c r="L60" s="3" t="s">
        <v>41</v>
      </c>
    </row>
    <row r="61" spans="1:12" ht="149.44999999999999">
      <c r="A61" s="3" t="s">
        <v>4779</v>
      </c>
      <c r="B61" s="3" t="s">
        <v>4780</v>
      </c>
      <c r="C61" s="3" t="s">
        <v>51</v>
      </c>
      <c r="D61" s="3" t="s">
        <v>46</v>
      </c>
      <c r="E61" s="3" t="s">
        <v>4582</v>
      </c>
      <c r="F61" s="3" t="s">
        <v>4591</v>
      </c>
      <c r="G61" s="3" t="s">
        <v>4781</v>
      </c>
      <c r="H61" s="3" t="str">
        <f>HYPERLINK("http://www.jccm.es/sede/tramite/KNR","CONVOCATORIA DE SUBVENCIONES DIRIGIDAS A FINANCIAR LAS ACTIVIDADES EDUCATIVAS DE LAS FEDERACIONES Y CONFEDERACIONES DE ASOCIACIONES DE MADRES Y PADRES DE ALUMNOS")</f>
        <v>CONVOCATORIA DE SUBVENCIONES DIRIGIDAS A FINANCIAR LAS ACTIVIDADES EDUCATIVAS DE LAS FEDERACIONES Y CONFEDERACIONES DE ASOCIACIONES DE MADRES Y PADRES DE ALUMNOS</v>
      </c>
      <c r="I61" s="3" t="s">
        <v>41</v>
      </c>
      <c r="J61" s="3" t="s">
        <v>41</v>
      </c>
      <c r="K61" s="3" t="s">
        <v>42</v>
      </c>
      <c r="L61" s="3" t="s">
        <v>41</v>
      </c>
    </row>
    <row r="62" spans="1:12" ht="80.45">
      <c r="A62" s="3" t="s">
        <v>4782</v>
      </c>
      <c r="B62" s="3" t="s">
        <v>4783</v>
      </c>
      <c r="C62" s="3" t="s">
        <v>36</v>
      </c>
      <c r="D62" s="3" t="s">
        <v>46</v>
      </c>
      <c r="E62" s="3" t="s">
        <v>4582</v>
      </c>
      <c r="F62" s="3" t="s">
        <v>4672</v>
      </c>
      <c r="G62" s="3" t="s">
        <v>4784</v>
      </c>
      <c r="H62" s="3" t="str">
        <f>HYPERLINK("http://www.jccm.es/sede/tramite/KO5","AYUDA PARA LA FORMACION DE PERSONAL INVESTIGADOR COFINANCIADA POR EL FONDO SOCIAL EUROPEO")</f>
        <v>AYUDA PARA LA FORMACION DE PERSONAL INVESTIGADOR COFINANCIADA POR EL FONDO SOCIAL EUROPEO</v>
      </c>
      <c r="I62" s="3" t="s">
        <v>41</v>
      </c>
      <c r="J62" s="3" t="s">
        <v>41</v>
      </c>
      <c r="K62" s="3" t="s">
        <v>42</v>
      </c>
      <c r="L62" s="3" t="s">
        <v>41</v>
      </c>
    </row>
    <row r="63" spans="1:12" ht="57.6">
      <c r="A63" s="3" t="s">
        <v>4785</v>
      </c>
      <c r="B63" s="3" t="s">
        <v>4786</v>
      </c>
      <c r="C63" s="3" t="s">
        <v>51</v>
      </c>
      <c r="D63" s="3" t="s">
        <v>37</v>
      </c>
      <c r="E63" s="3" t="s">
        <v>4582</v>
      </c>
      <c r="F63" s="3" t="s">
        <v>4583</v>
      </c>
      <c r="G63" s="3" t="s">
        <v>4787</v>
      </c>
      <c r="H63" s="3" t="str">
        <f>HYPERLINK("http://www.jccm.es/sede/tramite/KP3","ESPACIO JOVEN SAN SERVANDO")</f>
        <v>ESPACIO JOVEN SAN SERVANDO</v>
      </c>
      <c r="I63" s="3" t="s">
        <v>41</v>
      </c>
      <c r="J63" s="3" t="s">
        <v>41</v>
      </c>
      <c r="K63" s="3" t="s">
        <v>42</v>
      </c>
      <c r="L63" s="3" t="s">
        <v>41</v>
      </c>
    </row>
    <row r="64" spans="1:12" ht="103.5">
      <c r="A64" s="3" t="s">
        <v>4788</v>
      </c>
      <c r="B64" s="3" t="s">
        <v>4789</v>
      </c>
      <c r="C64" s="3" t="s">
        <v>45</v>
      </c>
      <c r="D64" s="3" t="s">
        <v>46</v>
      </c>
      <c r="E64" s="3" t="s">
        <v>4582</v>
      </c>
      <c r="F64" s="3" t="s">
        <v>4614</v>
      </c>
      <c r="G64" s="3" t="s">
        <v>4790</v>
      </c>
      <c r="H64" s="3" t="str">
        <f>HYPERLINK("http://www.jccm.es/sede/tramite/KU1","CONVOCATORIA DE PREMIOS A PROYECTOS DE INNOVACION TECNOLOGICA Y EDUCATIVA EN FORMACION PROFESIONAL")</f>
        <v>CONVOCATORIA DE PREMIOS A PROYECTOS DE INNOVACION TECNOLOGICA Y EDUCATIVA EN FORMACION PROFESIONAL</v>
      </c>
      <c r="I64" s="3" t="s">
        <v>41</v>
      </c>
      <c r="J64" s="3" t="s">
        <v>41</v>
      </c>
      <c r="K64" s="3" t="s">
        <v>42</v>
      </c>
      <c r="L64" s="3" t="s">
        <v>41</v>
      </c>
    </row>
    <row r="65" spans="1:12" ht="103.5">
      <c r="A65" s="3" t="s">
        <v>4791</v>
      </c>
      <c r="B65" s="3" t="s">
        <v>4792</v>
      </c>
      <c r="C65" s="3" t="s">
        <v>4793</v>
      </c>
      <c r="D65" s="3" t="s">
        <v>46</v>
      </c>
      <c r="E65" s="3" t="s">
        <v>4582</v>
      </c>
      <c r="F65" s="3" t="s">
        <v>4583</v>
      </c>
      <c r="G65" s="3" t="s">
        <v>4794</v>
      </c>
      <c r="H65" s="3" t="str">
        <f>HYPERLINK("http://www.jccm.es/sede/tramite/KVZ","SUBVENCIONES PARA EL DESARROLLO DE PROYECTOS DE CORRESPONSALIAS JUVENILES EN SERVICIOS DE INFORMACION JUVENIL DEPENDIENTES DE AYUNTAMIENTOS, O MANCOMUNIDADES DE CASTILLA-LA MANCHA.")</f>
        <v>SUBVENCIONES PARA EL DESARROLLO DE PROYECTOS DE CORRESPONSALIAS JUVENILES EN SERVICIOS DE INFORMACION JUVENIL DEPENDIENTES DE AYUNTAMIENTOS, O MANCOMUNIDADES DE CASTILLA-LA MANCHA.</v>
      </c>
      <c r="I65" s="3" t="s">
        <v>41</v>
      </c>
      <c r="J65" s="3" t="s">
        <v>41</v>
      </c>
      <c r="K65" s="3" t="s">
        <v>42</v>
      </c>
      <c r="L65" s="3" t="s">
        <v>41</v>
      </c>
    </row>
    <row r="66" spans="1:12" ht="80.45">
      <c r="A66" s="3" t="s">
        <v>4795</v>
      </c>
      <c r="B66" s="3" t="s">
        <v>4796</v>
      </c>
      <c r="C66" s="3" t="s">
        <v>36</v>
      </c>
      <c r="D66" s="3" t="s">
        <v>46</v>
      </c>
      <c r="E66" s="3" t="s">
        <v>4582</v>
      </c>
      <c r="F66" s="3" t="s">
        <v>4672</v>
      </c>
      <c r="G66" s="3" t="s">
        <v>4797</v>
      </c>
      <c r="H66" s="3" t="str">
        <f>HYPERLINK("http://www.jccm.es/sede/tramite/KYZ","AYUDA PARA LA CREACION, CONSOLIDACION Y MEJORA DE INFRAESTRUCTURAS DE I+D+I")</f>
        <v>AYUDA PARA LA CREACION, CONSOLIDACION Y MEJORA DE INFRAESTRUCTURAS DE I+D+I</v>
      </c>
      <c r="I66" s="3" t="s">
        <v>41</v>
      </c>
      <c r="J66" s="3" t="s">
        <v>41</v>
      </c>
      <c r="K66" s="3" t="s">
        <v>42</v>
      </c>
      <c r="L66" s="3" t="s">
        <v>41</v>
      </c>
    </row>
    <row r="67" spans="1:12" ht="218.45">
      <c r="A67" s="3" t="s">
        <v>4798</v>
      </c>
      <c r="B67" s="3" t="s">
        <v>4799</v>
      </c>
      <c r="C67" s="3" t="s">
        <v>4800</v>
      </c>
      <c r="D67" s="3" t="s">
        <v>46</v>
      </c>
      <c r="E67" s="3" t="s">
        <v>4582</v>
      </c>
      <c r="F67" s="3" t="s">
        <v>4603</v>
      </c>
      <c r="G67" s="3" t="s">
        <v>4801</v>
      </c>
      <c r="H67" s="3" t="str">
        <f>HYPERLINK("http://www.jccm.es/sede/tramite/KZ2","CONVOCATORIA DE EXPRESIONES DE INTERES RELATIVA AL PROGRAMA DE INFRAESTRUCTURAS EDUCATIVAS EN EL MARCO DEL PROGRAMA OPERATIVO FEDER CASTILLA-LA MANCHA 2014-2020")</f>
        <v>CONVOCATORIA DE EXPRESIONES DE INTERES RELATIVA AL PROGRAMA DE INFRAESTRUCTURAS EDUCATIVAS EN EL MARCO DEL PROGRAMA OPERATIVO FEDER CASTILLA-LA MANCHA 2014-2020</v>
      </c>
      <c r="I67" s="3" t="s">
        <v>41</v>
      </c>
      <c r="J67" s="3" t="s">
        <v>41</v>
      </c>
      <c r="K67" s="3" t="s">
        <v>42</v>
      </c>
      <c r="L67" s="3" t="s">
        <v>41</v>
      </c>
    </row>
    <row r="68" spans="1:12" ht="57.6">
      <c r="A68" s="3" t="s">
        <v>4802</v>
      </c>
      <c r="B68" s="3" t="s">
        <v>4803</v>
      </c>
      <c r="C68" s="3" t="s">
        <v>232</v>
      </c>
      <c r="D68" s="3" t="s">
        <v>46</v>
      </c>
      <c r="E68" s="3" t="s">
        <v>4582</v>
      </c>
      <c r="F68" s="3" t="s">
        <v>4610</v>
      </c>
      <c r="G68" s="3" t="s">
        <v>4804</v>
      </c>
      <c r="H68" s="3" t="str">
        <f>HYPERLINK("http://www.jccm.es/sede/tramite/L38","SUBVENCIONES DE APOYO A LA PRODUCCION TEATRAL, LA DANZA Y EL CIRCO EN CASTILLA-LA MANCHA.")</f>
        <v>SUBVENCIONES DE APOYO A LA PRODUCCION TEATRAL, LA DANZA Y EL CIRCO EN CASTILLA-LA MANCHA.</v>
      </c>
      <c r="I68" s="3" t="s">
        <v>41</v>
      </c>
      <c r="J68" s="3" t="s">
        <v>41</v>
      </c>
      <c r="K68" s="3" t="s">
        <v>42</v>
      </c>
      <c r="L68" s="3" t="s">
        <v>41</v>
      </c>
    </row>
    <row r="69" spans="1:12" ht="69">
      <c r="A69" s="3" t="s">
        <v>4805</v>
      </c>
      <c r="B69" s="3" t="s">
        <v>4806</v>
      </c>
      <c r="C69" s="3" t="s">
        <v>51</v>
      </c>
      <c r="D69" s="3" t="s">
        <v>46</v>
      </c>
      <c r="E69" s="3" t="s">
        <v>4582</v>
      </c>
      <c r="F69" s="3" t="s">
        <v>4591</v>
      </c>
      <c r="G69" s="3" t="s">
        <v>4807</v>
      </c>
      <c r="H69" s="3" t="str">
        <f>HYPERLINK("http://www.jccm.es/sede/tramite/L5M","PARTICIPACION EN EL V PLAN DE EXITO EDUCATIVO Y PREVENCION DEL ABANDONO ESCOLAR TEMPRANO DE CENTROS EDUCATIVOS CONCERTADOS DE CASTILLA-LA MANCHA, COFINACIADO CON FSE+")</f>
        <v>PARTICIPACION EN EL V PLAN DE EXITO EDUCATIVO Y PREVENCION DEL ABANDONO ESCOLAR TEMPRANO DE CENTROS EDUCATIVOS CONCERTADOS DE CASTILLA-LA MANCHA, COFINACIADO CON FSE+</v>
      </c>
      <c r="I69" s="3" t="s">
        <v>41</v>
      </c>
      <c r="J69" s="3" t="s">
        <v>41</v>
      </c>
      <c r="K69" s="3" t="s">
        <v>42</v>
      </c>
      <c r="L69" s="3" t="s">
        <v>41</v>
      </c>
    </row>
    <row r="70" spans="1:12" ht="103.5">
      <c r="A70" s="3" t="s">
        <v>4808</v>
      </c>
      <c r="B70" s="3" t="s">
        <v>4809</v>
      </c>
      <c r="C70" s="3" t="s">
        <v>4810</v>
      </c>
      <c r="D70" s="3" t="s">
        <v>46</v>
      </c>
      <c r="E70" s="3" t="s">
        <v>4582</v>
      </c>
      <c r="F70" s="3" t="s">
        <v>4610</v>
      </c>
      <c r="G70" s="3" t="s">
        <v>4811</v>
      </c>
      <c r="H70" s="3" t="str">
        <f>HYPERLINK("http://www.jccm.es/sede/tramite/L8Q","AYUDAS PARA LA ELABORACION DE GUIONES DE LARGOMETRAJE CINEMATOGRAFICO EN CASTILLA-LA MANCHA.")</f>
        <v>AYUDAS PARA LA ELABORACION DE GUIONES DE LARGOMETRAJE CINEMATOGRAFICO EN CASTILLA-LA MANCHA.</v>
      </c>
      <c r="I70" s="3" t="s">
        <v>42</v>
      </c>
      <c r="J70" s="3" t="s">
        <v>41</v>
      </c>
      <c r="K70" s="3" t="s">
        <v>42</v>
      </c>
      <c r="L70" s="3" t="s">
        <v>41</v>
      </c>
    </row>
    <row r="71" spans="1:12" ht="80.45">
      <c r="A71" s="3" t="s">
        <v>4812</v>
      </c>
      <c r="B71" s="3" t="s">
        <v>4813</v>
      </c>
      <c r="C71" s="3" t="s">
        <v>95</v>
      </c>
      <c r="D71" s="3" t="s">
        <v>95</v>
      </c>
      <c r="E71" s="3" t="s">
        <v>4582</v>
      </c>
      <c r="F71" s="3" t="s">
        <v>4587</v>
      </c>
      <c r="G71" s="3" t="s">
        <v>4814</v>
      </c>
      <c r="H71" s="3" t="str">
        <f>HYPERLINK("http://www.jccm.es/sede/tramite/LAH","JUSTIFICACION DE LA SUBVENCION CONCEDIDA A LA FUNDACION VEDRUNA EDUCACION PARA EL DESARROLLO DEL SEGUNDO CURSO DE DOS PROGRAMAS ESPECIFICOS DE FORMACION PROFESIONAL")</f>
        <v>JUSTIFICACION DE LA SUBVENCION CONCEDIDA A LA FUNDACION VEDRUNA EDUCACION PARA EL DESARROLLO DEL SEGUNDO CURSO DE DOS PROGRAMAS ESPECIFICOS DE FORMACION PROFESIONAL</v>
      </c>
      <c r="I71" s="3" t="s">
        <v>41</v>
      </c>
      <c r="J71" s="3" t="s">
        <v>41</v>
      </c>
      <c r="K71" s="3" t="s">
        <v>42</v>
      </c>
      <c r="L71" s="3" t="s">
        <v>41</v>
      </c>
    </row>
    <row r="72" spans="1:12" ht="92.1">
      <c r="A72" s="3" t="s">
        <v>4815</v>
      </c>
      <c r="B72" s="3" t="s">
        <v>4816</v>
      </c>
      <c r="C72" s="3" t="s">
        <v>95</v>
      </c>
      <c r="D72" s="3" t="s">
        <v>95</v>
      </c>
      <c r="E72" s="3" t="s">
        <v>4582</v>
      </c>
      <c r="F72" s="3" t="s">
        <v>4672</v>
      </c>
      <c r="G72" s="3" t="s">
        <v>4817</v>
      </c>
      <c r="H72" s="3" t="str">
        <f>HYPERLINK("http://www.jccm.es/sede/tramite/LEG","JUSTIFICACION DE LA SUBVENCION CONCEDIDA A LA UCLM POR LA REALIZACION DEL PROYECTO IMPACTO DEL CONFINAMIENTO DOMICILIARIO DEL COVID-19 SOBRE LA SALUD DE LOS ADULTOS MAYORES.")</f>
        <v>JUSTIFICACION DE LA SUBVENCION CONCEDIDA A LA UCLM POR LA REALIZACION DEL PROYECTO IMPACTO DEL CONFINAMIENTO DOMICILIARIO DEL COVID-19 SOBRE LA SALUD DE LOS ADULTOS MAYORES.</v>
      </c>
      <c r="I72" s="3" t="s">
        <v>41</v>
      </c>
      <c r="J72" s="3" t="s">
        <v>41</v>
      </c>
      <c r="K72" s="3" t="s">
        <v>42</v>
      </c>
      <c r="L72" s="3" t="s">
        <v>41</v>
      </c>
    </row>
    <row r="73" spans="1:12" ht="57.6">
      <c r="A73" s="3" t="s">
        <v>4818</v>
      </c>
      <c r="B73" s="3" t="s">
        <v>4819</v>
      </c>
      <c r="C73" s="3" t="s">
        <v>4820</v>
      </c>
      <c r="D73" s="3" t="s">
        <v>46</v>
      </c>
      <c r="E73" s="3" t="s">
        <v>4582</v>
      </c>
      <c r="F73" s="3" t="s">
        <v>4591</v>
      </c>
      <c r="G73" s="3" t="s">
        <v>4821</v>
      </c>
      <c r="H73" s="3" t="str">
        <f>HYPERLINK("http://www.jccm.es/sede/tramite/LHA","CONVOCATORIA DEL PROCEDIMIENTO PARA LA SUSCRIPCION Y MODIFICACION DE CONCIERTOS EDUCATIVOS EN CASTILLA - LA MANCHA. ED. INFANTIL, ED. ESPECIAL, ESO, FP Y BACHILLERATO.")</f>
        <v>CONVOCATORIA DEL PROCEDIMIENTO PARA LA SUSCRIPCION Y MODIFICACION DE CONCIERTOS EDUCATIVOS EN CASTILLA - LA MANCHA. ED. INFANTIL, ED. ESPECIAL, ESO, FP Y BACHILLERATO.</v>
      </c>
      <c r="I73" s="3" t="s">
        <v>41</v>
      </c>
      <c r="J73" s="3" t="s">
        <v>41</v>
      </c>
      <c r="K73" s="3" t="s">
        <v>42</v>
      </c>
      <c r="L73" s="3" t="s">
        <v>41</v>
      </c>
    </row>
    <row r="74" spans="1:12" ht="80.45">
      <c r="A74" s="3" t="s">
        <v>4822</v>
      </c>
      <c r="B74" s="3" t="s">
        <v>4823</v>
      </c>
      <c r="C74" s="3" t="s">
        <v>232</v>
      </c>
      <c r="D74" s="3" t="s">
        <v>46</v>
      </c>
      <c r="E74" s="3" t="s">
        <v>4582</v>
      </c>
      <c r="F74" s="3" t="s">
        <v>4672</v>
      </c>
      <c r="G74" s="3" t="s">
        <v>4824</v>
      </c>
      <c r="H74" s="3" t="str">
        <f>HYPERLINK("http://www.jccm.es/sede/tramite/LPG","PREMIOS DE INVESTIGACION E INNOVACION DE CASTILLA- LA MANCHA.")</f>
        <v>PREMIOS DE INVESTIGACION E INNOVACION DE CASTILLA- LA MANCHA.</v>
      </c>
      <c r="I74" s="3" t="s">
        <v>42</v>
      </c>
      <c r="J74" s="3" t="s">
        <v>41</v>
      </c>
      <c r="K74" s="3" t="s">
        <v>42</v>
      </c>
      <c r="L74" s="3" t="s">
        <v>41</v>
      </c>
    </row>
    <row r="75" spans="1:12" ht="80.45">
      <c r="A75" s="3" t="s">
        <v>4825</v>
      </c>
      <c r="B75" s="3" t="s">
        <v>4826</v>
      </c>
      <c r="C75" s="3" t="s">
        <v>95</v>
      </c>
      <c r="D75" s="3" t="s">
        <v>95</v>
      </c>
      <c r="E75" s="3" t="s">
        <v>4582</v>
      </c>
      <c r="F75" s="3" t="s">
        <v>4610</v>
      </c>
      <c r="G75" s="3" t="s">
        <v>4827</v>
      </c>
      <c r="H75" s="3" t="str">
        <f>HYPERLINK("http://www.jccm.es/sede/tramite/LQK","JUSTIFICACION SUBVENCION DE CONCESION DIRECTA PARA LA FINANCIACION DE ACTUACIONES EN BIENES PERTENECIENTES AL PATRIMONIO CULTURAL Y RELIGIOSO DE CASTILLA LA MANCHA")</f>
        <v>JUSTIFICACION SUBVENCION DE CONCESION DIRECTA PARA LA FINANCIACION DE ACTUACIONES EN BIENES PERTENECIENTES AL PATRIMONIO CULTURAL Y RELIGIOSO DE CASTILLA LA MANCHA</v>
      </c>
      <c r="I75" s="3" t="s">
        <v>41</v>
      </c>
      <c r="J75" s="3" t="s">
        <v>41</v>
      </c>
      <c r="K75" s="3" t="s">
        <v>42</v>
      </c>
      <c r="L75" s="3" t="s">
        <v>41</v>
      </c>
    </row>
    <row r="76" spans="1:12" ht="69">
      <c r="A76" s="3" t="s">
        <v>4828</v>
      </c>
      <c r="B76" s="3" t="s">
        <v>4829</v>
      </c>
      <c r="C76" s="3" t="s">
        <v>95</v>
      </c>
      <c r="D76" s="3" t="s">
        <v>95</v>
      </c>
      <c r="E76" s="3" t="s">
        <v>4582</v>
      </c>
      <c r="F76" s="3" t="s">
        <v>4610</v>
      </c>
      <c r="G76" s="3" t="s">
        <v>4830</v>
      </c>
      <c r="H76" s="3" t="str">
        <f>HYPERLINK("http://www.jccm.es/sede/tramite/LQU","JUSTIFICACION DE LA SUBVENCION CONCEDIDA A LA FEDERACION DE FUTBOL DE CASTILLA-LA MANCHA, PARA LA PUESTA EN FUNCIONAMIENTO DE LA RESIDENCIA DE DEPORTISTAS.")</f>
        <v>JUSTIFICACION DE LA SUBVENCION CONCEDIDA A LA FEDERACION DE FUTBOL DE CASTILLA-LA MANCHA, PARA LA PUESTA EN FUNCIONAMIENTO DE LA RESIDENCIA DE DEPORTISTAS.</v>
      </c>
      <c r="I76" s="3" t="s">
        <v>41</v>
      </c>
      <c r="J76" s="3" t="s">
        <v>41</v>
      </c>
      <c r="K76" s="3" t="s">
        <v>42</v>
      </c>
      <c r="L76" s="3" t="s">
        <v>41</v>
      </c>
    </row>
    <row r="77" spans="1:12" ht="103.5">
      <c r="A77" s="3" t="s">
        <v>4831</v>
      </c>
      <c r="B77" s="3" t="s">
        <v>4832</v>
      </c>
      <c r="C77" s="3" t="s">
        <v>95</v>
      </c>
      <c r="D77" s="3" t="s">
        <v>95</v>
      </c>
      <c r="E77" s="3" t="s">
        <v>4582</v>
      </c>
      <c r="F77" s="3" t="s">
        <v>4583</v>
      </c>
      <c r="G77" s="3" t="s">
        <v>4833</v>
      </c>
      <c r="H77" s="3" t="str">
        <f>HYPERLINK("http://www.jccm.es/sede/tramite/LQY","JUSTIFICACION DE LA SUBVENCION A AYUNTAMIENTOS PARA LA MEJORA Y EQUIPAMIENTO DE LAS INSTALACIONES DEPORTIVAS UTILIZADAS PARA EL DESARROLLO DE DETERMINADAS COMPETICIONES DEPORTIVAS DE ALTO NIVEL")</f>
        <v>JUSTIFICACION DE LA SUBVENCION A AYUNTAMIENTOS PARA LA MEJORA Y EQUIPAMIENTO DE LAS INSTALACIONES DEPORTIVAS UTILIZADAS PARA EL DESARROLLO DE DETERMINADAS COMPETICIONES DEPORTIVAS DE ALTO NIVEL</v>
      </c>
      <c r="I77" s="3" t="s">
        <v>41</v>
      </c>
      <c r="J77" s="3" t="s">
        <v>41</v>
      </c>
      <c r="K77" s="3" t="s">
        <v>42</v>
      </c>
      <c r="L77" s="3" t="s">
        <v>41</v>
      </c>
    </row>
    <row r="78" spans="1:12" ht="69">
      <c r="A78" s="3" t="s">
        <v>4834</v>
      </c>
      <c r="B78" s="3" t="s">
        <v>4835</v>
      </c>
      <c r="C78" s="3" t="s">
        <v>95</v>
      </c>
      <c r="D78" s="3" t="s">
        <v>95</v>
      </c>
      <c r="E78" s="3" t="s">
        <v>4582</v>
      </c>
      <c r="F78" s="3" t="s">
        <v>4583</v>
      </c>
      <c r="G78" s="3" t="s">
        <v>4836</v>
      </c>
      <c r="H78" s="3" t="str">
        <f>HYPERLINK("http://www.jccm.es/sede/tramite/LR8","JUSTIFICACION DE LA SUBVENCION PARA LA ORGANIZACION DEL TORNEO INTERNACIONAL DE ESPAÑA 2022 DE SELECCIONES ABSOLUTAS MASCULINAS DE BALONMANO EN CUENCA.")</f>
        <v>JUSTIFICACION DE LA SUBVENCION PARA LA ORGANIZACION DEL TORNEO INTERNACIONAL DE ESPAÑA 2022 DE SELECCIONES ABSOLUTAS MASCULINAS DE BALONMANO EN CUENCA.</v>
      </c>
      <c r="I78" s="3" t="s">
        <v>41</v>
      </c>
      <c r="J78" s="3" t="s">
        <v>41</v>
      </c>
      <c r="K78" s="3" t="s">
        <v>42</v>
      </c>
      <c r="L78" s="3" t="s">
        <v>41</v>
      </c>
    </row>
    <row r="79" spans="1:12" ht="69">
      <c r="A79" s="3" t="s">
        <v>4837</v>
      </c>
      <c r="B79" s="3" t="s">
        <v>4838</v>
      </c>
      <c r="C79" s="3" t="s">
        <v>95</v>
      </c>
      <c r="D79" s="3" t="s">
        <v>95</v>
      </c>
      <c r="E79" s="3" t="s">
        <v>4582</v>
      </c>
      <c r="F79" s="3" t="s">
        <v>4610</v>
      </c>
      <c r="G79" s="3" t="s">
        <v>4839</v>
      </c>
      <c r="H79" s="3" t="str">
        <f>HYPERLINK("http://www.jccm.es/sede/tramite/LRF","JUSTIFICACION DE LA SUBVENCION DE CONCESION DIRECTA PARA LA FINANCIACION DE ACTUACIONES DE MEJORA EN EL PARQUE ARQUEOLOGICO DE LIBISOSA")</f>
        <v>JUSTIFICACION DE LA SUBVENCION DE CONCESION DIRECTA PARA LA FINANCIACION DE ACTUACIONES DE MEJORA EN EL PARQUE ARQUEOLOGICO DE LIBISOSA</v>
      </c>
      <c r="I79" s="3" t="s">
        <v>41</v>
      </c>
      <c r="J79" s="3" t="s">
        <v>41</v>
      </c>
      <c r="K79" s="3" t="s">
        <v>42</v>
      </c>
      <c r="L79" s="3" t="s">
        <v>41</v>
      </c>
    </row>
    <row r="80" spans="1:12" ht="103.5">
      <c r="A80" s="3" t="s">
        <v>4840</v>
      </c>
      <c r="B80" s="3" t="s">
        <v>4841</v>
      </c>
      <c r="C80" s="3" t="s">
        <v>36</v>
      </c>
      <c r="D80" s="3" t="s">
        <v>46</v>
      </c>
      <c r="E80" s="3" t="s">
        <v>4582</v>
      </c>
      <c r="F80" s="3" t="s">
        <v>4582</v>
      </c>
      <c r="G80" s="3" t="s">
        <v>4842</v>
      </c>
      <c r="H80" s="3" t="str">
        <f>HYPERLINK("http://www.jccm.es/sede/tramite/LSK","SOLICITUD DE AYUDAS DENTRO DEL PROGRAMA C24.I2.P4:  DOTACION DE BIBLIOTECAS ")</f>
        <v xml:space="preserve">SOLICITUD DE AYUDAS DENTRO DEL PROGRAMA C24.I2.P4:  DOTACION DE BIBLIOTECAS </v>
      </c>
      <c r="I80" s="3" t="s">
        <v>41</v>
      </c>
      <c r="J80" s="3" t="s">
        <v>41</v>
      </c>
      <c r="K80" s="3" t="s">
        <v>42</v>
      </c>
      <c r="L80" s="3" t="s">
        <v>41</v>
      </c>
    </row>
    <row r="81" spans="1:12" ht="149.44999999999999">
      <c r="A81" s="3" t="s">
        <v>4843</v>
      </c>
      <c r="B81" s="3" t="s">
        <v>4844</v>
      </c>
      <c r="C81" s="3" t="s">
        <v>4845</v>
      </c>
      <c r="D81" s="3" t="s">
        <v>46</v>
      </c>
      <c r="E81" s="3" t="s">
        <v>4582</v>
      </c>
      <c r="F81" s="3" t="s">
        <v>4610</v>
      </c>
      <c r="G81" s="3" t="s">
        <v>4846</v>
      </c>
      <c r="H81" s="3" t="str">
        <f>HYPERLINK("http://www.jccm.es/sede/tramite/LUW","SUBVENCIONES A SALAS DE EXHIBICION CINEMATOGRAFICA DE CASTILLA  LA MANCHA (NEXT GENERATION EU).")</f>
        <v>SUBVENCIONES A SALAS DE EXHIBICION CINEMATOGRAFICA DE CASTILLA  LA MANCHA (NEXT GENERATION EU).</v>
      </c>
      <c r="I81" s="3" t="s">
        <v>41</v>
      </c>
      <c r="J81" s="3" t="s">
        <v>41</v>
      </c>
      <c r="K81" s="3" t="s">
        <v>42</v>
      </c>
      <c r="L81" s="3" t="s">
        <v>41</v>
      </c>
    </row>
    <row r="82" spans="1:12" ht="149.44999999999999">
      <c r="A82" s="3" t="s">
        <v>4847</v>
      </c>
      <c r="B82" s="3" t="s">
        <v>4848</v>
      </c>
      <c r="C82" s="3" t="s">
        <v>4845</v>
      </c>
      <c r="D82" s="3" t="s">
        <v>46</v>
      </c>
      <c r="E82" s="3" t="s">
        <v>4582</v>
      </c>
      <c r="F82" s="3" t="s">
        <v>4610</v>
      </c>
      <c r="G82" s="3" t="s">
        <v>4849</v>
      </c>
      <c r="H82" s="3" t="str">
        <f>HYPERLINK("http://www.jccm.es/sede/tramite/LVK","SUBVENCIONES DESTINADAS A AMPLIAR Y DIVERSIFICAR LA OFERTA CULTURAL EN AREAS NO URBANAS DE CASTILLA - LA MANCHA (NEXT GENERATION EU).")</f>
        <v>SUBVENCIONES DESTINADAS A AMPLIAR Y DIVERSIFICAR LA OFERTA CULTURAL EN AREAS NO URBANAS DE CASTILLA - LA MANCHA (NEXT GENERATION EU).</v>
      </c>
      <c r="I82" s="3" t="s">
        <v>41</v>
      </c>
      <c r="J82" s="3" t="s">
        <v>41</v>
      </c>
      <c r="K82" s="3" t="s">
        <v>42</v>
      </c>
      <c r="L82" s="3" t="s">
        <v>41</v>
      </c>
    </row>
    <row r="83" spans="1:12" ht="57.6">
      <c r="A83" s="3" t="s">
        <v>4850</v>
      </c>
      <c r="B83" s="3" t="s">
        <v>4851</v>
      </c>
      <c r="C83" s="3" t="s">
        <v>45</v>
      </c>
      <c r="D83" s="3" t="s">
        <v>46</v>
      </c>
      <c r="E83" s="3" t="s">
        <v>4582</v>
      </c>
      <c r="F83" s="3" t="s">
        <v>4583</v>
      </c>
      <c r="G83" s="3" t="s">
        <v>4852</v>
      </c>
      <c r="H83" s="3" t="str">
        <f>HYPERLINK("http://www.jccm.es/sede/tramite/L6Y","CONVOCATORIA PARA LA SELECCION DE PROYECTOS DE ACTIVIDADES DE  OCIO Y TIEMPO LIBRE PARA EL PROGRAMA VERANO JOVEN")</f>
        <v>CONVOCATORIA PARA LA SELECCION DE PROYECTOS DE ACTIVIDADES DE  OCIO Y TIEMPO LIBRE PARA EL PROGRAMA VERANO JOVEN</v>
      </c>
      <c r="I83" s="3" t="s">
        <v>41</v>
      </c>
      <c r="J83" s="3" t="s">
        <v>41</v>
      </c>
      <c r="K83" s="3" t="s">
        <v>42</v>
      </c>
      <c r="L83" s="3" t="s">
        <v>41</v>
      </c>
    </row>
    <row r="84" spans="1:12" ht="57.6">
      <c r="A84" s="3" t="s">
        <v>4853</v>
      </c>
      <c r="B84" s="3" t="s">
        <v>4854</v>
      </c>
      <c r="C84" s="3" t="s">
        <v>45</v>
      </c>
      <c r="D84" s="3" t="s">
        <v>46</v>
      </c>
      <c r="E84" s="3" t="s">
        <v>4582</v>
      </c>
      <c r="F84" s="3" t="s">
        <v>4583</v>
      </c>
      <c r="G84" s="3" t="s">
        <v>4855</v>
      </c>
      <c r="H84" s="3" t="str">
        <f>HYPERLINK("http://www.jccm.es/sede/tramite/IDQ","PREINSCRIPCION EN ACTIVIDADES EN CAMPOS DE VOLUNTARIADO JUVENIL.")</f>
        <v>PREINSCRIPCION EN ACTIVIDADES EN CAMPOS DE VOLUNTARIADO JUVENIL.</v>
      </c>
      <c r="I84" s="3" t="s">
        <v>42</v>
      </c>
      <c r="J84" s="3" t="s">
        <v>41</v>
      </c>
      <c r="K84" s="3" t="s">
        <v>42</v>
      </c>
      <c r="L84" s="3" t="s">
        <v>41</v>
      </c>
    </row>
    <row r="85" spans="1:12" ht="57.6">
      <c r="A85" s="3" t="s">
        <v>4856</v>
      </c>
      <c r="B85" s="3" t="s">
        <v>4857</v>
      </c>
      <c r="C85" s="3" t="s">
        <v>45</v>
      </c>
      <c r="D85" s="3" t="s">
        <v>46</v>
      </c>
      <c r="E85" s="3" t="s">
        <v>4582</v>
      </c>
      <c r="F85" s="3" t="s">
        <v>4583</v>
      </c>
      <c r="G85" s="3" t="s">
        <v>4858</v>
      </c>
      <c r="H85" s="3" t="str">
        <f>HYPERLINK("http://www.jccm.es/sede/tramite/IDX","PREINSCRIPCION EN ACTIVIDADES DE OCIO Y TIEMPO LIBRE.")</f>
        <v>PREINSCRIPCION EN ACTIVIDADES DE OCIO Y TIEMPO LIBRE.</v>
      </c>
      <c r="I85" s="3" t="s">
        <v>41</v>
      </c>
      <c r="J85" s="3" t="s">
        <v>41</v>
      </c>
      <c r="K85" s="3" t="s">
        <v>42</v>
      </c>
      <c r="L85" s="3" t="s">
        <v>41</v>
      </c>
    </row>
    <row r="86" spans="1:12" ht="57.6">
      <c r="A86" s="3" t="s">
        <v>4859</v>
      </c>
      <c r="B86" s="3" t="s">
        <v>4860</v>
      </c>
      <c r="C86" s="3" t="s">
        <v>45</v>
      </c>
      <c r="D86" s="3" t="s">
        <v>46</v>
      </c>
      <c r="E86" s="3" t="s">
        <v>4582</v>
      </c>
      <c r="F86" s="3" t="s">
        <v>4583</v>
      </c>
      <c r="G86" s="3" t="s">
        <v>4861</v>
      </c>
      <c r="H86" s="3" t="str">
        <f>HYPERLINK("http://www.jccm.es/sede/tramite/KZM","ADJUDICACION DE PLAZAS EN OCIO Y TIEMPO LIBRE.")</f>
        <v>ADJUDICACION DE PLAZAS EN OCIO Y TIEMPO LIBRE.</v>
      </c>
      <c r="I86" s="3" t="s">
        <v>42</v>
      </c>
      <c r="J86" s="3" t="s">
        <v>41</v>
      </c>
      <c r="K86" s="3" t="s">
        <v>42</v>
      </c>
      <c r="L86" s="3" t="s">
        <v>41</v>
      </c>
    </row>
    <row r="87" spans="1:12" ht="57.6">
      <c r="A87" s="3" t="s">
        <v>4862</v>
      </c>
      <c r="B87" s="3" t="s">
        <v>4863</v>
      </c>
      <c r="C87" s="3" t="s">
        <v>45</v>
      </c>
      <c r="D87" s="3" t="s">
        <v>46</v>
      </c>
      <c r="E87" s="3" t="s">
        <v>4582</v>
      </c>
      <c r="F87" s="3" t="s">
        <v>4583</v>
      </c>
      <c r="G87" s="3" t="s">
        <v>4864</v>
      </c>
      <c r="H87" s="3" t="str">
        <f>HYPERLINK("http://www.jccm.es/sede/tramite/KZF","ADJUDICACION DE PLAZAS EN ACTIVIDADES EN CAMPOS DE VOLUNTARIADO JUVENIL.")</f>
        <v>ADJUDICACION DE PLAZAS EN ACTIVIDADES EN CAMPOS DE VOLUNTARIADO JUVENIL.</v>
      </c>
      <c r="I87" s="3" t="s">
        <v>42</v>
      </c>
      <c r="J87" s="3" t="s">
        <v>41</v>
      </c>
      <c r="K87" s="3" t="s">
        <v>42</v>
      </c>
      <c r="L87" s="3" t="s">
        <v>41</v>
      </c>
    </row>
    <row r="88" spans="1:12" ht="69">
      <c r="A88" s="3" t="s">
        <v>4865</v>
      </c>
      <c r="B88" s="3" t="s">
        <v>4866</v>
      </c>
      <c r="C88" s="3" t="s">
        <v>4867</v>
      </c>
      <c r="D88" s="3" t="s">
        <v>46</v>
      </c>
      <c r="E88" s="3" t="s">
        <v>4582</v>
      </c>
      <c r="F88" s="3" t="s">
        <v>4614</v>
      </c>
      <c r="G88" s="3" t="s">
        <v>4868</v>
      </c>
      <c r="H88" s="3" t="str">
        <f>HYPERLINK("http://www.jccm.es/sede/tramite/IL9","PREMIOS EXTRAORDINARIOS DE FORMACION PROFESIONAL DEL SISTEMA EDUCATIVO DE GRADO SUPERIOR (ALUMNADO MATRICULADO EN CENTROS PRIVADOS).")</f>
        <v>PREMIOS EXTRAORDINARIOS DE FORMACION PROFESIONAL DEL SISTEMA EDUCATIVO DE GRADO SUPERIOR (ALUMNADO MATRICULADO EN CENTROS PRIVADOS).</v>
      </c>
      <c r="I88" s="3" t="s">
        <v>42</v>
      </c>
      <c r="J88" s="3" t="s">
        <v>41</v>
      </c>
      <c r="K88" s="3" t="s">
        <v>42</v>
      </c>
      <c r="L88" s="3" t="s">
        <v>41</v>
      </c>
    </row>
    <row r="89" spans="1:12" ht="69">
      <c r="A89" s="3" t="s">
        <v>4869</v>
      </c>
      <c r="B89" s="3" t="s">
        <v>4866</v>
      </c>
      <c r="C89" s="3" t="s">
        <v>4867</v>
      </c>
      <c r="D89" s="3" t="s">
        <v>46</v>
      </c>
      <c r="E89" s="3" t="s">
        <v>4582</v>
      </c>
      <c r="F89" s="3" t="s">
        <v>4614</v>
      </c>
      <c r="G89" s="3" t="s">
        <v>4870</v>
      </c>
      <c r="H89" s="3" t="str">
        <f>HYPERLINK("http://www.jccm.es/sede/tramite/KDQ","PREMIOS EXTRAORDINARIOS DE FORMACION PROFESIONAL DEL SISTEMA EDUCATIVO DE GRADO SUPERIOR, PARA ALUMNOS DE CENTROS SOSTENIDOS CON FONDOS PUBLICOS.")</f>
        <v>PREMIOS EXTRAORDINARIOS DE FORMACION PROFESIONAL DEL SISTEMA EDUCATIVO DE GRADO SUPERIOR, PARA ALUMNOS DE CENTROS SOSTENIDOS CON FONDOS PUBLICOS.</v>
      </c>
      <c r="I89" s="3" t="s">
        <v>41</v>
      </c>
      <c r="J89" s="3" t="s">
        <v>41</v>
      </c>
      <c r="K89" s="3" t="s">
        <v>42</v>
      </c>
      <c r="L89" s="3" t="s">
        <v>41</v>
      </c>
    </row>
    <row r="90" spans="1:12" ht="57.6">
      <c r="A90" s="3" t="s">
        <v>4871</v>
      </c>
      <c r="B90" s="3" t="s">
        <v>4872</v>
      </c>
      <c r="C90" s="3" t="s">
        <v>1173</v>
      </c>
      <c r="D90" s="3" t="s">
        <v>46</v>
      </c>
      <c r="E90" s="3" t="s">
        <v>4582</v>
      </c>
      <c r="F90" s="3" t="s">
        <v>4583</v>
      </c>
      <c r="G90" s="3" t="s">
        <v>4873</v>
      </c>
      <c r="H90" s="3" t="str">
        <f>HYPERLINK("http://www.jccm.es/sede/tramite/IG9","SOLICITUD DE SUBVENCIONES PARA DEPORTISTAS ELITE DE CASTILLA-LA MANCHA")</f>
        <v>SOLICITUD DE SUBVENCIONES PARA DEPORTISTAS ELITE DE CASTILLA-LA MANCHA</v>
      </c>
      <c r="I90" s="3" t="s">
        <v>42</v>
      </c>
      <c r="J90" s="3" t="s">
        <v>41</v>
      </c>
      <c r="K90" s="3" t="s">
        <v>42</v>
      </c>
      <c r="L90" s="3" t="s">
        <v>41</v>
      </c>
    </row>
    <row r="91" spans="1:12" ht="80.45">
      <c r="A91" s="3" t="s">
        <v>4874</v>
      </c>
      <c r="B91" s="3" t="s">
        <v>4875</v>
      </c>
      <c r="C91" s="3" t="s">
        <v>1173</v>
      </c>
      <c r="D91" s="3" t="s">
        <v>46</v>
      </c>
      <c r="E91" s="3" t="s">
        <v>4582</v>
      </c>
      <c r="F91" s="3" t="s">
        <v>4583</v>
      </c>
      <c r="G91" s="3" t="s">
        <v>4876</v>
      </c>
      <c r="H91" s="3" t="str">
        <f>HYPERLINK("http://www.jccm.es/sede/tramite/KWN","JUSTIFICACION DE LA CONVOCATORIA DE LA CONSEJERIA DE EDUCACION, CULTURA Y DEPORTES, DE CONCESION DE SUBVENCIONES PARA DEPORTISTAS ELITE DE CASTILLA-LA MANCHA")</f>
        <v>JUSTIFICACION DE LA CONVOCATORIA DE LA CONSEJERIA DE EDUCACION, CULTURA Y DEPORTES, DE CONCESION DE SUBVENCIONES PARA DEPORTISTAS ELITE DE CASTILLA-LA MANCHA</v>
      </c>
      <c r="I91" s="3" t="s">
        <v>42</v>
      </c>
      <c r="J91" s="3" t="s">
        <v>41</v>
      </c>
      <c r="K91" s="3" t="s">
        <v>42</v>
      </c>
      <c r="L91" s="3" t="s">
        <v>41</v>
      </c>
    </row>
    <row r="92" spans="1:12" ht="57.6">
      <c r="A92" s="3" t="s">
        <v>4877</v>
      </c>
      <c r="B92" s="3" t="s">
        <v>4878</v>
      </c>
      <c r="C92" s="3" t="s">
        <v>51</v>
      </c>
      <c r="D92" s="3" t="s">
        <v>46</v>
      </c>
      <c r="E92" s="3" t="s">
        <v>4582</v>
      </c>
      <c r="F92" s="3" t="s">
        <v>4583</v>
      </c>
      <c r="G92" s="3" t="s">
        <v>4879</v>
      </c>
      <c r="H92" s="3" t="str">
        <f>HYPERLINK("http://www.jccm.es/sede/tramite/IEK","SUBVENCIONES A FEDERACIONES DEPORTIVAS DE CASTILLA-LA MANCHA")</f>
        <v>SUBVENCIONES A FEDERACIONES DEPORTIVAS DE CASTILLA-LA MANCHA</v>
      </c>
      <c r="I92" s="3" t="s">
        <v>41</v>
      </c>
      <c r="J92" s="3" t="s">
        <v>41</v>
      </c>
      <c r="K92" s="3" t="s">
        <v>42</v>
      </c>
      <c r="L92" s="3" t="s">
        <v>41</v>
      </c>
    </row>
    <row r="93" spans="1:12" ht="57.6">
      <c r="A93" s="3" t="s">
        <v>4880</v>
      </c>
      <c r="B93" s="3" t="s">
        <v>4881</v>
      </c>
      <c r="C93" s="3" t="s">
        <v>51</v>
      </c>
      <c r="D93" s="3" t="s">
        <v>46</v>
      </c>
      <c r="E93" s="3" t="s">
        <v>4582</v>
      </c>
      <c r="F93" s="3" t="s">
        <v>4583</v>
      </c>
      <c r="G93" s="3" t="s">
        <v>4882</v>
      </c>
      <c r="H93" s="3" t="str">
        <f>HYPERLINK("http://www.jccm.es/sede/tramite/KT3","JUSTIFICACION SUBVENCIONES PARA LA ORGANIZACION Y GESTION DE LAS FEDERACIONES DEPORTIVAS DE CASTILLA-LA MANCHA")</f>
        <v>JUSTIFICACION SUBVENCIONES PARA LA ORGANIZACION Y GESTION DE LAS FEDERACIONES DEPORTIVAS DE CASTILLA-LA MANCHA</v>
      </c>
      <c r="I93" s="3" t="s">
        <v>41</v>
      </c>
      <c r="J93" s="3" t="s">
        <v>41</v>
      </c>
      <c r="K93" s="3" t="s">
        <v>42</v>
      </c>
      <c r="L93" s="3" t="s">
        <v>41</v>
      </c>
    </row>
    <row r="94" spans="1:12" ht="69">
      <c r="A94" s="3" t="s">
        <v>4883</v>
      </c>
      <c r="B94" s="3" t="s">
        <v>4884</v>
      </c>
      <c r="C94" s="3" t="s">
        <v>45</v>
      </c>
      <c r="D94" s="3" t="s">
        <v>46</v>
      </c>
      <c r="E94" s="3" t="s">
        <v>4582</v>
      </c>
      <c r="F94" s="3" t="s">
        <v>4603</v>
      </c>
      <c r="G94" s="3" t="s">
        <v>4885</v>
      </c>
      <c r="H94" s="3" t="str">
        <f>HYPERLINK("http://www.jccm.es/sede/tramite/IIW","AYUDAS DE TRANSPORTE Y COMEDOR ESCOLAR A CENTROS PRIVADOS CONCERTADOS DE EDUCACION ESPECIAL Y AL ALUMNADO ESCOLARIZADO EN LOS MISMOS")</f>
        <v>AYUDAS DE TRANSPORTE Y COMEDOR ESCOLAR A CENTROS PRIVADOS CONCERTADOS DE EDUCACION ESPECIAL Y AL ALUMNADO ESCOLARIZADO EN LOS MISMOS</v>
      </c>
      <c r="I94" s="3" t="s">
        <v>42</v>
      </c>
      <c r="J94" s="3" t="s">
        <v>41</v>
      </c>
      <c r="K94" s="3" t="s">
        <v>42</v>
      </c>
      <c r="L94" s="3" t="s">
        <v>41</v>
      </c>
    </row>
    <row r="95" spans="1:12" ht="80.45">
      <c r="A95" s="3" t="s">
        <v>4886</v>
      </c>
      <c r="B95" s="3" t="s">
        <v>4887</v>
      </c>
      <c r="C95" s="3" t="s">
        <v>45</v>
      </c>
      <c r="D95" s="3" t="s">
        <v>46</v>
      </c>
      <c r="E95" s="3" t="s">
        <v>4582</v>
      </c>
      <c r="F95" s="3" t="s">
        <v>4603</v>
      </c>
      <c r="G95" s="3" t="s">
        <v>4888</v>
      </c>
      <c r="H95" s="3" t="str">
        <f>HYPERLINK("http://www.jccm.es/sede/tramite/KX3","JUSTIFICACION DE LA CONVOCATORIA DE AYUDAS DE TRANSPORTE Y COMEDOR ESCOLAR A CENTROS PRIVADOS CONCERTADOS DE EDUCACION ESPECIAL Y ALUMNADO MATRICULADO EN LOS MISMOS.")</f>
        <v>JUSTIFICACION DE LA CONVOCATORIA DE AYUDAS DE TRANSPORTE Y COMEDOR ESCOLAR A CENTROS PRIVADOS CONCERTADOS DE EDUCACION ESPECIAL Y ALUMNADO MATRICULADO EN LOS MISMOS.</v>
      </c>
      <c r="I95" s="3" t="s">
        <v>41</v>
      </c>
      <c r="J95" s="3" t="s">
        <v>41</v>
      </c>
      <c r="K95" s="3" t="s">
        <v>42</v>
      </c>
      <c r="L95" s="3" t="s">
        <v>41</v>
      </c>
    </row>
    <row r="96" spans="1:12" ht="57.6">
      <c r="A96" s="3" t="s">
        <v>4889</v>
      </c>
      <c r="B96" s="3" t="s">
        <v>4890</v>
      </c>
      <c r="C96" s="3" t="s">
        <v>3755</v>
      </c>
      <c r="D96" s="3" t="s">
        <v>37</v>
      </c>
      <c r="E96" s="3" t="s">
        <v>4582</v>
      </c>
      <c r="F96" s="3" t="s">
        <v>4583</v>
      </c>
      <c r="G96" s="3" t="s">
        <v>4891</v>
      </c>
      <c r="H96" s="3" t="str">
        <f>HYPERLINK("http://www.jccm.es/sede/tramite/KB1","PROGRAMA  SOMOS DEPORTE 3-18  DE CASTILLA-LA MANCHA. ALUMNADO")</f>
        <v>PROGRAMA  SOMOS DEPORTE 3-18  DE CASTILLA-LA MANCHA. ALUMNADO</v>
      </c>
      <c r="I96" s="3" t="s">
        <v>41</v>
      </c>
      <c r="J96" s="3" t="s">
        <v>41</v>
      </c>
      <c r="K96" s="3" t="s">
        <v>42</v>
      </c>
      <c r="L96" s="3" t="s">
        <v>41</v>
      </c>
    </row>
    <row r="97" spans="1:12" ht="57.6">
      <c r="A97" s="3" t="s">
        <v>4892</v>
      </c>
      <c r="B97" s="3" t="s">
        <v>4893</v>
      </c>
      <c r="C97" s="3" t="s">
        <v>3755</v>
      </c>
      <c r="D97" s="3" t="s">
        <v>37</v>
      </c>
      <c r="E97" s="3" t="s">
        <v>4582</v>
      </c>
      <c r="F97" s="3" t="s">
        <v>4583</v>
      </c>
      <c r="G97" s="3" t="s">
        <v>4894</v>
      </c>
      <c r="H97" s="3" t="str">
        <f>HYPERLINK("http://www.jccm.es/sede/tramite/K3Q","PROGRAMA  SOMOS DEPORTE 3-18  DE CASTILLA-LA MANCHA. ENTIDADES")</f>
        <v>PROGRAMA  SOMOS DEPORTE 3-18  DE CASTILLA-LA MANCHA. ENTIDADES</v>
      </c>
      <c r="I97" s="3" t="s">
        <v>41</v>
      </c>
      <c r="J97" s="3" t="s">
        <v>41</v>
      </c>
      <c r="K97" s="3" t="s">
        <v>42</v>
      </c>
      <c r="L97" s="3" t="s">
        <v>41</v>
      </c>
    </row>
    <row r="98" spans="1:12" ht="69">
      <c r="A98" s="3" t="s">
        <v>4895</v>
      </c>
      <c r="B98" s="3" t="s">
        <v>4896</v>
      </c>
      <c r="C98" s="3" t="s">
        <v>192</v>
      </c>
      <c r="D98" s="3" t="s">
        <v>46</v>
      </c>
      <c r="E98" s="3" t="s">
        <v>4582</v>
      </c>
      <c r="F98" s="3" t="s">
        <v>4583</v>
      </c>
      <c r="G98" s="3" t="s">
        <v>4897</v>
      </c>
      <c r="H98" s="3" t="str">
        <f>HYPERLINK("http://www.jccm.es/sede/tramite/KND","JUSTIFICACION PARA LA CONCESION DE SUBVENCIONES PARA LA ORGANIZACION DE EVENTOS DEPORTIVOS DE ESPECIAL INTERES EN CASTILLA-LA MANCHA.")</f>
        <v>JUSTIFICACION PARA LA CONCESION DE SUBVENCIONES PARA LA ORGANIZACION DE EVENTOS DEPORTIVOS DE ESPECIAL INTERES EN CASTILLA-LA MANCHA.</v>
      </c>
      <c r="I98" s="3" t="s">
        <v>41</v>
      </c>
      <c r="J98" s="3" t="s">
        <v>41</v>
      </c>
      <c r="K98" s="3" t="s">
        <v>42</v>
      </c>
      <c r="L98" s="3" t="s">
        <v>41</v>
      </c>
    </row>
    <row r="99" spans="1:12" ht="69">
      <c r="A99" s="3" t="s">
        <v>4898</v>
      </c>
      <c r="B99" s="3" t="s">
        <v>4899</v>
      </c>
      <c r="C99" s="3" t="s">
        <v>192</v>
      </c>
      <c r="D99" s="3" t="s">
        <v>46</v>
      </c>
      <c r="E99" s="3" t="s">
        <v>4582</v>
      </c>
      <c r="F99" s="3" t="s">
        <v>4583</v>
      </c>
      <c r="G99" s="3" t="s">
        <v>4900</v>
      </c>
      <c r="H99" s="3" t="str">
        <f>HYPERLINK("http://www.jccm.es/sede/tramite/KB8","CONVOCATORIA PARA LA CONCESION DE SUBVENCIONES PARA LA ORGANIZACION DE EVENTOS DEPORTIVOS DE ESPECIAL INTERES EN CASTILLA-LA MANCHA.")</f>
        <v>CONVOCATORIA PARA LA CONCESION DE SUBVENCIONES PARA LA ORGANIZACION DE EVENTOS DEPORTIVOS DE ESPECIAL INTERES EN CASTILLA-LA MANCHA.</v>
      </c>
      <c r="I99" s="3" t="s">
        <v>41</v>
      </c>
      <c r="J99" s="3" t="s">
        <v>41</v>
      </c>
      <c r="K99" s="3" t="s">
        <v>42</v>
      </c>
      <c r="L99" s="3" t="s">
        <v>41</v>
      </c>
    </row>
    <row r="100" spans="1:12" ht="57.6">
      <c r="A100" s="3" t="s">
        <v>4901</v>
      </c>
      <c r="B100" s="3" t="s">
        <v>4902</v>
      </c>
      <c r="C100" s="3" t="s">
        <v>192</v>
      </c>
      <c r="D100" s="3" t="s">
        <v>46</v>
      </c>
      <c r="E100" s="3" t="s">
        <v>4582</v>
      </c>
      <c r="F100" s="3" t="s">
        <v>4583</v>
      </c>
      <c r="G100" s="3" t="s">
        <v>4903</v>
      </c>
      <c r="H100" s="3" t="str">
        <f>HYPERLINK("http://www.jccm.es/sede/tramite/KLA","SOLICITUD DE SUBVENCIONES DE APOYO A CLUBES Y SOCIEDADES ANONIMAS DEPORTIVAS DE MAXIMO NIVEL DE CASTILLA-LA MANCHA.")</f>
        <v>SOLICITUD DE SUBVENCIONES DE APOYO A CLUBES Y SOCIEDADES ANONIMAS DEPORTIVAS DE MAXIMO NIVEL DE CASTILLA-LA MANCHA.</v>
      </c>
      <c r="I100" s="3" t="s">
        <v>41</v>
      </c>
      <c r="J100" s="3" t="s">
        <v>41</v>
      </c>
      <c r="K100" s="3" t="s">
        <v>42</v>
      </c>
      <c r="L100" s="3" t="s">
        <v>41</v>
      </c>
    </row>
    <row r="101" spans="1:12" ht="92.1">
      <c r="A101" s="3" t="s">
        <v>4904</v>
      </c>
      <c r="B101" s="3" t="s">
        <v>4905</v>
      </c>
      <c r="C101" s="3" t="s">
        <v>327</v>
      </c>
      <c r="D101" s="3" t="s">
        <v>46</v>
      </c>
      <c r="E101" s="3" t="s">
        <v>4582</v>
      </c>
      <c r="F101" s="3" t="s">
        <v>4603</v>
      </c>
      <c r="G101" s="3" t="s">
        <v>4906</v>
      </c>
      <c r="H101" s="3" t="str">
        <f>HYPERLINK("http://www.jccm.es/sede/tramite/KLX","SOLICITUD DE AYUDAS PARA EL USO DE LIBROS DE TEXTO ALUMNADO DE E. PRIMARIA Y E. SECUNDARIA Y DE COMEDOR ESCOLAR PARA EL ALUMNADO DE SEGUNDO CICLO DE E. INFANTIL Y E. PRIMARIA. SOLICITUD ALUMNADO.")</f>
        <v>SOLICITUD DE AYUDAS PARA EL USO DE LIBROS DE TEXTO ALUMNADO DE E. PRIMARIA Y E. SECUNDARIA Y DE COMEDOR ESCOLAR PARA EL ALUMNADO DE SEGUNDO CICLO DE E. INFANTIL Y E. PRIMARIA. SOLICITUD ALUMNADO.</v>
      </c>
      <c r="I101" s="3" t="s">
        <v>41</v>
      </c>
      <c r="J101" s="3" t="s">
        <v>41</v>
      </c>
      <c r="K101" s="3" t="s">
        <v>42</v>
      </c>
      <c r="L101" s="3" t="s">
        <v>41</v>
      </c>
    </row>
    <row r="102" spans="1:12" ht="103.5">
      <c r="A102" s="3" t="s">
        <v>4907</v>
      </c>
      <c r="B102" s="3" t="s">
        <v>4908</v>
      </c>
      <c r="C102" s="3" t="s">
        <v>327</v>
      </c>
      <c r="D102" s="3" t="s">
        <v>46</v>
      </c>
      <c r="E102" s="3" t="s">
        <v>4582</v>
      </c>
      <c r="F102" s="3" t="s">
        <v>4603</v>
      </c>
      <c r="G102" s="3" t="s">
        <v>4909</v>
      </c>
      <c r="H102" s="3" t="str">
        <f>HYPERLINK("http://www.jccm.es/sede/tramite/KRF","JUSTIFICACION DE SUBVENCIONES CONSISTENTES EN EL USO DE LIBROS DE TEXTO POR EL ALUMNADO DE EDUCACION PRIMARIA Y SECUNDARIA OBLIGATORIA MATRICULADO EN CENTROS SOSTENIDOS CON FONDOS PUBLICOS.")</f>
        <v>JUSTIFICACION DE SUBVENCIONES CONSISTENTES EN EL USO DE LIBROS DE TEXTO POR EL ALUMNADO DE EDUCACION PRIMARIA Y SECUNDARIA OBLIGATORIA MATRICULADO EN CENTROS SOSTENIDOS CON FONDOS PUBLICOS.</v>
      </c>
      <c r="I102" s="3" t="s">
        <v>41</v>
      </c>
      <c r="J102" s="3" t="s">
        <v>41</v>
      </c>
      <c r="K102" s="3" t="s">
        <v>42</v>
      </c>
      <c r="L102" s="3" t="s">
        <v>41</v>
      </c>
    </row>
    <row r="103" spans="1:12" ht="92.1">
      <c r="A103" s="3" t="s">
        <v>4910</v>
      </c>
      <c r="B103" s="3" t="s">
        <v>4911</v>
      </c>
      <c r="C103" s="3" t="s">
        <v>45</v>
      </c>
      <c r="D103" s="3" t="s">
        <v>46</v>
      </c>
      <c r="E103" s="3" t="s">
        <v>4582</v>
      </c>
      <c r="F103" s="3" t="s">
        <v>4603</v>
      </c>
      <c r="G103" s="3" t="s">
        <v>4912</v>
      </c>
      <c r="H103" s="3" t="str">
        <f>HYPERLINK("http://www.jccm.es/sede/tramite/KNG","AYUDAS A LAS ENTIDADES QUE PARTICIPEN EN LA EJECUCION DE ACTUACIONES COFINANCIADAS POR EL FSE Y LA ADMINISTRACION DE LA JUNTA DE COMUNIDADES DE CASTILLA-LA MANCHA EN EL PO DE EMPLEO JUVENIL.")</f>
        <v>AYUDAS A LAS ENTIDADES QUE PARTICIPEN EN LA EJECUCION DE ACTUACIONES COFINANCIADAS POR EL FSE Y LA ADMINISTRACION DE LA JUNTA DE COMUNIDADES DE CASTILLA-LA MANCHA EN EL PO DE EMPLEO JUVENIL.</v>
      </c>
      <c r="I103" s="3" t="s">
        <v>41</v>
      </c>
      <c r="J103" s="3" t="s">
        <v>41</v>
      </c>
      <c r="K103" s="3" t="s">
        <v>42</v>
      </c>
      <c r="L103" s="3" t="s">
        <v>41</v>
      </c>
    </row>
    <row r="104" spans="1:12" ht="69">
      <c r="A104" s="3" t="s">
        <v>4913</v>
      </c>
      <c r="B104" s="3" t="s">
        <v>4914</v>
      </c>
      <c r="C104" s="3" t="s">
        <v>51</v>
      </c>
      <c r="D104" s="3" t="s">
        <v>46</v>
      </c>
      <c r="E104" s="3" t="s">
        <v>4582</v>
      </c>
      <c r="F104" s="3" t="s">
        <v>4583</v>
      </c>
      <c r="G104" s="3" t="s">
        <v>4915</v>
      </c>
      <c r="H104" s="3" t="str">
        <f>HYPERLINK("http://www.jccm.es/sede/tramite/KO6","SUBVENCIONES PARA LA IMPLANTACION Y DESARROLLO DE PROYECTOS ESCOLARES SALUDABLES EN LOS CENTROS DOCENTES PRIVADOS CONCERTADOS")</f>
        <v>SUBVENCIONES PARA LA IMPLANTACION Y DESARROLLO DE PROYECTOS ESCOLARES SALUDABLES EN LOS CENTROS DOCENTES PRIVADOS CONCERTADOS</v>
      </c>
      <c r="I104" s="3" t="s">
        <v>41</v>
      </c>
      <c r="J104" s="3" t="s">
        <v>41</v>
      </c>
      <c r="K104" s="3" t="s">
        <v>42</v>
      </c>
      <c r="L104" s="3" t="s">
        <v>41</v>
      </c>
    </row>
    <row r="105" spans="1:12" ht="69">
      <c r="A105" s="3" t="s">
        <v>4916</v>
      </c>
      <c r="B105" s="3" t="s">
        <v>4917</v>
      </c>
      <c r="C105" s="3" t="s">
        <v>51</v>
      </c>
      <c r="D105" s="3" t="s">
        <v>46</v>
      </c>
      <c r="E105" s="3" t="s">
        <v>4582</v>
      </c>
      <c r="F105" s="3" t="s">
        <v>4583</v>
      </c>
      <c r="G105" s="3" t="s">
        <v>4918</v>
      </c>
      <c r="H105" s="3" t="str">
        <f>HYPERLINK("http://www.jccm.es/sede/tramite/KTR","JUSTIFICACION SUBVENCIONES PARA LA IMPLANTACION Y DESARROLLO DE PROYECTOS ESCOLARES SALUDABLES EN LOS CENTROS DOCENTES PRIVADOS CONCERTADOS")</f>
        <v>JUSTIFICACION SUBVENCIONES PARA LA IMPLANTACION Y DESARROLLO DE PROYECTOS ESCOLARES SALUDABLES EN LOS CENTROS DOCENTES PRIVADOS CONCERTADOS</v>
      </c>
      <c r="I105" s="3" t="s">
        <v>41</v>
      </c>
      <c r="J105" s="3" t="s">
        <v>41</v>
      </c>
      <c r="K105" s="3" t="s">
        <v>42</v>
      </c>
      <c r="L105" s="3" t="s">
        <v>41</v>
      </c>
    </row>
    <row r="106" spans="1:12" ht="69">
      <c r="A106" s="3" t="s">
        <v>4919</v>
      </c>
      <c r="B106" s="3" t="s">
        <v>4920</v>
      </c>
      <c r="C106" s="3" t="s">
        <v>45</v>
      </c>
      <c r="D106" s="3" t="s">
        <v>46</v>
      </c>
      <c r="E106" s="3" t="s">
        <v>4582</v>
      </c>
      <c r="F106" s="3" t="s">
        <v>4614</v>
      </c>
      <c r="G106" s="3" t="s">
        <v>4921</v>
      </c>
      <c r="H106" s="3" t="str">
        <f>HYPERLINK("http://www.jccm.es/sede/tramite/L40","JUSTIFICACION DEL LIBRAMIENTO DE FONDOS PARA EL DESARROLLO DE PROYECTOS DE INNOVACION EN FORMACION PROFESIONAL DURANTE EL AÑO 2022.")</f>
        <v>JUSTIFICACION DEL LIBRAMIENTO DE FONDOS PARA EL DESARROLLO DE PROYECTOS DE INNOVACION EN FORMACION PROFESIONAL DURANTE EL AÑO 2022.</v>
      </c>
      <c r="I106" s="3" t="s">
        <v>41</v>
      </c>
      <c r="J106" s="3" t="s">
        <v>41</v>
      </c>
      <c r="K106" s="3" t="s">
        <v>42</v>
      </c>
      <c r="L106" s="3" t="s">
        <v>41</v>
      </c>
    </row>
    <row r="107" spans="1:12" ht="69">
      <c r="A107" s="3" t="s">
        <v>4922</v>
      </c>
      <c r="B107" s="3" t="s">
        <v>4923</v>
      </c>
      <c r="C107" s="3" t="s">
        <v>45</v>
      </c>
      <c r="D107" s="3" t="s">
        <v>46</v>
      </c>
      <c r="E107" s="3" t="s">
        <v>4582</v>
      </c>
      <c r="F107" s="3" t="s">
        <v>4614</v>
      </c>
      <c r="G107" s="3" t="s">
        <v>4924</v>
      </c>
      <c r="H107" s="3" t="str">
        <f>HYPERLINK("http://www.jccm.es/sede/tramite/L3Z","LIBRAMIENTO DE FONDOS PARA EL DESARROLLO DE PROYECTOS DE INNOVACION EN FORMACION PROFESIONAL DURANTE EL AÑO 2022")</f>
        <v>LIBRAMIENTO DE FONDOS PARA EL DESARROLLO DE PROYECTOS DE INNOVACION EN FORMACION PROFESIONAL DURANTE EL AÑO 2022</v>
      </c>
      <c r="I107" s="3" t="s">
        <v>41</v>
      </c>
      <c r="J107" s="3" t="s">
        <v>41</v>
      </c>
      <c r="K107" s="3" t="s">
        <v>42</v>
      </c>
      <c r="L107" s="3" t="s">
        <v>41</v>
      </c>
    </row>
    <row r="108" spans="1:12" ht="92.1">
      <c r="A108" s="3" t="s">
        <v>4925</v>
      </c>
      <c r="B108" s="3" t="s">
        <v>4926</v>
      </c>
      <c r="C108" s="3" t="s">
        <v>45</v>
      </c>
      <c r="D108" s="3" t="s">
        <v>46</v>
      </c>
      <c r="E108" s="3" t="s">
        <v>4582</v>
      </c>
      <c r="F108" s="3" t="s">
        <v>4591</v>
      </c>
      <c r="G108" s="3" t="s">
        <v>4927</v>
      </c>
      <c r="H108" s="3" t="str">
        <f>HYPERLINK("http://www.jccm.es/sede/tramite/L4V","SOLICITUD DE CENTROS RECEPTORES: PROYECTO DE INNOVACION EDUCATIVA OBSERVA Y TRANSFORMA:FORMACION PARA EL DESARROLLO PROFESIONAL DOCENTE A TRAVES DE ESTANCIAS FORMATIVAS")</f>
        <v>SOLICITUD DE CENTROS RECEPTORES: PROYECTO DE INNOVACION EDUCATIVA OBSERVA Y TRANSFORMA:FORMACION PARA EL DESARROLLO PROFESIONAL DOCENTE A TRAVES DE ESTANCIAS FORMATIVAS</v>
      </c>
      <c r="I108" s="3" t="s">
        <v>41</v>
      </c>
      <c r="J108" s="3" t="s">
        <v>41</v>
      </c>
      <c r="K108" s="3" t="s">
        <v>42</v>
      </c>
      <c r="L108" s="3" t="s">
        <v>41</v>
      </c>
    </row>
    <row r="109" spans="1:12" ht="92.1">
      <c r="A109" s="3" t="s">
        <v>4928</v>
      </c>
      <c r="B109" s="3" t="s">
        <v>4929</v>
      </c>
      <c r="C109" s="3" t="s">
        <v>45</v>
      </c>
      <c r="D109" s="3" t="s">
        <v>46</v>
      </c>
      <c r="E109" s="3" t="s">
        <v>4582</v>
      </c>
      <c r="F109" s="3" t="s">
        <v>4591</v>
      </c>
      <c r="G109" s="3" t="s">
        <v>4930</v>
      </c>
      <c r="H109" s="3" t="str">
        <f>HYPERLINK("http://www.jccm.es/sede/tramite/L4W","SOLICITUD PARA PERSONAL DOCENTE  PROYECTO DE INNOVACION EDUCATIVA OBSERVA Y TRANSFORMA:FORMACION PARA EL DESARROLLO PROFESIONAL DOCENTE A TRAVES DE ESTANCIAS FORMATIVAS")</f>
        <v>SOLICITUD PARA PERSONAL DOCENTE  PROYECTO DE INNOVACION EDUCATIVA OBSERVA Y TRANSFORMA:FORMACION PARA EL DESARROLLO PROFESIONAL DOCENTE A TRAVES DE ESTANCIAS FORMATIVAS</v>
      </c>
      <c r="I109" s="3" t="s">
        <v>41</v>
      </c>
      <c r="J109" s="3" t="s">
        <v>41</v>
      </c>
      <c r="K109" s="3" t="s">
        <v>42</v>
      </c>
      <c r="L109" s="3" t="s">
        <v>41</v>
      </c>
    </row>
    <row r="110" spans="1:12" ht="80.45">
      <c r="A110" s="3" t="s">
        <v>4931</v>
      </c>
      <c r="B110" s="3" t="s">
        <v>4932</v>
      </c>
      <c r="C110" s="3" t="s">
        <v>45</v>
      </c>
      <c r="D110" s="3" t="s">
        <v>46</v>
      </c>
      <c r="E110" s="3" t="s">
        <v>4582</v>
      </c>
      <c r="F110" s="3" t="s">
        <v>4583</v>
      </c>
      <c r="G110" s="3" t="s">
        <v>4933</v>
      </c>
      <c r="H110" s="3" t="str">
        <f>HYPERLINK("http://www.jccm.es/sede/tramite/L73","JUSTIFICACION DEL LIBRAMIENTO DE FONDOS PARA LA IMPLANTACION Y DESARROLLO DE PROYECTOS ESCOLARES SALUDABLES EN LOS CENTROS DOCENTES PUBLICOS.")</f>
        <v>JUSTIFICACION DEL LIBRAMIENTO DE FONDOS PARA LA IMPLANTACION Y DESARROLLO DE PROYECTOS ESCOLARES SALUDABLES EN LOS CENTROS DOCENTES PUBLICOS.</v>
      </c>
      <c r="I110" s="3" t="s">
        <v>41</v>
      </c>
      <c r="J110" s="3" t="s">
        <v>41</v>
      </c>
      <c r="K110" s="3" t="s">
        <v>42</v>
      </c>
      <c r="L110" s="3" t="s">
        <v>41</v>
      </c>
    </row>
    <row r="111" spans="1:12" ht="80.45">
      <c r="A111" s="3" t="s">
        <v>4934</v>
      </c>
      <c r="B111" s="3" t="s">
        <v>4935</v>
      </c>
      <c r="C111" s="3" t="s">
        <v>45</v>
      </c>
      <c r="D111" s="3" t="s">
        <v>46</v>
      </c>
      <c r="E111" s="3" t="s">
        <v>4582</v>
      </c>
      <c r="F111" s="3" t="s">
        <v>4583</v>
      </c>
      <c r="G111" s="3" t="s">
        <v>4936</v>
      </c>
      <c r="H111" s="3" t="str">
        <f>HYPERLINK("http://www.jccm.es/sede/tramite/L72","SOLICITUD PARA EL LIBRAMIENTO DE FONDOS PARA LA IMPLANTACION Y DESARROLLO DE PROYECTOS ESCOLARES SALUDABLES EN LOS CENTROS DOCENTES PUBLICOS")</f>
        <v>SOLICITUD PARA EL LIBRAMIENTO DE FONDOS PARA LA IMPLANTACION Y DESARROLLO DE PROYECTOS ESCOLARES SALUDABLES EN LOS CENTROS DOCENTES PUBLICOS</v>
      </c>
      <c r="I111" s="3" t="s">
        <v>41</v>
      </c>
      <c r="J111" s="3" t="s">
        <v>41</v>
      </c>
      <c r="K111" s="3" t="s">
        <v>42</v>
      </c>
      <c r="L111" s="3" t="s">
        <v>41</v>
      </c>
    </row>
    <row r="112" spans="1:12" ht="57.6">
      <c r="A112" s="3" t="s">
        <v>4937</v>
      </c>
      <c r="B112" s="3" t="s">
        <v>4938</v>
      </c>
      <c r="C112" s="3" t="s">
        <v>4029</v>
      </c>
      <c r="D112" s="3" t="s">
        <v>46</v>
      </c>
      <c r="E112" s="3" t="s">
        <v>4582</v>
      </c>
      <c r="F112" s="3" t="s">
        <v>4610</v>
      </c>
      <c r="G112" s="3" t="s">
        <v>4939</v>
      </c>
      <c r="H112" s="3" t="str">
        <f>HYPERLINK("http://www.jccm.es/sede/tramite/LG9","SUBVENCIONES DESTINADAS AL DESARROLLO DE PROYECTOS DE LARGOMETRAJES EN CASTILLA-LA MANCHA.")</f>
        <v>SUBVENCIONES DESTINADAS AL DESARROLLO DE PROYECTOS DE LARGOMETRAJES EN CASTILLA-LA MANCHA.</v>
      </c>
      <c r="I112" s="3" t="s">
        <v>41</v>
      </c>
      <c r="J112" s="3" t="s">
        <v>41</v>
      </c>
      <c r="K112" s="3" t="s">
        <v>42</v>
      </c>
      <c r="L112" s="3" t="s">
        <v>41</v>
      </c>
    </row>
    <row r="113" spans="1:12" ht="57.6">
      <c r="A113" s="3" t="s">
        <v>4940</v>
      </c>
      <c r="B113" s="3" t="s">
        <v>4941</v>
      </c>
      <c r="C113" s="3" t="s">
        <v>4029</v>
      </c>
      <c r="D113" s="3" t="s">
        <v>46</v>
      </c>
      <c r="E113" s="3" t="s">
        <v>4582</v>
      </c>
      <c r="F113" s="3" t="s">
        <v>4610</v>
      </c>
      <c r="G113" s="3" t="s">
        <v>4942</v>
      </c>
      <c r="H113" s="3" t="str">
        <f>HYPERLINK("http://www.jccm.es/sede/tramite/LGA","JUSTIFICACION SUBVENCIONES DESTINADAS AL DESARROLLO DE PROYECTOS DE LARGOMETRAJES EN CASTILLA-LA MANCHA.")</f>
        <v>JUSTIFICACION SUBVENCIONES DESTINADAS AL DESARROLLO DE PROYECTOS DE LARGOMETRAJES EN CASTILLA-LA MANCHA.</v>
      </c>
      <c r="I113" s="3" t="s">
        <v>41</v>
      </c>
      <c r="J113" s="3" t="s">
        <v>41</v>
      </c>
      <c r="K113" s="3" t="s">
        <v>42</v>
      </c>
      <c r="L113" s="3" t="s">
        <v>41</v>
      </c>
    </row>
    <row r="114" spans="1:12" ht="57.6">
      <c r="A114" s="3" t="s">
        <v>4943</v>
      </c>
      <c r="B114" s="3" t="s">
        <v>4944</v>
      </c>
      <c r="C114" s="3" t="s">
        <v>327</v>
      </c>
      <c r="D114" s="3" t="s">
        <v>46</v>
      </c>
      <c r="E114" s="3" t="s">
        <v>4582</v>
      </c>
      <c r="F114" s="3" t="s">
        <v>4610</v>
      </c>
      <c r="G114" s="3" t="s">
        <v>4945</v>
      </c>
      <c r="H114" s="3" t="str">
        <f>HYPERLINK("http://www.jccm.es/sede/tramite/LGC","JUSTIFICACION SUBVENCIONES DESTINADAS A LA PRODUCCION DE CORTOMETRAJES CINEMATOGRAFICOS EN CASTILLA-LA MANCHA.")</f>
        <v>JUSTIFICACION SUBVENCIONES DESTINADAS A LA PRODUCCION DE CORTOMETRAJES CINEMATOGRAFICOS EN CASTILLA-LA MANCHA.</v>
      </c>
      <c r="I114" s="3" t="s">
        <v>41</v>
      </c>
      <c r="J114" s="3" t="s">
        <v>41</v>
      </c>
      <c r="K114" s="3" t="s">
        <v>42</v>
      </c>
      <c r="L114" s="3" t="s">
        <v>41</v>
      </c>
    </row>
    <row r="115" spans="1:12" ht="57.6">
      <c r="A115" s="3" t="s">
        <v>4946</v>
      </c>
      <c r="B115" s="3" t="s">
        <v>4947</v>
      </c>
      <c r="C115" s="3" t="s">
        <v>327</v>
      </c>
      <c r="D115" s="3" t="s">
        <v>46</v>
      </c>
      <c r="E115" s="3" t="s">
        <v>4582</v>
      </c>
      <c r="F115" s="3" t="s">
        <v>4610</v>
      </c>
      <c r="G115" s="3" t="s">
        <v>4948</v>
      </c>
      <c r="H115" s="3" t="str">
        <f>HYPERLINK("http://www.jccm.es/sede/tramite/LGB","SUBVENCIONES DESTINADAS A LA PRODUCCION DE CORTOMETRAJES CINEMATOGRAFICOS EN CASTILLA-LA MANCHA.")</f>
        <v>SUBVENCIONES DESTINADAS A LA PRODUCCION DE CORTOMETRAJES CINEMATOGRAFICOS EN CASTILLA-LA MANCHA.</v>
      </c>
      <c r="I115" s="3" t="s">
        <v>41</v>
      </c>
      <c r="J115" s="3" t="s">
        <v>41</v>
      </c>
      <c r="K115" s="3" t="s">
        <v>42</v>
      </c>
      <c r="L115" s="3" t="s">
        <v>41</v>
      </c>
    </row>
    <row r="116" spans="1:12" ht="80.45">
      <c r="A116" s="3" t="s">
        <v>4949</v>
      </c>
      <c r="B116" s="3" t="s">
        <v>4950</v>
      </c>
      <c r="C116" s="3" t="s">
        <v>95</v>
      </c>
      <c r="D116" s="3" t="s">
        <v>95</v>
      </c>
      <c r="E116" s="3" t="s">
        <v>4582</v>
      </c>
      <c r="F116" s="3" t="s">
        <v>4587</v>
      </c>
      <c r="G116" s="3" t="s">
        <v>4951</v>
      </c>
      <c r="H116" s="3" t="str">
        <f>HYPERLINK("http://www.jccm.es/sede/tramite/LGI","JUSTIFICACION DE LA AYUDA CONCEDIDA DEL PROGRAMA REFUERZA-T DE EDUCACION PRIMARIA, EDUCACION SECUNDARIA Y BACHILLERATO EN CENTROS CONCERTADOS DE C-LM")</f>
        <v>JUSTIFICACION DE LA AYUDA CONCEDIDA DEL PROGRAMA REFUERZA-T DE EDUCACION PRIMARIA, EDUCACION SECUNDARIA Y BACHILLERATO EN CENTROS CONCERTADOS DE C-LM</v>
      </c>
      <c r="I116" s="3" t="s">
        <v>41</v>
      </c>
      <c r="J116" s="3" t="s">
        <v>41</v>
      </c>
      <c r="K116" s="3" t="s">
        <v>42</v>
      </c>
      <c r="L116" s="3" t="s">
        <v>41</v>
      </c>
    </row>
    <row r="117" spans="1:12" ht="80.45">
      <c r="A117" s="3" t="s">
        <v>4952</v>
      </c>
      <c r="B117" s="3" t="s">
        <v>4953</v>
      </c>
      <c r="C117" s="3" t="s">
        <v>95</v>
      </c>
      <c r="D117" s="3" t="s">
        <v>95</v>
      </c>
      <c r="E117" s="3" t="s">
        <v>4582</v>
      </c>
      <c r="F117" s="3" t="s">
        <v>4591</v>
      </c>
      <c r="G117" s="3" t="s">
        <v>4954</v>
      </c>
      <c r="H117" s="3" t="str">
        <f>HYPERLINK("http://www.jccm.es/sede/tramite/LGJ","RENUNCIA A LA AYUDA CONCEDIDA DEL PROGRAMA REFUERZA-T DE EDUCACION PRIMARIA, EDUCACION SECUNDARIA Y BACHILLERATO EN CENTROS CONCERTADOS DE C-LM")</f>
        <v>RENUNCIA A LA AYUDA CONCEDIDA DEL PROGRAMA REFUERZA-T DE EDUCACION PRIMARIA, EDUCACION SECUNDARIA Y BACHILLERATO EN CENTROS CONCERTADOS DE C-LM</v>
      </c>
      <c r="I117" s="3" t="s">
        <v>41</v>
      </c>
      <c r="J117" s="3" t="s">
        <v>41</v>
      </c>
      <c r="K117" s="3" t="s">
        <v>42</v>
      </c>
      <c r="L117" s="3" t="s">
        <v>41</v>
      </c>
    </row>
    <row r="118" spans="1:12" ht="92.1">
      <c r="A118" s="3" t="s">
        <v>4955</v>
      </c>
      <c r="B118" s="3" t="s">
        <v>4956</v>
      </c>
      <c r="C118" s="3" t="s">
        <v>51</v>
      </c>
      <c r="D118" s="3" t="s">
        <v>46</v>
      </c>
      <c r="E118" s="3" t="s">
        <v>4582</v>
      </c>
      <c r="F118" s="3" t="s">
        <v>4583</v>
      </c>
      <c r="G118" s="3" t="s">
        <v>4957</v>
      </c>
      <c r="H118" s="3" t="str">
        <f>HYPERLINK("http://www.jccm.es/sede/tramite/LLR","SUBVENCIONES DESTINADAS AL MANTENIMIENTO DE LA ACTIVIDAD DE CLUBES DEPORTIVOS Y S.A.  DEPORTIVAS DE C-LM , AFECTADOS POR LA CRISIS ECONOMICA CONSECUENCIA DEL COVID-19.")</f>
        <v>SUBVENCIONES DESTINADAS AL MANTENIMIENTO DE LA ACTIVIDAD DE CLUBES DEPORTIVOS Y S.A.  DEPORTIVAS DE C-LM , AFECTADOS POR LA CRISIS ECONOMICA CONSECUENCIA DEL COVID-19.</v>
      </c>
      <c r="I118" s="3" t="s">
        <v>41</v>
      </c>
      <c r="J118" s="3" t="s">
        <v>41</v>
      </c>
      <c r="K118" s="3" t="s">
        <v>42</v>
      </c>
      <c r="L118" s="3" t="s">
        <v>41</v>
      </c>
    </row>
    <row r="119" spans="1:12" ht="92.1">
      <c r="A119" s="3" t="s">
        <v>4958</v>
      </c>
      <c r="B119" s="3" t="s">
        <v>4959</v>
      </c>
      <c r="C119" s="3" t="s">
        <v>51</v>
      </c>
      <c r="D119" s="3" t="s">
        <v>46</v>
      </c>
      <c r="E119" s="3" t="s">
        <v>4582</v>
      </c>
      <c r="F119" s="3" t="s">
        <v>4583</v>
      </c>
      <c r="G119" s="3" t="s">
        <v>4960</v>
      </c>
      <c r="H119" s="3" t="str">
        <f>HYPERLINK("http://www.jccm.es/sede/tramite/LLS","JUSTIFICACION SUBVENCIONES DESTINADAS AL MANTENIMIENTO DE LA ACTIVIDAD DE CLUBES DEPORTIVOS Y SOCIEDADES ANONIMAS DEPORTIVAS DE CASTILLA-LA MANCHA AFECTADOS POR EL COVID-19")</f>
        <v>JUSTIFICACION SUBVENCIONES DESTINADAS AL MANTENIMIENTO DE LA ACTIVIDAD DE CLUBES DEPORTIVOS Y SOCIEDADES ANONIMAS DEPORTIVAS DE CASTILLA-LA MANCHA AFECTADOS POR EL COVID-19</v>
      </c>
      <c r="I119" s="3" t="s">
        <v>41</v>
      </c>
      <c r="J119" s="3" t="s">
        <v>41</v>
      </c>
      <c r="K119" s="3" t="s">
        <v>42</v>
      </c>
      <c r="L119" s="3" t="s">
        <v>41</v>
      </c>
    </row>
    <row r="120" spans="1:12" ht="149.44999999999999">
      <c r="A120" s="3" t="s">
        <v>4961</v>
      </c>
      <c r="B120" s="3" t="s">
        <v>4962</v>
      </c>
      <c r="C120" s="3" t="s">
        <v>4963</v>
      </c>
      <c r="D120" s="3" t="s">
        <v>46</v>
      </c>
      <c r="E120" s="3" t="s">
        <v>4582</v>
      </c>
      <c r="F120" s="3" t="s">
        <v>4610</v>
      </c>
      <c r="G120" s="3" t="s">
        <v>4964</v>
      </c>
      <c r="H120" s="3" t="str">
        <f>HYPERLINK("http://www.jccm.es/sede/tramite/LO3","JUSTIFICACION SUBVENCIONES DESTINADAS A LA PRODUCCION DE LARGOMETRAJES EN CASTILLA-LA MANCHA.")</f>
        <v>JUSTIFICACION SUBVENCIONES DESTINADAS A LA PRODUCCION DE LARGOMETRAJES EN CASTILLA-LA MANCHA.</v>
      </c>
      <c r="I120" s="3" t="s">
        <v>41</v>
      </c>
      <c r="J120" s="3" t="s">
        <v>41</v>
      </c>
      <c r="K120" s="3" t="s">
        <v>42</v>
      </c>
      <c r="L120" s="3" t="s">
        <v>41</v>
      </c>
    </row>
    <row r="121" spans="1:12" ht="149.44999999999999">
      <c r="A121" s="3" t="s">
        <v>4965</v>
      </c>
      <c r="B121" s="3" t="s">
        <v>4966</v>
      </c>
      <c r="C121" s="3" t="s">
        <v>4963</v>
      </c>
      <c r="D121" s="3" t="s">
        <v>46</v>
      </c>
      <c r="E121" s="3" t="s">
        <v>4582</v>
      </c>
      <c r="F121" s="3" t="s">
        <v>4610</v>
      </c>
      <c r="G121" s="3" t="s">
        <v>4967</v>
      </c>
      <c r="H121" s="3" t="str">
        <f>HYPERLINK("http://www.jccm.es/sede/tramite/LO2","SUBVENCIONES DESTINADAS A LA PRODUCCION DE LARGOMETRAJES EN CASTILLA-LA MANCHA.")</f>
        <v>SUBVENCIONES DESTINADAS A LA PRODUCCION DE LARGOMETRAJES EN CASTILLA-LA MANCHA.</v>
      </c>
      <c r="I121" s="3" t="s">
        <v>41</v>
      </c>
      <c r="J121" s="3" t="s">
        <v>41</v>
      </c>
      <c r="K121" s="3" t="s">
        <v>42</v>
      </c>
      <c r="L121" s="3" t="s">
        <v>41</v>
      </c>
    </row>
    <row r="122" spans="1:12" ht="126.6">
      <c r="A122" s="3" t="s">
        <v>4968</v>
      </c>
      <c r="B122" s="3" t="s">
        <v>4969</v>
      </c>
      <c r="C122" s="3" t="s">
        <v>232</v>
      </c>
      <c r="D122" s="3" t="s">
        <v>46</v>
      </c>
      <c r="E122" s="3" t="s">
        <v>4582</v>
      </c>
      <c r="F122" s="3" t="s">
        <v>4610</v>
      </c>
      <c r="G122" s="3" t="s">
        <v>4970</v>
      </c>
      <c r="H122" s="3" t="str">
        <f>HYPERLINK("http://www.jccm.es/sede/tramite/LQA","SUBVENCIONES DESTINADAS A LA MODERNIZACION Y GESTION SOSTENIBLE DE LAS INFRAESTRUCTURAS DE LAS ARTES ESCENICAS Y MUSICALES.")</f>
        <v>SUBVENCIONES DESTINADAS A LA MODERNIZACION Y GESTION SOSTENIBLE DE LAS INFRAESTRUCTURAS DE LAS ARTES ESCENICAS Y MUSICALES.</v>
      </c>
      <c r="I122" s="3" t="s">
        <v>41</v>
      </c>
      <c r="J122" s="3" t="s">
        <v>41</v>
      </c>
      <c r="K122" s="3" t="s">
        <v>42</v>
      </c>
      <c r="L122" s="3" t="s">
        <v>41</v>
      </c>
    </row>
    <row r="123" spans="1:12" ht="57.6">
      <c r="A123" s="3" t="s">
        <v>4971</v>
      </c>
      <c r="B123" s="3" t="s">
        <v>4972</v>
      </c>
      <c r="C123" s="3" t="s">
        <v>4973</v>
      </c>
      <c r="D123" s="3" t="s">
        <v>46</v>
      </c>
      <c r="E123" s="3" t="s">
        <v>4582</v>
      </c>
      <c r="F123" s="3" t="s">
        <v>4582</v>
      </c>
      <c r="G123" s="3" t="s">
        <v>4974</v>
      </c>
      <c r="H123" s="3" t="str">
        <f>HYPERLINK("http://www.jccm.es/sede/tramite/LZC","PREMIOS EXTRAORDINARIOS DE FORMACION PROFESIONAL DEL SISTEMA EDUCATIVO DE GRADO MEDIO, PARA ALUMNOS DE CENTROS SOSTENIDOS CON FONDOS PUBLICOS Y PRIVADOS.")</f>
        <v>PREMIOS EXTRAORDINARIOS DE FORMACION PROFESIONAL DEL SISTEMA EDUCATIVO DE GRADO MEDIO, PARA ALUMNOS DE CENTROS SOSTENIDOS CON FONDOS PUBLICOS Y PRIVADOS.</v>
      </c>
      <c r="I123" s="3" t="s">
        <v>42</v>
      </c>
      <c r="J123" s="3" t="s">
        <v>41</v>
      </c>
      <c r="K123" s="3" t="s">
        <v>42</v>
      </c>
      <c r="L123" s="3" t="s">
        <v>41</v>
      </c>
    </row>
    <row r="124" spans="1:12" ht="57.6">
      <c r="A124" s="3" t="s">
        <v>4975</v>
      </c>
      <c r="B124" s="3" t="s">
        <v>4976</v>
      </c>
      <c r="C124" s="3" t="s">
        <v>45</v>
      </c>
      <c r="D124" s="3" t="s">
        <v>37</v>
      </c>
      <c r="E124" s="3" t="s">
        <v>4582</v>
      </c>
      <c r="F124" s="3" t="s">
        <v>4583</v>
      </c>
      <c r="G124" s="3" t="s">
        <v>4977</v>
      </c>
      <c r="H124" s="3" t="str">
        <f>HYPERLINK("http://www.jccm.es/sede/tramite/ICE","RECONOCIMIENTO DE ESCUELAS DE ANIMACION JUVENIL")</f>
        <v>RECONOCIMIENTO DE ESCUELAS DE ANIMACION JUVENIL</v>
      </c>
      <c r="I124" s="3" t="s">
        <v>42</v>
      </c>
      <c r="J124" s="3" t="s">
        <v>41</v>
      </c>
      <c r="K124" s="3" t="s">
        <v>42</v>
      </c>
      <c r="L124" s="3" t="s">
        <v>42</v>
      </c>
    </row>
    <row r="125" spans="1:12" ht="57.6">
      <c r="A125" s="3" t="s">
        <v>4978</v>
      </c>
      <c r="B125" s="3" t="s">
        <v>4979</v>
      </c>
      <c r="C125" s="3" t="s">
        <v>556</v>
      </c>
      <c r="D125" s="3" t="s">
        <v>46</v>
      </c>
      <c r="E125" s="3" t="s">
        <v>4582</v>
      </c>
      <c r="F125" s="3" t="s">
        <v>4591</v>
      </c>
      <c r="G125" s="3" t="s">
        <v>4980</v>
      </c>
      <c r="H125" s="3" t="str">
        <f>HYPERLINK("http://www.jccm.es/sede/tramite/IPV","CONVOCATORIA PARA LA REALIZACION DE PRUEBAS DE ACCESO A CICLOS FORMATIVOS DE FORMACION PROFESIONAL")</f>
        <v>CONVOCATORIA PARA LA REALIZACION DE PRUEBAS DE ACCESO A CICLOS FORMATIVOS DE FORMACION PROFESIONAL</v>
      </c>
      <c r="I125" s="3" t="s">
        <v>41</v>
      </c>
      <c r="J125" s="3" t="s">
        <v>41</v>
      </c>
      <c r="K125" s="3" t="s">
        <v>42</v>
      </c>
      <c r="L125" s="3" t="s">
        <v>41</v>
      </c>
    </row>
    <row r="126" spans="1:12" ht="103.5">
      <c r="A126" s="3" t="s">
        <v>4981</v>
      </c>
      <c r="B126" s="3" t="s">
        <v>4982</v>
      </c>
      <c r="C126" s="3" t="s">
        <v>327</v>
      </c>
      <c r="D126" s="3" t="s">
        <v>46</v>
      </c>
      <c r="E126" s="3" t="s">
        <v>4582</v>
      </c>
      <c r="F126" s="3" t="s">
        <v>4614</v>
      </c>
      <c r="G126" s="3" t="s">
        <v>4983</v>
      </c>
      <c r="H126" s="3" t="str">
        <f>HYPERLINK("http://www.jccm.es/sede/tramite/IYM","ADMISION DE ALUMNADO EN CICLOS FORMATIVOS DE GRADO MEDIO Y GRADO SUPERIOR EN MODALIDAD PRESENCIAL EN CENTROS DOCENTES DE CASTILLA-LA MANCHA SOSTENIDOS CON FONDOS PUBLICOS.")</f>
        <v>ADMISION DE ALUMNADO EN CICLOS FORMATIVOS DE GRADO MEDIO Y GRADO SUPERIOR EN MODALIDAD PRESENCIAL EN CENTROS DOCENTES DE CASTILLA-LA MANCHA SOSTENIDOS CON FONDOS PUBLICOS.</v>
      </c>
      <c r="I126" s="3" t="s">
        <v>41</v>
      </c>
      <c r="J126" s="3" t="s">
        <v>41</v>
      </c>
      <c r="K126" s="3" t="s">
        <v>42</v>
      </c>
      <c r="L126" s="3" t="s">
        <v>41</v>
      </c>
    </row>
    <row r="127" spans="1:12" ht="80.45">
      <c r="A127" s="3" t="s">
        <v>4984</v>
      </c>
      <c r="B127" s="3" t="s">
        <v>4985</v>
      </c>
      <c r="C127" s="3" t="s">
        <v>327</v>
      </c>
      <c r="D127" s="3" t="s">
        <v>46</v>
      </c>
      <c r="E127" s="3" t="s">
        <v>4582</v>
      </c>
      <c r="F127" s="3" t="s">
        <v>4614</v>
      </c>
      <c r="G127" s="3" t="s">
        <v>4986</v>
      </c>
      <c r="H127" s="3" t="str">
        <f>HYPERLINK("http://www.jccm.es/sede/tramite/IYX","ADMISION DE ALUMNADO EN CICLOS FORMATIVOS DE GRADO MEDIO Y GRADO SUPERIOR EN MODALIDAD DISTANCIA EN CENTROS DOCENTES DE CASTILLA-LA MANCHA DE TITULARIDAD PUBLICA.")</f>
        <v>ADMISION DE ALUMNADO EN CICLOS FORMATIVOS DE GRADO MEDIO Y GRADO SUPERIOR EN MODALIDAD DISTANCIA EN CENTROS DOCENTES DE CASTILLA-LA MANCHA DE TITULARIDAD PUBLICA.</v>
      </c>
      <c r="I127" s="3" t="s">
        <v>41</v>
      </c>
      <c r="J127" s="3" t="s">
        <v>41</v>
      </c>
      <c r="K127" s="3" t="s">
        <v>42</v>
      </c>
      <c r="L127" s="3" t="s">
        <v>41</v>
      </c>
    </row>
    <row r="128" spans="1:12" ht="69">
      <c r="A128" s="3" t="s">
        <v>4987</v>
      </c>
      <c r="B128" s="3" t="s">
        <v>4988</v>
      </c>
      <c r="C128" s="3" t="s">
        <v>45</v>
      </c>
      <c r="D128" s="3" t="s">
        <v>46</v>
      </c>
      <c r="E128" s="3" t="s">
        <v>4582</v>
      </c>
      <c r="F128" s="3" t="s">
        <v>4614</v>
      </c>
      <c r="G128" s="3" t="s">
        <v>4989</v>
      </c>
      <c r="H128" s="3" t="str">
        <f>HYPERLINK("http://www.jccm.es/sede/tramite/I4I","ADMISION ALUMNADO EN CENTROS DOCENTES QUE IMPARTEN EDUCACION PARA PERSONAS ADULTAS.")</f>
        <v>ADMISION ALUMNADO EN CENTROS DOCENTES QUE IMPARTEN EDUCACION PARA PERSONAS ADULTAS.</v>
      </c>
      <c r="I128" s="3" t="s">
        <v>42</v>
      </c>
      <c r="J128" s="3" t="s">
        <v>41</v>
      </c>
      <c r="K128" s="3" t="s">
        <v>42</v>
      </c>
      <c r="L128" s="3" t="s">
        <v>41</v>
      </c>
    </row>
    <row r="129" spans="1:12" ht="57.6">
      <c r="A129" s="3" t="s">
        <v>4990</v>
      </c>
      <c r="B129" s="3" t="s">
        <v>4991</v>
      </c>
      <c r="C129" s="3" t="s">
        <v>51</v>
      </c>
      <c r="D129" s="3" t="s">
        <v>46</v>
      </c>
      <c r="E129" s="3" t="s">
        <v>4582</v>
      </c>
      <c r="F129" s="3" t="s">
        <v>4591</v>
      </c>
      <c r="G129" s="3" t="s">
        <v>4992</v>
      </c>
      <c r="H129" s="3" t="str">
        <f>HYPERLINK("http://www.jccm.es/sede/tramite/IWP","AUTORIZACION DE CENTROS Y ADMISION DEL ALUMNADO EN LOS CURSOS PREPARATORIOS DE LAS PRUEBAS DE ACCESO A CICLOS FORMATIVOS DE GRADO SUPERIOR.")</f>
        <v>AUTORIZACION DE CENTROS Y ADMISION DEL ALUMNADO EN LOS CURSOS PREPARATORIOS DE LAS PRUEBAS DE ACCESO A CICLOS FORMATIVOS DE GRADO SUPERIOR.</v>
      </c>
      <c r="I129" s="3" t="s">
        <v>42</v>
      </c>
      <c r="J129" s="3" t="s">
        <v>41</v>
      </c>
      <c r="K129" s="3" t="s">
        <v>42</v>
      </c>
      <c r="L129" s="3" t="s">
        <v>41</v>
      </c>
    </row>
    <row r="130" spans="1:12" ht="69">
      <c r="A130" s="3" t="s">
        <v>4993</v>
      </c>
      <c r="B130" s="3" t="s">
        <v>4994</v>
      </c>
      <c r="C130" s="3" t="s">
        <v>70</v>
      </c>
      <c r="D130" s="3" t="s">
        <v>46</v>
      </c>
      <c r="E130" s="3" t="s">
        <v>4582</v>
      </c>
      <c r="F130" s="3" t="s">
        <v>4587</v>
      </c>
      <c r="G130" s="3" t="s">
        <v>4995</v>
      </c>
      <c r="H130" s="3" t="str">
        <f>HYPERLINK("http://www.jccm.es/sede/tramite/I15","ADMISION DE ALUMNADO EN CENTROS DOCENTES PUBLICOS Y PRIVADOS CONCERTADOS ( ENSEÑANZAS DE BACHILLERATO)")</f>
        <v>ADMISION DE ALUMNADO EN CENTROS DOCENTES PUBLICOS Y PRIVADOS CONCERTADOS ( ENSEÑANZAS DE BACHILLERATO)</v>
      </c>
      <c r="I130" s="3" t="s">
        <v>42</v>
      </c>
      <c r="J130" s="3" t="s">
        <v>41</v>
      </c>
      <c r="K130" s="3" t="s">
        <v>42</v>
      </c>
      <c r="L130" s="3" t="s">
        <v>41</v>
      </c>
    </row>
    <row r="131" spans="1:12" ht="92.1">
      <c r="A131" s="3" t="s">
        <v>4996</v>
      </c>
      <c r="B131" s="3" t="s">
        <v>4997</v>
      </c>
      <c r="C131" s="3" t="s">
        <v>62</v>
      </c>
      <c r="D131" s="3" t="s">
        <v>46</v>
      </c>
      <c r="E131" s="3" t="s">
        <v>4582</v>
      </c>
      <c r="F131" s="3" t="s">
        <v>4587</v>
      </c>
      <c r="G131" s="3" t="s">
        <v>4998</v>
      </c>
      <c r="H131" s="3" t="str">
        <f>HYPERLINK("http://www.jccm.es/sede/tramite/D43","SELECCION DE SUPERVISORES PEDAGOGICOS PARA LAS ACTIVIDADES DE FORMACION DIRIGIDAS A MEJORAR LA COMPETENCIA DE LOS ALUMNOS DE 3º Y 4º DE ESO Y 1º DE BACHILLERATO EN EL USO DE LENGUAS EXTRANJERAS")</f>
        <v>SELECCION DE SUPERVISORES PEDAGOGICOS PARA LAS ACTIVIDADES DE FORMACION DIRIGIDAS A MEJORAR LA COMPETENCIA DE LOS ALUMNOS DE 3º Y 4º DE ESO Y 1º DE BACHILLERATO EN EL USO DE LENGUAS EXTRANJERAS</v>
      </c>
      <c r="I131" s="3" t="s">
        <v>41</v>
      </c>
      <c r="J131" s="3" t="s">
        <v>41</v>
      </c>
      <c r="K131" s="3" t="s">
        <v>42</v>
      </c>
      <c r="L131" s="3" t="s">
        <v>41</v>
      </c>
    </row>
    <row r="132" spans="1:12" ht="69">
      <c r="A132" s="3" t="s">
        <v>4999</v>
      </c>
      <c r="B132" s="3" t="s">
        <v>5000</v>
      </c>
      <c r="C132" s="3" t="s">
        <v>1727</v>
      </c>
      <c r="D132" s="3" t="s">
        <v>46</v>
      </c>
      <c r="E132" s="3" t="s">
        <v>4582</v>
      </c>
      <c r="F132" s="3" t="s">
        <v>4587</v>
      </c>
      <c r="G132" s="3" t="s">
        <v>95</v>
      </c>
      <c r="H132" s="3" t="str">
        <f>HYPERLINK("http://www.jccm.es/sede/tramite/I8D","EXPEDICION DE TITULOS ACADEMICOS Y PROFESIONALES NO UNIVERSITARIOS CORRESPONDIENTES A ENSEÑANZAS ESTABLECIDAS EN LA LOGSE")</f>
        <v>EXPEDICION DE TITULOS ACADEMICOS Y PROFESIONALES NO UNIVERSITARIOS CORRESPONDIENTES A ENSEÑANZAS ESTABLECIDAS EN LA LOGSE</v>
      </c>
      <c r="I132" s="3" t="s">
        <v>42</v>
      </c>
      <c r="J132" s="3" t="s">
        <v>41</v>
      </c>
      <c r="K132" s="3" t="s">
        <v>41</v>
      </c>
      <c r="L132" s="3" t="s">
        <v>41</v>
      </c>
    </row>
    <row r="133" spans="1:12" ht="69">
      <c r="A133" s="3" t="s">
        <v>5001</v>
      </c>
      <c r="B133" s="3" t="s">
        <v>5002</v>
      </c>
      <c r="C133" s="3" t="s">
        <v>70</v>
      </c>
      <c r="D133" s="3" t="s">
        <v>37</v>
      </c>
      <c r="E133" s="3" t="s">
        <v>4582</v>
      </c>
      <c r="F133" s="3" t="s">
        <v>4587</v>
      </c>
      <c r="G133" s="3" t="s">
        <v>5003</v>
      </c>
      <c r="H133" s="3" t="str">
        <f>HYPERLINK("http://www.jccm.es/sede/tramite/I8C","RECONOCIMIENTO DE FIRMAS DE TITULOS Y CERTIFICACIONES ACADEMICAS DE ESTUDIOS NO UNIVERSITARIOS")</f>
        <v>RECONOCIMIENTO DE FIRMAS DE TITULOS Y CERTIFICACIONES ACADEMICAS DE ESTUDIOS NO UNIVERSITARIOS</v>
      </c>
      <c r="I133" s="3" t="s">
        <v>42</v>
      </c>
      <c r="J133" s="3" t="s">
        <v>41</v>
      </c>
      <c r="K133" s="3" t="s">
        <v>41</v>
      </c>
      <c r="L133" s="3" t="s">
        <v>41</v>
      </c>
    </row>
    <row r="134" spans="1:12" ht="80.45">
      <c r="A134" s="3" t="s">
        <v>5004</v>
      </c>
      <c r="B134" s="3" t="s">
        <v>5005</v>
      </c>
      <c r="C134" s="3" t="s">
        <v>1655</v>
      </c>
      <c r="D134" s="3" t="s">
        <v>95</v>
      </c>
      <c r="E134" s="3" t="s">
        <v>4582</v>
      </c>
      <c r="F134" s="3" t="s">
        <v>4672</v>
      </c>
      <c r="G134" s="3" t="s">
        <v>5006</v>
      </c>
      <c r="H134" s="3" t="str">
        <f>HYPERLINK("http://www.jccm.es/sede/tramite/IFP","PRUEBAS DE ACCESO A LA UNIVERSIDAD DE CASTILLA-LA MANCHA DE LOS MAYORES DE 25 AÑOS, ACCESO MEDIANTE ACREDITACION LABORAL O PROFESIONAL Y PARA MAYORES DE 45 AÑOS.")</f>
        <v>PRUEBAS DE ACCESO A LA UNIVERSIDAD DE CASTILLA-LA MANCHA DE LOS MAYORES DE 25 AÑOS, ACCESO MEDIANTE ACREDITACION LABORAL O PROFESIONAL Y PARA MAYORES DE 45 AÑOS.</v>
      </c>
      <c r="I134" s="3" t="s">
        <v>41</v>
      </c>
      <c r="J134" s="3" t="s">
        <v>41</v>
      </c>
      <c r="K134" s="3" t="s">
        <v>41</v>
      </c>
      <c r="L134" s="3" t="s">
        <v>41</v>
      </c>
    </row>
    <row r="135" spans="1:12" ht="69">
      <c r="A135" s="3" t="s">
        <v>5007</v>
      </c>
      <c r="B135" s="3" t="s">
        <v>5008</v>
      </c>
      <c r="C135" s="3" t="s">
        <v>45</v>
      </c>
      <c r="D135" s="3" t="s">
        <v>46</v>
      </c>
      <c r="E135" s="3" t="s">
        <v>4582</v>
      </c>
      <c r="F135" s="3" t="s">
        <v>4614</v>
      </c>
      <c r="G135" s="3" t="s">
        <v>5009</v>
      </c>
      <c r="H135" s="3" t="str">
        <f>HYPERLINK("http://www.jccm.es/sede/tramite/IIQ","PRUEBAS LIBRES PARA LA OBTENCION DEL TITULO DE GRADUADO EN EDUCACION SECUNDARIA OBLIGATORIA PARA MAYORES DE 18 AÑOS")</f>
        <v>PRUEBAS LIBRES PARA LA OBTENCION DEL TITULO DE GRADUADO EN EDUCACION SECUNDARIA OBLIGATORIA PARA MAYORES DE 18 AÑOS</v>
      </c>
      <c r="I135" s="3" t="s">
        <v>42</v>
      </c>
      <c r="J135" s="3" t="s">
        <v>41</v>
      </c>
      <c r="K135" s="3" t="s">
        <v>42</v>
      </c>
      <c r="L135" s="3" t="s">
        <v>41</v>
      </c>
    </row>
    <row r="136" spans="1:12" ht="69">
      <c r="A136" s="3" t="s">
        <v>5010</v>
      </c>
      <c r="B136" s="3" t="s">
        <v>5011</v>
      </c>
      <c r="C136" s="3" t="s">
        <v>70</v>
      </c>
      <c r="D136" s="3" t="s">
        <v>37</v>
      </c>
      <c r="E136" s="3" t="s">
        <v>4582</v>
      </c>
      <c r="F136" s="3" t="s">
        <v>4614</v>
      </c>
      <c r="G136" s="3" t="s">
        <v>5012</v>
      </c>
      <c r="H136" s="3" t="str">
        <f>HYPERLINK("http://www.jccm.es/sede/tramite/IPX","CONVOCATORIA DE PRUEBAS PARA LA OBTENCION DE DETERMINADOS TITULOS DE FORMACION PROFESIONAL EN LA COMUNIDAD AUTONOMA DE CASTILLA-LA MANCHA.")</f>
        <v>CONVOCATORIA DE PRUEBAS PARA LA OBTENCION DE DETERMINADOS TITULOS DE FORMACION PROFESIONAL EN LA COMUNIDAD AUTONOMA DE CASTILLA-LA MANCHA.</v>
      </c>
      <c r="I136" s="3" t="s">
        <v>41</v>
      </c>
      <c r="J136" s="3" t="s">
        <v>41</v>
      </c>
      <c r="K136" s="3" t="s">
        <v>42</v>
      </c>
      <c r="L136" s="3" t="s">
        <v>41</v>
      </c>
    </row>
    <row r="137" spans="1:12" ht="69">
      <c r="A137" s="3" t="s">
        <v>5013</v>
      </c>
      <c r="B137" s="3" t="s">
        <v>5014</v>
      </c>
      <c r="C137" s="3" t="s">
        <v>36</v>
      </c>
      <c r="D137" s="3" t="s">
        <v>46</v>
      </c>
      <c r="E137" s="3" t="s">
        <v>4582</v>
      </c>
      <c r="F137" s="3" t="s">
        <v>4587</v>
      </c>
      <c r="G137" s="3" t="s">
        <v>5015</v>
      </c>
      <c r="H137" s="3" t="str">
        <f>HYPERLINK("http://www.jccm.es/sede/tramite/JMD","PRUEBAS LIBRES PARA LA OBTENCION DEL TITULO DE BACHILLER EN LA COMUNIDAD AUTONOMA DE CASTILLA-LA MANCHA.")</f>
        <v>PRUEBAS LIBRES PARA LA OBTENCION DEL TITULO DE BACHILLER EN LA COMUNIDAD AUTONOMA DE CASTILLA-LA MANCHA.</v>
      </c>
      <c r="I137" s="3" t="s">
        <v>42</v>
      </c>
      <c r="J137" s="3" t="s">
        <v>41</v>
      </c>
      <c r="K137" s="3" t="s">
        <v>42</v>
      </c>
      <c r="L137" s="3" t="s">
        <v>41</v>
      </c>
    </row>
    <row r="138" spans="1:12" ht="80.45">
      <c r="A138" s="3" t="s">
        <v>5016</v>
      </c>
      <c r="B138" s="3" t="s">
        <v>5017</v>
      </c>
      <c r="C138" s="3" t="s">
        <v>192</v>
      </c>
      <c r="D138" s="3" t="s">
        <v>46</v>
      </c>
      <c r="E138" s="3" t="s">
        <v>4582</v>
      </c>
      <c r="F138" s="3" t="s">
        <v>4591</v>
      </c>
      <c r="G138" s="3" t="s">
        <v>5018</v>
      </c>
      <c r="H138" s="3" t="str">
        <f>HYPERLINK("http://www.jccm.es/sede/tramite/JMT","PRUEBAS  DE CERTIFICACION DE COMPETENCIA GENERAL DE LAS ENSEÑANZAS DE IDIOMAS DE REGIMEN ESPECIAL Y MATRICULACION DE ALUMNOS DE LAS MODALIDADES LIBRE Y A DISTANCIA.")</f>
        <v>PRUEBAS  DE CERTIFICACION DE COMPETENCIA GENERAL DE LAS ENSEÑANZAS DE IDIOMAS DE REGIMEN ESPECIAL Y MATRICULACION DE ALUMNOS DE LAS MODALIDADES LIBRE Y A DISTANCIA.</v>
      </c>
      <c r="I138" s="3" t="s">
        <v>41</v>
      </c>
      <c r="J138" s="3" t="s">
        <v>41</v>
      </c>
      <c r="K138" s="3" t="s">
        <v>42</v>
      </c>
      <c r="L138" s="3" t="s">
        <v>41</v>
      </c>
    </row>
    <row r="139" spans="1:12" ht="57.6">
      <c r="A139" s="3" t="s">
        <v>5019</v>
      </c>
      <c r="B139" s="3" t="s">
        <v>5020</v>
      </c>
      <c r="C139" s="3" t="s">
        <v>45</v>
      </c>
      <c r="D139" s="3" t="s">
        <v>37</v>
      </c>
      <c r="E139" s="3" t="s">
        <v>4582</v>
      </c>
      <c r="F139" s="3" t="s">
        <v>4583</v>
      </c>
      <c r="G139" s="3" t="s">
        <v>5021</v>
      </c>
      <c r="H139" s="3" t="str">
        <f>HYPERLINK("http://www.jccm.es/sede/tramite/JMZ","CALIFICACION COMO DEPORTISTA DE ALTO RENDIMIENTO DE CASTILLA-LA MANCHA")</f>
        <v>CALIFICACION COMO DEPORTISTA DE ALTO RENDIMIENTO DE CASTILLA-LA MANCHA</v>
      </c>
      <c r="I139" s="3" t="s">
        <v>42</v>
      </c>
      <c r="J139" s="3" t="s">
        <v>41</v>
      </c>
      <c r="K139" s="3" t="s">
        <v>42</v>
      </c>
      <c r="L139" s="3" t="s">
        <v>41</v>
      </c>
    </row>
    <row r="140" spans="1:12" ht="103.5">
      <c r="A140" s="3" t="s">
        <v>5022</v>
      </c>
      <c r="B140" s="3" t="s">
        <v>5023</v>
      </c>
      <c r="C140" s="3" t="s">
        <v>45</v>
      </c>
      <c r="D140" s="3" t="s">
        <v>46</v>
      </c>
      <c r="E140" s="3" t="s">
        <v>4582</v>
      </c>
      <c r="F140" s="3" t="s">
        <v>4614</v>
      </c>
      <c r="G140" s="3" t="s">
        <v>5024</v>
      </c>
      <c r="H140" s="3" t="str">
        <f>HYPERLINK("http://www.jccm.es/sede/tramite/JNZ","PRUEBAS LIBRES (EXAMENES TEORICOS) PARA LA OBTENCION DE LOS REQUISITOS DE CONOCIMIENTOS SEGUN NORMATIVA EASA.")</f>
        <v>PRUEBAS LIBRES (EXAMENES TEORICOS) PARA LA OBTENCION DE LOS REQUISITOS DE CONOCIMIENTOS SEGUN NORMATIVA EASA.</v>
      </c>
      <c r="I140" s="3" t="s">
        <v>42</v>
      </c>
      <c r="J140" s="3" t="s">
        <v>41</v>
      </c>
      <c r="K140" s="3" t="s">
        <v>42</v>
      </c>
      <c r="L140" s="3" t="s">
        <v>41</v>
      </c>
    </row>
    <row r="141" spans="1:12" ht="57.6">
      <c r="A141" s="3" t="s">
        <v>5025</v>
      </c>
      <c r="B141" s="3" t="s">
        <v>5026</v>
      </c>
      <c r="C141" s="3" t="s">
        <v>45</v>
      </c>
      <c r="D141" s="3" t="s">
        <v>46</v>
      </c>
      <c r="E141" s="3" t="s">
        <v>4582</v>
      </c>
      <c r="F141" s="3" t="s">
        <v>4610</v>
      </c>
      <c r="G141" s="3" t="s">
        <v>5027</v>
      </c>
      <c r="H141" s="3" t="str">
        <f>HYPERLINK("http://www.jccm.es/sede/tramite/JR3","SOLICITUD DE INICIACION DEL PROCEDIMIENTO DE DECLARACION DE UN B.I.C., B.I.P. O E.I.P.")</f>
        <v>SOLICITUD DE INICIACION DEL PROCEDIMIENTO DE DECLARACION DE UN B.I.C., B.I.P. O E.I.P.</v>
      </c>
      <c r="I141" s="3" t="s">
        <v>42</v>
      </c>
      <c r="J141" s="3" t="s">
        <v>41</v>
      </c>
      <c r="K141" s="3" t="s">
        <v>42</v>
      </c>
      <c r="L141" s="3" t="s">
        <v>41</v>
      </c>
    </row>
    <row r="142" spans="1:12" ht="69">
      <c r="A142" s="3" t="s">
        <v>5028</v>
      </c>
      <c r="B142" s="3" t="s">
        <v>5029</v>
      </c>
      <c r="C142" s="3" t="s">
        <v>36</v>
      </c>
      <c r="D142" s="3" t="s">
        <v>46</v>
      </c>
      <c r="E142" s="3" t="s">
        <v>4582</v>
      </c>
      <c r="F142" s="3" t="s">
        <v>4610</v>
      </c>
      <c r="G142" s="3" t="s">
        <v>5030</v>
      </c>
      <c r="H142" s="3" t="str">
        <f>HYPERLINK("http://www.jccm.es/sede/tramite/JR4","INCLUSION Y EXCLUSION DE BIENES MUEBLES EN EL INVENTARIO GENERAL DE BIENES MUEBLES INTEGRANTES DEL PATRIMONIO HISTORICO ESPAÑOL")</f>
        <v>INCLUSION Y EXCLUSION DE BIENES MUEBLES EN EL INVENTARIO GENERAL DE BIENES MUEBLES INTEGRANTES DEL PATRIMONIO HISTORICO ESPAÑOL</v>
      </c>
      <c r="I142" s="3" t="s">
        <v>42</v>
      </c>
      <c r="J142" s="3" t="s">
        <v>41</v>
      </c>
      <c r="K142" s="3" t="s">
        <v>42</v>
      </c>
      <c r="L142" s="3" t="s">
        <v>42</v>
      </c>
    </row>
    <row r="143" spans="1:12" ht="80.45">
      <c r="A143" s="3" t="s">
        <v>5031</v>
      </c>
      <c r="B143" s="3" t="s">
        <v>5032</v>
      </c>
      <c r="C143" s="3" t="s">
        <v>45</v>
      </c>
      <c r="D143" s="3" t="s">
        <v>46</v>
      </c>
      <c r="E143" s="3" t="s">
        <v>4582</v>
      </c>
      <c r="F143" s="3" t="s">
        <v>4614</v>
      </c>
      <c r="G143" s="3" t="s">
        <v>5033</v>
      </c>
      <c r="H143" s="3" t="str">
        <f>HYPERLINK("http://www.jccm.es/sede/tramite/JP4","PRUEBAS PARA LA OBTENCION DEL CERTIFICADO DE ENSEÑANZAS INICIALES PARA PERSONAS MAYORES DE DIECIOCHO AÑOS EN LA COMUNIDAD AUTONOMA DE CASTILLA- LA MANCHA.")</f>
        <v>PRUEBAS PARA LA OBTENCION DEL CERTIFICADO DE ENSEÑANZAS INICIALES PARA PERSONAS MAYORES DE DIECIOCHO AÑOS EN LA COMUNIDAD AUTONOMA DE CASTILLA- LA MANCHA.</v>
      </c>
      <c r="I143" s="3" t="s">
        <v>42</v>
      </c>
      <c r="J143" s="3" t="s">
        <v>41</v>
      </c>
      <c r="K143" s="3" t="s">
        <v>42</v>
      </c>
      <c r="L143" s="3" t="s">
        <v>41</v>
      </c>
    </row>
    <row r="144" spans="1:12" ht="69">
      <c r="A144" s="3" t="s">
        <v>5034</v>
      </c>
      <c r="B144" s="3" t="s">
        <v>5035</v>
      </c>
      <c r="C144" s="3" t="s">
        <v>70</v>
      </c>
      <c r="D144" s="3" t="s">
        <v>46</v>
      </c>
      <c r="E144" s="3" t="s">
        <v>4582</v>
      </c>
      <c r="F144" s="3" t="s">
        <v>4614</v>
      </c>
      <c r="G144" s="3" t="s">
        <v>5036</v>
      </c>
      <c r="H144" s="3" t="str">
        <f>HYPERLINK("http://www.jccm.es/sede/tramite/K2X","ADMISION DE ALUMNADO PARA CURSAR ENSEÑANZAS SUPERIORES DE MUSICA.")</f>
        <v>ADMISION DE ALUMNADO PARA CURSAR ENSEÑANZAS SUPERIORES DE MUSICA.</v>
      </c>
      <c r="I144" s="3" t="s">
        <v>42</v>
      </c>
      <c r="J144" s="3" t="s">
        <v>41</v>
      </c>
      <c r="K144" s="3" t="s">
        <v>42</v>
      </c>
      <c r="L144" s="3" t="s">
        <v>41</v>
      </c>
    </row>
    <row r="145" spans="1:12" ht="69">
      <c r="A145" s="3" t="s">
        <v>5037</v>
      </c>
      <c r="B145" s="3" t="s">
        <v>5038</v>
      </c>
      <c r="C145" s="3" t="s">
        <v>45</v>
      </c>
      <c r="D145" s="3" t="s">
        <v>46</v>
      </c>
      <c r="E145" s="3" t="s">
        <v>4582</v>
      </c>
      <c r="F145" s="3" t="s">
        <v>4587</v>
      </c>
      <c r="G145" s="3" t="s">
        <v>5039</v>
      </c>
      <c r="H145" s="3" t="str">
        <f>HYPERLINK("http://www.jccm.es/sede/tramite/K8Z","DECLARACION DE INSTITUTO HISTORICO DE CASTILLA-LA MANCHA")</f>
        <v>DECLARACION DE INSTITUTO HISTORICO DE CASTILLA-LA MANCHA</v>
      </c>
      <c r="I145" s="3" t="s">
        <v>41</v>
      </c>
      <c r="J145" s="3" t="s">
        <v>41</v>
      </c>
      <c r="K145" s="3" t="s">
        <v>42</v>
      </c>
      <c r="L145" s="3" t="s">
        <v>41</v>
      </c>
    </row>
    <row r="146" spans="1:12" ht="69">
      <c r="A146" s="3" t="s">
        <v>5040</v>
      </c>
      <c r="B146" s="3" t="s">
        <v>5041</v>
      </c>
      <c r="C146" s="3" t="s">
        <v>70</v>
      </c>
      <c r="D146" s="3" t="s">
        <v>46</v>
      </c>
      <c r="E146" s="3" t="s">
        <v>4582</v>
      </c>
      <c r="F146" s="3" t="s">
        <v>4614</v>
      </c>
      <c r="G146" s="3" t="s">
        <v>5042</v>
      </c>
      <c r="H146" s="3" t="str">
        <f>HYPERLINK("http://www.jccm.es/sede/tramite/KAE","ADMISION DE ALUMNADO EN LOS CICLOS FORMATIVOS DE GRADO BASICO EN REGIMEN PRESENCIAL.")</f>
        <v>ADMISION DE ALUMNADO EN LOS CICLOS FORMATIVOS DE GRADO BASICO EN REGIMEN PRESENCIAL.</v>
      </c>
      <c r="I146" s="3" t="s">
        <v>42</v>
      </c>
      <c r="J146" s="3" t="s">
        <v>41</v>
      </c>
      <c r="K146" s="3" t="s">
        <v>42</v>
      </c>
      <c r="L146" s="3" t="s">
        <v>41</v>
      </c>
    </row>
    <row r="147" spans="1:12" ht="92.1">
      <c r="A147" s="3" t="s">
        <v>5043</v>
      </c>
      <c r="B147" s="3" t="s">
        <v>5044</v>
      </c>
      <c r="C147" s="3" t="s">
        <v>327</v>
      </c>
      <c r="D147" s="3" t="s">
        <v>46</v>
      </c>
      <c r="E147" s="3" t="s">
        <v>4582</v>
      </c>
      <c r="F147" s="3" t="s">
        <v>4587</v>
      </c>
      <c r="G147" s="3" t="s">
        <v>5045</v>
      </c>
      <c r="H147" s="3" t="str">
        <f>HYPERLINK("http://www.jccm.es/sede/tramite/KMB","RECONOCIMIENTO Y TRANSFERENCIA DE CREDITOS EN LAS ENSEÑANZAS ARTISTICAS SUPERIORES")</f>
        <v>RECONOCIMIENTO Y TRANSFERENCIA DE CREDITOS EN LAS ENSEÑANZAS ARTISTICAS SUPERIORES</v>
      </c>
      <c r="I147" s="3" t="s">
        <v>42</v>
      </c>
      <c r="J147" s="3" t="s">
        <v>41</v>
      </c>
      <c r="K147" s="3" t="s">
        <v>42</v>
      </c>
      <c r="L147" s="3" t="s">
        <v>41</v>
      </c>
    </row>
    <row r="148" spans="1:12" ht="69">
      <c r="A148" s="3" t="s">
        <v>5046</v>
      </c>
      <c r="B148" s="3" t="s">
        <v>5047</v>
      </c>
      <c r="C148" s="3" t="s">
        <v>442</v>
      </c>
      <c r="D148" s="3" t="s">
        <v>46</v>
      </c>
      <c r="E148" s="3" t="s">
        <v>4582</v>
      </c>
      <c r="F148" s="3" t="s">
        <v>4587</v>
      </c>
      <c r="G148" s="3" t="s">
        <v>5048</v>
      </c>
      <c r="H148" s="3" t="str">
        <f>HYPERLINK("http://www.jccm.es/sede/tramite/KMW","SELECCION DE CENTROS EDUCATIVOS PARA CONSTITUIR CONSORCIOS ERASMUS+")</f>
        <v>SELECCION DE CENTROS EDUCATIVOS PARA CONSTITUIR CONSORCIOS ERASMUS+</v>
      </c>
      <c r="I148" s="3" t="s">
        <v>41</v>
      </c>
      <c r="J148" s="3" t="s">
        <v>41</v>
      </c>
      <c r="K148" s="3" t="s">
        <v>42</v>
      </c>
      <c r="L148" s="3" t="s">
        <v>41</v>
      </c>
    </row>
    <row r="149" spans="1:12" ht="57.6">
      <c r="A149" s="3" t="s">
        <v>5049</v>
      </c>
      <c r="B149" s="3" t="s">
        <v>5050</v>
      </c>
      <c r="C149" s="3" t="s">
        <v>374</v>
      </c>
      <c r="D149" s="3" t="s">
        <v>37</v>
      </c>
      <c r="E149" s="3" t="s">
        <v>4582</v>
      </c>
      <c r="F149" s="3" t="s">
        <v>4583</v>
      </c>
      <c r="G149" s="3" t="s">
        <v>5051</v>
      </c>
      <c r="H149" s="3" t="str">
        <f>HYPERLINK("http://www.jccm.es/sede/tramite/KP4","OBTENCION DE CARNES DE JUVENTUD")</f>
        <v>OBTENCION DE CARNES DE JUVENTUD</v>
      </c>
      <c r="I149" s="3" t="s">
        <v>42</v>
      </c>
      <c r="J149" s="3" t="s">
        <v>41</v>
      </c>
      <c r="K149" s="3" t="s">
        <v>42</v>
      </c>
      <c r="L149" s="3" t="s">
        <v>41</v>
      </c>
    </row>
    <row r="150" spans="1:12" ht="80.45">
      <c r="A150" s="3" t="s">
        <v>5052</v>
      </c>
      <c r="B150" s="3" t="s">
        <v>5053</v>
      </c>
      <c r="C150" s="3" t="s">
        <v>70</v>
      </c>
      <c r="D150" s="3" t="s">
        <v>46</v>
      </c>
      <c r="E150" s="3" t="s">
        <v>4582</v>
      </c>
      <c r="F150" s="3" t="s">
        <v>4591</v>
      </c>
      <c r="G150" s="3" t="s">
        <v>5054</v>
      </c>
      <c r="H150" s="3" t="str">
        <f>HYPERLINK("http://www.jccm.es/sede/tramite/KTZ","ADMISION DE ALUMNADO EN PROGRAMAS ESPECIFICOS DE FORMACION PROFESIONAL EN CENTROS PUBLICOS DE EDUCACION SECUNDARIA DE CASTILLA LA MANCHA")</f>
        <v>ADMISION DE ALUMNADO EN PROGRAMAS ESPECIFICOS DE FORMACION PROFESIONAL EN CENTROS PUBLICOS DE EDUCACION SECUNDARIA DE CASTILLA LA MANCHA</v>
      </c>
      <c r="I150" s="3" t="s">
        <v>42</v>
      </c>
      <c r="J150" s="3" t="s">
        <v>41</v>
      </c>
      <c r="K150" s="3" t="s">
        <v>42</v>
      </c>
      <c r="L150" s="3" t="s">
        <v>41</v>
      </c>
    </row>
    <row r="151" spans="1:12" ht="126.6">
      <c r="A151" s="3" t="s">
        <v>5055</v>
      </c>
      <c r="B151" s="3" t="s">
        <v>5056</v>
      </c>
      <c r="C151" s="3" t="s">
        <v>45</v>
      </c>
      <c r="D151" s="3" t="s">
        <v>37</v>
      </c>
      <c r="E151" s="3" t="s">
        <v>4582</v>
      </c>
      <c r="F151" s="3" t="s">
        <v>4614</v>
      </c>
      <c r="G151" s="3" t="s">
        <v>5057</v>
      </c>
      <c r="H151" s="3" t="str">
        <f>HYPERLINK("http://www.jccm.es/sede/tramite/KWV","PROCEDIMIENTO PARA EL ALUMNADO DE BACHILLERATO DE ARTES CON MATERIAS PENDIENTES QUE HAN  AGOTADO LA PERMANENCIA EN EL REGIMEN ORDINARIO.")</f>
        <v>PROCEDIMIENTO PARA EL ALUMNADO DE BACHILLERATO DE ARTES CON MATERIAS PENDIENTES QUE HAN  AGOTADO LA PERMANENCIA EN EL REGIMEN ORDINARIO.</v>
      </c>
      <c r="I151" s="3" t="s">
        <v>42</v>
      </c>
      <c r="J151" s="3" t="s">
        <v>41</v>
      </c>
      <c r="K151" s="3" t="s">
        <v>42</v>
      </c>
      <c r="L151" s="3" t="s">
        <v>41</v>
      </c>
    </row>
    <row r="152" spans="1:12" ht="57.6">
      <c r="A152" s="3" t="s">
        <v>5058</v>
      </c>
      <c r="B152" s="3" t="s">
        <v>5059</v>
      </c>
      <c r="C152" s="3" t="s">
        <v>51</v>
      </c>
      <c r="D152" s="3" t="s">
        <v>46</v>
      </c>
      <c r="E152" s="3" t="s">
        <v>4582</v>
      </c>
      <c r="F152" s="3" t="s">
        <v>4603</v>
      </c>
      <c r="G152" s="3" t="s">
        <v>5060</v>
      </c>
      <c r="H152" s="3" t="str">
        <f>HYPERLINK("http://www.jccm.es/sede/tramite/L1T","PROCEDIMIENTO PARA LA SELECCION DE CENTROS ESCOLARES EN EL PROGRAMA ESCOLAR DE CONSUMO DE FRUTAS, HORTALIZAS Y LECHE")</f>
        <v>PROCEDIMIENTO PARA LA SELECCION DE CENTROS ESCOLARES EN EL PROGRAMA ESCOLAR DE CONSUMO DE FRUTAS, HORTALIZAS Y LECHE</v>
      </c>
      <c r="I152" s="3" t="s">
        <v>41</v>
      </c>
      <c r="J152" s="3" t="s">
        <v>41</v>
      </c>
      <c r="K152" s="3" t="s">
        <v>42</v>
      </c>
      <c r="L152" s="3" t="s">
        <v>41</v>
      </c>
    </row>
    <row r="153" spans="1:12" ht="80.45">
      <c r="A153" s="3" t="s">
        <v>5061</v>
      </c>
      <c r="B153" s="3" t="s">
        <v>5062</v>
      </c>
      <c r="C153" s="3" t="s">
        <v>5063</v>
      </c>
      <c r="D153" s="3" t="s">
        <v>46</v>
      </c>
      <c r="E153" s="3" t="s">
        <v>4582</v>
      </c>
      <c r="F153" s="3" t="s">
        <v>4591</v>
      </c>
      <c r="G153" s="3" t="s">
        <v>5064</v>
      </c>
      <c r="H153" s="3" t="str">
        <f>HYPERLINK("http://www.jccm.es/sede/tramite/L4G","RECONOCIMIENTO DE CREDITOS DE INNOVACION Y/O FORMACION AL PERSONAL DOCENTE PARTICIPANTE EN PROYECTOS ERASMUS+ DE LA COMUNIDAD AUTONOMA DE CASTILLA - LA MANCHA")</f>
        <v>RECONOCIMIENTO DE CREDITOS DE INNOVACION Y/O FORMACION AL PERSONAL DOCENTE PARTICIPANTE EN PROYECTOS ERASMUS+ DE LA COMUNIDAD AUTONOMA DE CASTILLA - LA MANCHA</v>
      </c>
      <c r="I153" s="3" t="s">
        <v>41</v>
      </c>
      <c r="J153" s="3" t="s">
        <v>41</v>
      </c>
      <c r="K153" s="3" t="s">
        <v>42</v>
      </c>
      <c r="L153" s="3" t="s">
        <v>41</v>
      </c>
    </row>
    <row r="154" spans="1:12" ht="92.1">
      <c r="A154" s="3" t="s">
        <v>5065</v>
      </c>
      <c r="B154" s="3" t="s">
        <v>5066</v>
      </c>
      <c r="C154" s="3" t="s">
        <v>45</v>
      </c>
      <c r="D154" s="3" t="s">
        <v>46</v>
      </c>
      <c r="E154" s="3" t="s">
        <v>4582</v>
      </c>
      <c r="F154" s="3" t="s">
        <v>4582</v>
      </c>
      <c r="G154" s="3" t="s">
        <v>5067</v>
      </c>
      <c r="H154" s="3" t="str">
        <f>HYPERLINK("http://www.jccm.es/sede/tramite/L4J","PROGRAMAS PREPARA-T, ILUSIONA-T Y TITULA-S INTEGRADOS EN EL V PLAN DE EXITO EDUCATIVO Y PREVENCION DEL ABANDONO ESCOLAR TEMPRANO EN CENTROS PUBLICOS DE CASTILLA-LA MANCHA")</f>
        <v>PROGRAMAS PREPARA-T, ILUSIONA-T Y TITULA-S INTEGRADOS EN EL V PLAN DE EXITO EDUCATIVO Y PREVENCION DEL ABANDONO ESCOLAR TEMPRANO EN CENTROS PUBLICOS DE CASTILLA-LA MANCHA</v>
      </c>
      <c r="I154" s="3" t="s">
        <v>41</v>
      </c>
      <c r="J154" s="3" t="s">
        <v>41</v>
      </c>
      <c r="K154" s="3" t="s">
        <v>42</v>
      </c>
      <c r="L154" s="3" t="s">
        <v>41</v>
      </c>
    </row>
    <row r="155" spans="1:12" ht="34.5">
      <c r="A155" s="3" t="s">
        <v>5068</v>
      </c>
      <c r="B155" s="3" t="s">
        <v>5069</v>
      </c>
      <c r="C155" s="3" t="s">
        <v>95</v>
      </c>
      <c r="D155" s="3" t="s">
        <v>46</v>
      </c>
      <c r="E155" s="3" t="s">
        <v>4582</v>
      </c>
      <c r="F155" s="3" t="s">
        <v>4582</v>
      </c>
      <c r="G155" s="3" t="s">
        <v>5070</v>
      </c>
      <c r="H155" s="3" t="str">
        <f>HYPERLINK("http://www.jccm.es/sede/tramite/LAA","BECAS Y AYUDAS A ALUMNOS DE NIVELES POSTOBLIGATORIOS")</f>
        <v>BECAS Y AYUDAS A ALUMNOS DE NIVELES POSTOBLIGATORIOS</v>
      </c>
      <c r="I155" s="3" t="s">
        <v>42</v>
      </c>
      <c r="J155" s="3" t="s">
        <v>41</v>
      </c>
      <c r="K155" s="3" t="s">
        <v>42</v>
      </c>
      <c r="L155" s="3" t="s">
        <v>41</v>
      </c>
    </row>
    <row r="156" spans="1:12" ht="103.5">
      <c r="A156" s="3" t="s">
        <v>5071</v>
      </c>
      <c r="B156" s="3" t="s">
        <v>5072</v>
      </c>
      <c r="C156" s="3" t="s">
        <v>70</v>
      </c>
      <c r="D156" s="3" t="s">
        <v>46</v>
      </c>
      <c r="E156" s="3" t="s">
        <v>4582</v>
      </c>
      <c r="F156" s="3" t="s">
        <v>4587</v>
      </c>
      <c r="G156" s="3" t="s">
        <v>5073</v>
      </c>
      <c r="H156" s="3" t="str">
        <f>HYPERLINK("http://www.jccm.es/sede/tramite/LCB","PRUEBAS ESPECIFICAS DE CERTIFICACION NIVEL INTERMEDIO B1 EN IDIOMAS EN CENTROS EDUCATIVOS SOSTENIDOS CON FONDOS PUBLICOS EN EL MARCO DE UN PROYECTO BILINGUE -ALUMNADO 4º ESO Y 2º CCFF GRADO MEDIO.")</f>
        <v>PRUEBAS ESPECIFICAS DE CERTIFICACION NIVEL INTERMEDIO B1 EN IDIOMAS EN CENTROS EDUCATIVOS SOSTENIDOS CON FONDOS PUBLICOS EN EL MARCO DE UN PROYECTO BILINGUE -ALUMNADO 4º ESO Y 2º CCFF GRADO MEDIO.</v>
      </c>
      <c r="I156" s="3" t="s">
        <v>42</v>
      </c>
      <c r="J156" s="3" t="s">
        <v>41</v>
      </c>
      <c r="K156" s="3" t="s">
        <v>42</v>
      </c>
      <c r="L156" s="3" t="s">
        <v>41</v>
      </c>
    </row>
    <row r="157" spans="1:12" ht="57.6">
      <c r="A157" s="3" t="s">
        <v>5074</v>
      </c>
      <c r="B157" s="3" t="s">
        <v>5075</v>
      </c>
      <c r="C157" s="3" t="s">
        <v>95</v>
      </c>
      <c r="D157" s="3" t="s">
        <v>95</v>
      </c>
      <c r="E157" s="3" t="s">
        <v>4582</v>
      </c>
      <c r="F157" s="3" t="s">
        <v>4591</v>
      </c>
      <c r="G157" s="3" t="s">
        <v>5076</v>
      </c>
      <c r="H157" s="3" t="str">
        <f>HYPERLINK("http://www.jccm.es/sede/tramite/LE5","APORTACION DE LA MEMORIA ANUAL DE LOS CENTROS EDUCATIVOS SOSTENIDOS CON FONDOS PUBLICOS DE CASTILLA - LA MANCHA")</f>
        <v>APORTACION DE LA MEMORIA ANUAL DE LOS CENTROS EDUCATIVOS SOSTENIDOS CON FONDOS PUBLICOS DE CASTILLA - LA MANCHA</v>
      </c>
      <c r="I157" s="3" t="s">
        <v>41</v>
      </c>
      <c r="J157" s="3" t="s">
        <v>41</v>
      </c>
      <c r="K157" s="3" t="s">
        <v>42</v>
      </c>
      <c r="L157" s="3" t="s">
        <v>41</v>
      </c>
    </row>
    <row r="158" spans="1:12" ht="69">
      <c r="A158" s="3" t="s">
        <v>5077</v>
      </c>
      <c r="B158" s="3" t="s">
        <v>5078</v>
      </c>
      <c r="C158" s="3" t="s">
        <v>45</v>
      </c>
      <c r="D158" s="3" t="s">
        <v>46</v>
      </c>
      <c r="E158" s="3" t="s">
        <v>4582</v>
      </c>
      <c r="F158" s="3" t="s">
        <v>4614</v>
      </c>
      <c r="G158" s="3" t="s">
        <v>5079</v>
      </c>
      <c r="H158" s="3" t="str">
        <f>HYPERLINK("http://www.jccm.es/sede/tramite/LH4","ADMISION DE ALUMNADO EN CURSOS DE ESPECIALIZACION EN FORMACION PROFESIONAL EN CENTROS DOCENTES DE CASTILLA-LA MANCHA DE TITULARIDAD PUBLICA.")</f>
        <v>ADMISION DE ALUMNADO EN CURSOS DE ESPECIALIZACION EN FORMACION PROFESIONAL EN CENTROS DOCENTES DE CASTILLA-LA MANCHA DE TITULARIDAD PUBLICA.</v>
      </c>
      <c r="I158" s="3" t="s">
        <v>41</v>
      </c>
      <c r="J158" s="3" t="s">
        <v>41</v>
      </c>
      <c r="K158" s="3" t="s">
        <v>42</v>
      </c>
      <c r="L158" s="3" t="s">
        <v>41</v>
      </c>
    </row>
    <row r="159" spans="1:12" ht="92.1">
      <c r="A159" s="3" t="s">
        <v>5080</v>
      </c>
      <c r="B159" s="3" t="s">
        <v>5081</v>
      </c>
      <c r="C159" s="3" t="s">
        <v>70</v>
      </c>
      <c r="D159" s="3" t="s">
        <v>46</v>
      </c>
      <c r="E159" s="3" t="s">
        <v>4582</v>
      </c>
      <c r="F159" s="3" t="s">
        <v>4614</v>
      </c>
      <c r="G159" s="3" t="s">
        <v>5082</v>
      </c>
      <c r="H159" s="3" t="str">
        <f>HYPERLINK("http://www.jccm.es/sede/tramite/LMJ","ADMISION ALUMNADO EN CENTROS DOCENTES DE EDUCACION PARA PERSONAS ADULTAS QUE IMPARTEN CICLOS FORMATIVOS DE GRADO BASICO DE TRES CURSOS ACADEMICOS Y FORMACION PROFESIONAL BASICA")</f>
        <v>ADMISION ALUMNADO EN CENTROS DOCENTES DE EDUCACION PARA PERSONAS ADULTAS QUE IMPARTEN CICLOS FORMATIVOS DE GRADO BASICO DE TRES CURSOS ACADEMICOS Y FORMACION PROFESIONAL BASICA</v>
      </c>
      <c r="I159" s="3" t="s">
        <v>42</v>
      </c>
      <c r="J159" s="3" t="s">
        <v>41</v>
      </c>
      <c r="K159" s="3" t="s">
        <v>42</v>
      </c>
      <c r="L159" s="3" t="s">
        <v>41</v>
      </c>
    </row>
    <row r="160" spans="1:12" ht="126.6">
      <c r="A160" s="3" t="s">
        <v>5083</v>
      </c>
      <c r="B160" s="3" t="s">
        <v>5084</v>
      </c>
      <c r="C160" s="3" t="s">
        <v>95</v>
      </c>
      <c r="D160" s="3" t="s">
        <v>95</v>
      </c>
      <c r="E160" s="3" t="s">
        <v>4582</v>
      </c>
      <c r="F160" s="3" t="s">
        <v>4587</v>
      </c>
      <c r="G160" s="3" t="s">
        <v>5085</v>
      </c>
      <c r="H160" s="3" t="str">
        <f>HYPERLINK("http://www.jccm.es/sede/tramite/LP7","PROGRAMA DE COOPERACION TERRITORIAL PARA LA ORIENTACION, EL AVANCE Y EL ENRIQUECIMIENTO EDUCATIVO EN CENTROS DE ESPECIAL COMPLEJIDAD EDUCATIVA, PROGRAMA PROA+")</f>
        <v>PROGRAMA DE COOPERACION TERRITORIAL PARA LA ORIENTACION, EL AVANCE Y EL ENRIQUECIMIENTO EDUCATIVO EN CENTROS DE ESPECIAL COMPLEJIDAD EDUCATIVA, PROGRAMA PROA+</v>
      </c>
      <c r="I160" s="3" t="s">
        <v>41</v>
      </c>
      <c r="J160" s="3" t="s">
        <v>41</v>
      </c>
      <c r="K160" s="3" t="s">
        <v>41</v>
      </c>
      <c r="L160" s="3" t="s">
        <v>41</v>
      </c>
    </row>
    <row r="161" spans="1:12" ht="57.6">
      <c r="A161" s="3" t="s">
        <v>5086</v>
      </c>
      <c r="B161" s="3" t="s">
        <v>5087</v>
      </c>
      <c r="C161" s="3" t="s">
        <v>51</v>
      </c>
      <c r="D161" s="3" t="s">
        <v>46</v>
      </c>
      <c r="E161" s="3" t="s">
        <v>4582</v>
      </c>
      <c r="F161" s="3" t="s">
        <v>4591</v>
      </c>
      <c r="G161" s="3" t="s">
        <v>5088</v>
      </c>
      <c r="H161" s="3" t="str">
        <f>HYPERLINK("http://www.jccm.es/sede/tramite/LPO","SOLICITUD DE PARTICIPACION EN EL PROYECTO DE FORMACION E INNOVACION  AULA DEL FUTURO ")</f>
        <v xml:space="preserve">SOLICITUD DE PARTICIPACION EN EL PROYECTO DE FORMACION E INNOVACION  AULA DEL FUTURO </v>
      </c>
      <c r="I161" s="3" t="s">
        <v>41</v>
      </c>
      <c r="J161" s="3" t="s">
        <v>41</v>
      </c>
      <c r="K161" s="3" t="s">
        <v>42</v>
      </c>
      <c r="L161" s="3" t="s">
        <v>41</v>
      </c>
    </row>
    <row r="162" spans="1:12" ht="103.5">
      <c r="A162" s="3" t="s">
        <v>5089</v>
      </c>
      <c r="B162" s="3" t="s">
        <v>5090</v>
      </c>
      <c r="C162" s="3" t="s">
        <v>70</v>
      </c>
      <c r="D162" s="3" t="s">
        <v>46</v>
      </c>
      <c r="E162" s="3" t="s">
        <v>4582</v>
      </c>
      <c r="F162" s="3" t="s">
        <v>4614</v>
      </c>
      <c r="G162" s="3" t="s">
        <v>5091</v>
      </c>
      <c r="H162" s="3" t="str">
        <f>HYPERLINK("http://www.jccm.es/sede/tramite/LQN","CONSTITUCION Y ACTUACION DE LAS COMISIONES DE ELABORACION DE LAS PRUEBAS LIBRES PARA LA OBTENCION DEL TITULO DE BACHILLER Y DE LAS PRUEBAS LIBRES PARA LA OBTENCION DEL TITULO DE GRADUADO EN ESO")</f>
        <v>CONSTITUCION Y ACTUACION DE LAS COMISIONES DE ELABORACION DE LAS PRUEBAS LIBRES PARA LA OBTENCION DEL TITULO DE BACHILLER Y DE LAS PRUEBAS LIBRES PARA LA OBTENCION DEL TITULO DE GRADUADO EN ESO</v>
      </c>
      <c r="I162" s="3" t="s">
        <v>41</v>
      </c>
      <c r="J162" s="3" t="s">
        <v>41</v>
      </c>
      <c r="K162" s="3" t="s">
        <v>42</v>
      </c>
      <c r="L162" s="3" t="s">
        <v>41</v>
      </c>
    </row>
    <row r="163" spans="1:12" ht="80.45">
      <c r="A163" s="3" t="s">
        <v>5092</v>
      </c>
      <c r="B163" s="3" t="s">
        <v>5093</v>
      </c>
      <c r="C163" s="3" t="s">
        <v>5094</v>
      </c>
      <c r="D163" s="3" t="s">
        <v>46</v>
      </c>
      <c r="E163" s="3" t="s">
        <v>4582</v>
      </c>
      <c r="F163" s="3" t="s">
        <v>4582</v>
      </c>
      <c r="G163" s="3" t="s">
        <v>5095</v>
      </c>
      <c r="H163" s="3" t="str">
        <f>HYPERLINK("http://www.jccm.es/sede/tramite/LTM","DECLARACION RESPONSABLE DE ACEPTACION DE IMPLANTACION DE UN AULA DE TECNOLOGIA APLICADA Y COMPROMISO DE LA REALIZACION DE PROYECTOS EDUCATIVOS RELACIONADOS CON EL USO DE LAS NUEVAS TECNOLOGIAS.")</f>
        <v>DECLARACION RESPONSABLE DE ACEPTACION DE IMPLANTACION DE UN AULA DE TECNOLOGIA APLICADA Y COMPROMISO DE LA REALIZACION DE PROYECTOS EDUCATIVOS RELACIONADOS CON EL USO DE LAS NUEVAS TECNOLOGIAS.</v>
      </c>
      <c r="I163" s="3" t="s">
        <v>41</v>
      </c>
      <c r="J163" s="3" t="s">
        <v>41</v>
      </c>
      <c r="K163" s="3" t="s">
        <v>42</v>
      </c>
      <c r="L163" s="3" t="s">
        <v>41</v>
      </c>
    </row>
    <row r="164" spans="1:12" ht="92.1">
      <c r="A164" s="3" t="s">
        <v>5096</v>
      </c>
      <c r="B164" s="3" t="s">
        <v>5097</v>
      </c>
      <c r="C164" s="3" t="s">
        <v>5098</v>
      </c>
      <c r="D164" s="3" t="s">
        <v>46</v>
      </c>
      <c r="E164" s="3" t="s">
        <v>4582</v>
      </c>
      <c r="F164" s="3" t="s">
        <v>4582</v>
      </c>
      <c r="G164" s="3" t="s">
        <v>5099</v>
      </c>
      <c r="H164" s="3" t="str">
        <f>HYPERLINK("http://www.jccm.es/sede/tramite/LTN","DECLARACION RESPONSABLE DE ACEPTACION DE IMPLANTACION DE UN AULA PROFESIONAL DE EMPRENDIMIENTO Y COMPROMISO DE LA REALIZACION DE PROYECTOS EDUCATIVOS RELACIONADOS CON EL EMPRENDIMIENTO.")</f>
        <v>DECLARACION RESPONSABLE DE ACEPTACION DE IMPLANTACION DE UN AULA PROFESIONAL DE EMPRENDIMIENTO Y COMPROMISO DE LA REALIZACION DE PROYECTOS EDUCATIVOS RELACIONADOS CON EL EMPRENDIMIENTO.</v>
      </c>
      <c r="I164" s="3" t="s">
        <v>42</v>
      </c>
      <c r="J164" s="3" t="s">
        <v>41</v>
      </c>
      <c r="K164" s="3" t="s">
        <v>42</v>
      </c>
      <c r="L164" s="3" t="s">
        <v>41</v>
      </c>
    </row>
    <row r="165" spans="1:12" ht="45.95">
      <c r="A165" s="3" t="s">
        <v>5100</v>
      </c>
      <c r="B165" s="3" t="s">
        <v>5101</v>
      </c>
      <c r="C165" s="3" t="s">
        <v>459</v>
      </c>
      <c r="D165" s="3" t="s">
        <v>46</v>
      </c>
      <c r="E165" s="3" t="s">
        <v>4582</v>
      </c>
      <c r="F165" s="3" t="s">
        <v>4582</v>
      </c>
      <c r="G165" s="3" t="s">
        <v>5102</v>
      </c>
      <c r="H165" s="3" t="str">
        <f>HYPERLINK("http://www.jccm.es/sede/tramite/LVH","ADMISION DE ALUMNADO PARA CURSAR ENSEÑANZAS SUPERIORES DE ARTE DRAMATICO.")</f>
        <v>ADMISION DE ALUMNADO PARA CURSAR ENSEÑANZAS SUPERIORES DE ARTE DRAMATICO.</v>
      </c>
      <c r="I165" s="3" t="s">
        <v>42</v>
      </c>
      <c r="J165" s="3" t="s">
        <v>41</v>
      </c>
      <c r="K165" s="3" t="s">
        <v>42</v>
      </c>
      <c r="L165" s="3" t="s">
        <v>41</v>
      </c>
    </row>
    <row r="166" spans="1:12" ht="57.6">
      <c r="A166" s="3" t="s">
        <v>5103</v>
      </c>
      <c r="B166" s="3" t="s">
        <v>5104</v>
      </c>
      <c r="C166" s="3" t="s">
        <v>327</v>
      </c>
      <c r="D166" s="3" t="s">
        <v>37</v>
      </c>
      <c r="E166" s="3" t="s">
        <v>4582</v>
      </c>
      <c r="F166" s="3" t="s">
        <v>4610</v>
      </c>
      <c r="G166" s="3" t="s">
        <v>5105</v>
      </c>
      <c r="H166" s="3" t="str">
        <f>HYPERLINK("http://www.jccm.es/sede/tramite/LXP","RECONOCIMIENTO OFICIAL COMO CENTRO REGIONAL DE CULTURA DE CASTILLA-LA MANCHA")</f>
        <v>RECONOCIMIENTO OFICIAL COMO CENTRO REGIONAL DE CULTURA DE CASTILLA-LA MANCHA</v>
      </c>
      <c r="I166" s="3" t="s">
        <v>41</v>
      </c>
      <c r="J166" s="3" t="s">
        <v>41</v>
      </c>
      <c r="K166" s="3" t="s">
        <v>42</v>
      </c>
      <c r="L166" s="3" t="s">
        <v>41</v>
      </c>
    </row>
    <row r="167" spans="1:12" ht="69">
      <c r="A167" s="3" t="s">
        <v>5106</v>
      </c>
      <c r="B167" s="3" t="s">
        <v>5107</v>
      </c>
      <c r="C167" s="3" t="s">
        <v>51</v>
      </c>
      <c r="D167" s="3" t="s">
        <v>46</v>
      </c>
      <c r="E167" s="3" t="s">
        <v>4582</v>
      </c>
      <c r="F167" s="3" t="s">
        <v>4614</v>
      </c>
      <c r="G167" s="3" t="s">
        <v>5108</v>
      </c>
      <c r="H167" s="3" t="str">
        <f>HYPERLINK("http://www.jccm.es/sede/tramite/KU3","ADMISION EN LA MODALIDAD OFERTA MODULAR PRESENCIAL EN CCFF DE FORMACION PROFESIONAL Y CURSOS DE ESPECIALIZACION.")</f>
        <v>ADMISION EN LA MODALIDAD OFERTA MODULAR PRESENCIAL EN CCFF DE FORMACION PROFESIONAL Y CURSOS DE ESPECIALIZACION.</v>
      </c>
      <c r="I167" s="3" t="s">
        <v>42</v>
      </c>
      <c r="J167" s="3" t="s">
        <v>41</v>
      </c>
      <c r="K167" s="3" t="s">
        <v>42</v>
      </c>
      <c r="L167" s="3" t="s">
        <v>41</v>
      </c>
    </row>
    <row r="168" spans="1:12" ht="69">
      <c r="A168" s="3" t="s">
        <v>5109</v>
      </c>
      <c r="B168" s="3" t="s">
        <v>5110</v>
      </c>
      <c r="C168" s="3" t="s">
        <v>70</v>
      </c>
      <c r="D168" s="3" t="s">
        <v>46</v>
      </c>
      <c r="E168" s="3" t="s">
        <v>4582</v>
      </c>
      <c r="F168" s="3" t="s">
        <v>4614</v>
      </c>
      <c r="G168" s="3" t="s">
        <v>5111</v>
      </c>
      <c r="H168" s="3" t="str">
        <f>HYPERLINK("http://www.jccm.es/sede/tramite/K14","PROCESO DE ADMISION DE ALUMNADO PARA CURSAR ENSEÑANZAS ARTISTICAS SUPERIORES DE DISEÑO.")</f>
        <v>PROCESO DE ADMISION DE ALUMNADO PARA CURSAR ENSEÑANZAS ARTISTICAS SUPERIORES DE DISEÑO.</v>
      </c>
      <c r="I168" s="3" t="s">
        <v>42</v>
      </c>
      <c r="J168" s="3" t="s">
        <v>41</v>
      </c>
      <c r="K168" s="3" t="s">
        <v>42</v>
      </c>
      <c r="L168" s="3" t="s">
        <v>41</v>
      </c>
    </row>
    <row r="169" spans="1:12" ht="69">
      <c r="A169" s="3" t="s">
        <v>5112</v>
      </c>
      <c r="B169" s="3" t="s">
        <v>5113</v>
      </c>
      <c r="C169" s="3" t="s">
        <v>70</v>
      </c>
      <c r="D169" s="3" t="s">
        <v>46</v>
      </c>
      <c r="E169" s="3" t="s">
        <v>4582</v>
      </c>
      <c r="F169" s="3" t="s">
        <v>4614</v>
      </c>
      <c r="G169" s="3" t="s">
        <v>5114</v>
      </c>
      <c r="H169" s="3" t="str">
        <f>HYPERLINK("http://www.jccm.es/sede/tramite/K13","PROCESO DE ADMISION A LOS ESTUDIOS DE CICLOS FORMATIVOS DE ARTES PLASTICAS Y DISEÑO.")</f>
        <v>PROCESO DE ADMISION A LOS ESTUDIOS DE CICLOS FORMATIVOS DE ARTES PLASTICAS Y DISEÑO.</v>
      </c>
      <c r="I169" s="3" t="s">
        <v>42</v>
      </c>
      <c r="J169" s="3" t="s">
        <v>41</v>
      </c>
      <c r="K169" s="3" t="s">
        <v>42</v>
      </c>
      <c r="L169" s="3" t="s">
        <v>41</v>
      </c>
    </row>
    <row r="170" spans="1:12" ht="69">
      <c r="A170" s="3" t="s">
        <v>5115</v>
      </c>
      <c r="B170" s="3" t="s">
        <v>5116</v>
      </c>
      <c r="C170" s="3" t="s">
        <v>70</v>
      </c>
      <c r="D170" s="3" t="s">
        <v>46</v>
      </c>
      <c r="E170" s="3" t="s">
        <v>4582</v>
      </c>
      <c r="F170" s="3" t="s">
        <v>4587</v>
      </c>
      <c r="G170" s="3" t="s">
        <v>5117</v>
      </c>
      <c r="H170" s="3" t="str">
        <f>HYPERLINK("http://www.jccm.es/sede/tramite/K12","ADMISION DE ALUMNADO PARA LAS ENSEÑANZAS DE IDIOMAS EN ESCUELAS OFICIALES DE IDIOMAS Y CENTROS DE EDUCACION DE PERSONAS ADULTAS.")</f>
        <v>ADMISION DE ALUMNADO PARA LAS ENSEÑANZAS DE IDIOMAS EN ESCUELAS OFICIALES DE IDIOMAS Y CENTROS DE EDUCACION DE PERSONAS ADULTAS.</v>
      </c>
      <c r="I170" s="3" t="s">
        <v>41</v>
      </c>
      <c r="J170" s="3" t="s">
        <v>41</v>
      </c>
      <c r="K170" s="3" t="s">
        <v>42</v>
      </c>
      <c r="L170" s="3" t="s">
        <v>41</v>
      </c>
    </row>
    <row r="171" spans="1:12" ht="69">
      <c r="A171" s="3" t="s">
        <v>5118</v>
      </c>
      <c r="B171" s="3" t="s">
        <v>5119</v>
      </c>
      <c r="C171" s="3" t="s">
        <v>70</v>
      </c>
      <c r="D171" s="3" t="s">
        <v>46</v>
      </c>
      <c r="E171" s="3" t="s">
        <v>4582</v>
      </c>
      <c r="F171" s="3" t="s">
        <v>4614</v>
      </c>
      <c r="G171" s="3" t="s">
        <v>5120</v>
      </c>
      <c r="H171" s="3" t="str">
        <f>HYPERLINK("http://www.jccm.es/sede/tramite/IQ8","ADMISION A LOS ESTUDIOS ELEMENTALES Y PROFESIONALES DE MUSICA Y DANZA")</f>
        <v>ADMISION A LOS ESTUDIOS ELEMENTALES Y PROFESIONALES DE MUSICA Y DANZA</v>
      </c>
      <c r="I171" s="3" t="s">
        <v>42</v>
      </c>
      <c r="J171" s="3" t="s">
        <v>41</v>
      </c>
      <c r="K171" s="3" t="s">
        <v>42</v>
      </c>
      <c r="L171" s="3" t="s">
        <v>41</v>
      </c>
    </row>
    <row r="172" spans="1:12" ht="80.45">
      <c r="A172" s="3" t="s">
        <v>5121</v>
      </c>
      <c r="B172" s="3" t="s">
        <v>5122</v>
      </c>
      <c r="C172" s="3" t="s">
        <v>45</v>
      </c>
      <c r="D172" s="3" t="s">
        <v>46</v>
      </c>
      <c r="E172" s="3" t="s">
        <v>4582</v>
      </c>
      <c r="F172" s="3" t="s">
        <v>4591</v>
      </c>
      <c r="G172" s="3" t="s">
        <v>5123</v>
      </c>
      <c r="H172" s="3" t="str">
        <f>HYPERLINK("http://www.jccm.es/sede/tramite/LEF","SOLICITUD EQUIVALENCIA DE ESTUDIOS CON LOS TITULOS OFICIALES")</f>
        <v>SOLICITUD EQUIVALENCIA DE ESTUDIOS CON LOS TITULOS OFICIALES</v>
      </c>
      <c r="I172" s="3" t="s">
        <v>42</v>
      </c>
      <c r="J172" s="3" t="s">
        <v>41</v>
      </c>
      <c r="K172" s="3" t="s">
        <v>42</v>
      </c>
      <c r="L172" s="3" t="s">
        <v>41</v>
      </c>
    </row>
    <row r="173" spans="1:12" ht="126.6">
      <c r="A173" s="3" t="s">
        <v>5124</v>
      </c>
      <c r="B173" s="3" t="s">
        <v>5125</v>
      </c>
      <c r="C173" s="3" t="s">
        <v>327</v>
      </c>
      <c r="D173" s="3" t="s">
        <v>46</v>
      </c>
      <c r="E173" s="3" t="s">
        <v>4582</v>
      </c>
      <c r="F173" s="3" t="s">
        <v>4668</v>
      </c>
      <c r="G173" s="3" t="s">
        <v>5126</v>
      </c>
      <c r="H173" s="3" t="str">
        <f>HYPERLINK("http://www.jccm.es/sede/tramite/INN","CONCURSO-OPOSICION PARA EL INGRESO EN EL CUERPO DE MAESTROS,  ADQUISICION DE NUEVAS ESPECIALIDADES Y SELECCION DE INTERINOS.")</f>
        <v>CONCURSO-OPOSICION PARA EL INGRESO EN EL CUERPO DE MAESTROS,  ADQUISICION DE NUEVAS ESPECIALIDADES Y SELECCION DE INTERINOS.</v>
      </c>
      <c r="I173" s="3" t="s">
        <v>42</v>
      </c>
      <c r="J173" s="3" t="s">
        <v>41</v>
      </c>
      <c r="K173" s="3" t="s">
        <v>42</v>
      </c>
      <c r="L173" s="3" t="s">
        <v>41</v>
      </c>
    </row>
    <row r="174" spans="1:12" ht="57.6">
      <c r="A174" s="3" t="s">
        <v>5127</v>
      </c>
      <c r="B174" s="3" t="s">
        <v>5128</v>
      </c>
      <c r="C174" s="3" t="s">
        <v>45</v>
      </c>
      <c r="D174" s="3" t="s">
        <v>46</v>
      </c>
      <c r="E174" s="3" t="s">
        <v>4582</v>
      </c>
      <c r="F174" s="3" t="s">
        <v>4603</v>
      </c>
      <c r="G174" s="3" t="s">
        <v>5129</v>
      </c>
      <c r="H174" s="3" t="str">
        <f>HYPERLINK("http://www.jccm.es/sede/tramite/KS5","PROCESO SELECTIVO CONSTITUCION DE BOLSAS DE TRABAJO PERSONAL DOCENTE")</f>
        <v>PROCESO SELECTIVO CONSTITUCION DE BOLSAS DE TRABAJO PERSONAL DOCENTE</v>
      </c>
      <c r="I174" s="3" t="s">
        <v>42</v>
      </c>
      <c r="J174" s="3" t="s">
        <v>41</v>
      </c>
      <c r="K174" s="3" t="s">
        <v>42</v>
      </c>
      <c r="L174" s="3" t="s">
        <v>41</v>
      </c>
    </row>
    <row r="175" spans="1:12" ht="92.1">
      <c r="A175" s="3" t="s">
        <v>5130</v>
      </c>
      <c r="B175" s="3" t="s">
        <v>5131</v>
      </c>
      <c r="C175" s="3" t="s">
        <v>70</v>
      </c>
      <c r="D175" s="3" t="s">
        <v>46</v>
      </c>
      <c r="E175" s="3" t="s">
        <v>4582</v>
      </c>
      <c r="F175" s="3" t="s">
        <v>5132</v>
      </c>
      <c r="G175" s="3" t="s">
        <v>5133</v>
      </c>
      <c r="H175" s="3" t="str">
        <f>HYPERLINK("http://www.jccm.es/sede/tramite/LH1","PROCESO SELECTIVO PARA CONSTITUCION DE UNA BOLSA DE PROFESORES ESPECIALISTAS DEL CICLO FORMATIVO DE GRADO SUPERIOR EN FORMACION PARA LA MOVILIDAD SEGURA Y SOSTENIBLE")</f>
        <v>PROCESO SELECTIVO PARA CONSTITUCION DE UNA BOLSA DE PROFESORES ESPECIALISTAS DEL CICLO FORMATIVO DE GRADO SUPERIOR EN FORMACION PARA LA MOVILIDAD SEGURA Y SOSTENIBLE</v>
      </c>
      <c r="I175" s="3" t="s">
        <v>42</v>
      </c>
      <c r="J175" s="3" t="s">
        <v>41</v>
      </c>
      <c r="K175" s="3" t="s">
        <v>42</v>
      </c>
      <c r="L175" s="3" t="s">
        <v>41</v>
      </c>
    </row>
    <row r="176" spans="1:12" ht="69">
      <c r="A176" s="3" t="s">
        <v>5134</v>
      </c>
      <c r="B176" s="3" t="s">
        <v>5135</v>
      </c>
      <c r="C176" s="3" t="s">
        <v>45</v>
      </c>
      <c r="D176" s="3" t="s">
        <v>46</v>
      </c>
      <c r="E176" s="3" t="s">
        <v>4582</v>
      </c>
      <c r="F176" s="3" t="s">
        <v>5132</v>
      </c>
      <c r="G176" s="3" t="s">
        <v>5136</v>
      </c>
      <c r="H176" s="3" t="str">
        <f>HYPERLINK("http://www.jccm.es/sede/tramite/LH2","BOLSAS DE TRABAJO DE PROFESORADO ESPECIALISTA - ESCALADA")</f>
        <v>BOLSAS DE TRABAJO DE PROFESORADO ESPECIALISTA - ESCALADA</v>
      </c>
      <c r="I176" s="3" t="s">
        <v>41</v>
      </c>
      <c r="J176" s="3" t="s">
        <v>41</v>
      </c>
      <c r="K176" s="3" t="s">
        <v>42</v>
      </c>
      <c r="L176" s="3" t="s">
        <v>41</v>
      </c>
    </row>
    <row r="177" spans="1:12" ht="69">
      <c r="A177" s="3" t="s">
        <v>5137</v>
      </c>
      <c r="B177" s="3" t="s">
        <v>5138</v>
      </c>
      <c r="C177" s="3" t="s">
        <v>5139</v>
      </c>
      <c r="D177" s="3" t="s">
        <v>46</v>
      </c>
      <c r="E177" s="3" t="s">
        <v>4582</v>
      </c>
      <c r="F177" s="3" t="s">
        <v>4668</v>
      </c>
      <c r="G177" s="3" t="s">
        <v>5140</v>
      </c>
      <c r="H177" s="3" t="str">
        <f>HYPERLINK("http://www.jccm.es/sede/tramite/LM2","PROCEDIMIENTO DE LIBRE DESIGNACION PARA LA PROVISION DE PUESTOS DE DIRECCION EN CENTROS INTEGRADOS PUBLICOS DE FORMACION PROFESIONAL.")</f>
        <v>PROCEDIMIENTO DE LIBRE DESIGNACION PARA LA PROVISION DE PUESTOS DE DIRECCION EN CENTROS INTEGRADOS PUBLICOS DE FORMACION PROFESIONAL.</v>
      </c>
      <c r="I177" s="3" t="s">
        <v>41</v>
      </c>
      <c r="J177" s="3" t="s">
        <v>41</v>
      </c>
      <c r="K177" s="3" t="s">
        <v>42</v>
      </c>
      <c r="L177" s="3" t="s">
        <v>41</v>
      </c>
    </row>
    <row r="178" spans="1:12" ht="92.1">
      <c r="A178" s="3" t="s">
        <v>5141</v>
      </c>
      <c r="B178" s="3" t="s">
        <v>5142</v>
      </c>
      <c r="C178" s="3" t="s">
        <v>1401</v>
      </c>
      <c r="D178" s="3" t="s">
        <v>46</v>
      </c>
      <c r="E178" s="3" t="s">
        <v>4582</v>
      </c>
      <c r="F178" s="3" t="s">
        <v>4668</v>
      </c>
      <c r="G178" s="3" t="s">
        <v>5143</v>
      </c>
      <c r="H178" s="3" t="str">
        <f>HYPERLINK("http://www.jccm.es/sede/tramite/LZ7","PROCEDIMIENTO SELECTIVO PARA EL INGRESO MEDIANTE CONCURSO DE MERITOS, TURNO LIBRE, EN LOS CUERPOS DE SECUNDARIA, FORMACION PROFESIONAL Y ENSEÑANZAS DE REGIMEN ESPECIAL.")</f>
        <v>PROCEDIMIENTO SELECTIVO PARA EL INGRESO MEDIANTE CONCURSO DE MERITOS, TURNO LIBRE, EN LOS CUERPOS DE SECUNDARIA, FORMACION PROFESIONAL Y ENSEÑANZAS DE REGIMEN ESPECIAL.</v>
      </c>
      <c r="I178" s="3" t="s">
        <v>41</v>
      </c>
      <c r="J178" s="3" t="s">
        <v>41</v>
      </c>
      <c r="K178" s="3" t="s">
        <v>42</v>
      </c>
      <c r="L178" s="3" t="s">
        <v>41</v>
      </c>
    </row>
    <row r="179" spans="1:12" ht="92.1">
      <c r="A179" s="3" t="s">
        <v>5144</v>
      </c>
      <c r="B179" s="3" t="s">
        <v>5145</v>
      </c>
      <c r="C179" s="3" t="s">
        <v>232</v>
      </c>
      <c r="D179" s="3" t="s">
        <v>46</v>
      </c>
      <c r="E179" s="3" t="s">
        <v>4582</v>
      </c>
      <c r="F179" s="3" t="s">
        <v>4668</v>
      </c>
      <c r="G179" s="3" t="s">
        <v>5146</v>
      </c>
      <c r="H179" s="3" t="str">
        <f>HYPERLINK("http://www.jccm.es/sede/tramite/KES","PRUEBAS SELECTIVAS PARA INGRESO EN EL CUERPO DE PROFESORES DE ARTES PLASTICAS Y DISEÑO, ADQUISICION DE NUEVAS ESPECIALIDADES, Y SELECCION DE ASPIRANTES A PUESTOS EN REGIMEN DE INTERINIDAD.")</f>
        <v>PRUEBAS SELECTIVAS PARA INGRESO EN EL CUERPO DE PROFESORES DE ARTES PLASTICAS Y DISEÑO, ADQUISICION DE NUEVAS ESPECIALIDADES, Y SELECCION DE ASPIRANTES A PUESTOS EN REGIMEN DE INTERINIDAD.</v>
      </c>
      <c r="I179" s="3" t="s">
        <v>42</v>
      </c>
      <c r="J179" s="3" t="s">
        <v>41</v>
      </c>
      <c r="K179" s="3" t="s">
        <v>42</v>
      </c>
      <c r="L179" s="3" t="s">
        <v>41</v>
      </c>
    </row>
    <row r="180" spans="1:12" ht="92.1">
      <c r="A180" s="3" t="s">
        <v>5147</v>
      </c>
      <c r="B180" s="3" t="s">
        <v>5148</v>
      </c>
      <c r="C180" s="3" t="s">
        <v>232</v>
      </c>
      <c r="D180" s="3" t="s">
        <v>46</v>
      </c>
      <c r="E180" s="3" t="s">
        <v>4582</v>
      </c>
      <c r="F180" s="3" t="s">
        <v>4668</v>
      </c>
      <c r="G180" s="3" t="s">
        <v>5149</v>
      </c>
      <c r="H180" s="3" t="str">
        <f>HYPERLINK("http://www.jccm.es/sede/tramite/I06","CONCURSO-OPOSICION PARA EL INGRESO EN EL CUERPO DE PROFESORES DE ENSEÑANZA SECUNDARIA Y MUSICA Y ARTES ESCENICAS, ACCESO, ADQUISICION DE ESPECIALIDADES Y SELECCION DE INTERINOS.")</f>
        <v>CONCURSO-OPOSICION PARA EL INGRESO EN EL CUERPO DE PROFESORES DE ENSEÑANZA SECUNDARIA Y MUSICA Y ARTES ESCENICAS, ACCESO, ADQUISICION DE ESPECIALIDADES Y SELECCION DE INTERINOS.</v>
      </c>
      <c r="I180" s="3" t="s">
        <v>42</v>
      </c>
      <c r="J180" s="3" t="s">
        <v>41</v>
      </c>
      <c r="K180" s="3" t="s">
        <v>42</v>
      </c>
      <c r="L180" s="3" t="s">
        <v>41</v>
      </c>
    </row>
    <row r="181" spans="1:12" ht="80.45">
      <c r="A181" s="3" t="s">
        <v>5150</v>
      </c>
      <c r="B181" s="3" t="s">
        <v>5151</v>
      </c>
      <c r="C181" s="3" t="s">
        <v>232</v>
      </c>
      <c r="D181" s="3" t="s">
        <v>46</v>
      </c>
      <c r="E181" s="3" t="s">
        <v>4582</v>
      </c>
      <c r="F181" s="3" t="s">
        <v>4668</v>
      </c>
      <c r="G181" s="3" t="s">
        <v>5152</v>
      </c>
      <c r="H181" s="3" t="str">
        <f>HYPERLINK("http://www.jccm.es/sede/tramite/KEV","CONCURSO-OPOSICION PARA EL INGRESO EN EL CUERPO DE PROFESORES TECNICOS DE FORMACION PROFESIONAL, ADQUISICION DE ESPECIALIDADES Y SELECCION DE INTERINOS.")</f>
        <v>CONCURSO-OPOSICION PARA EL INGRESO EN EL CUERPO DE PROFESORES TECNICOS DE FORMACION PROFESIONAL, ADQUISICION DE ESPECIALIDADES Y SELECCION DE INTERINOS.</v>
      </c>
      <c r="I181" s="3" t="s">
        <v>42</v>
      </c>
      <c r="J181" s="3" t="s">
        <v>41</v>
      </c>
      <c r="K181" s="3" t="s">
        <v>42</v>
      </c>
      <c r="L181" s="3" t="s">
        <v>41</v>
      </c>
    </row>
    <row r="182" spans="1:12" ht="103.5">
      <c r="A182" s="3" t="s">
        <v>5153</v>
      </c>
      <c r="B182" s="3" t="s">
        <v>5154</v>
      </c>
      <c r="C182" s="3" t="s">
        <v>45</v>
      </c>
      <c r="D182" s="3" t="s">
        <v>46</v>
      </c>
      <c r="E182" s="3" t="s">
        <v>4582</v>
      </c>
      <c r="F182" s="3" t="s">
        <v>4668</v>
      </c>
      <c r="G182" s="3" t="s">
        <v>5155</v>
      </c>
      <c r="H182" s="3" t="str">
        <f>HYPERLINK("http://www.jccm.es/sede/tramite/KFJ","PROCESO DE AMPLIACION DE BOLSAS DE TRABAJO DE ASPIRANTES A INTERINIDADES DE DISTINTAS ESPECIALIDADES DE CUERPOS DOCENTES (SECUNDARIA, PTFP, MUSICA,PROF. ARTES PLASTICAS Y DISEÑO Y MAESTROS)")</f>
        <v>PROCESO DE AMPLIACION DE BOLSAS DE TRABAJO DE ASPIRANTES A INTERINIDADES DE DISTINTAS ESPECIALIDADES DE CUERPOS DOCENTES (SECUNDARIA, PTFP, MUSICA,PROF. ARTES PLASTICAS Y DISEÑO Y MAESTROS)</v>
      </c>
      <c r="I182" s="3" t="s">
        <v>41</v>
      </c>
      <c r="J182" s="3" t="s">
        <v>41</v>
      </c>
      <c r="K182" s="3" t="s">
        <v>42</v>
      </c>
      <c r="L182" s="3" t="s">
        <v>41</v>
      </c>
    </row>
    <row r="183" spans="1:12" ht="69">
      <c r="A183" s="3" t="s">
        <v>5156</v>
      </c>
      <c r="B183" s="3" t="s">
        <v>5157</v>
      </c>
      <c r="C183" s="3" t="s">
        <v>45</v>
      </c>
      <c r="D183" s="3" t="s">
        <v>46</v>
      </c>
      <c r="E183" s="3" t="s">
        <v>4582</v>
      </c>
      <c r="F183" s="3" t="s">
        <v>4668</v>
      </c>
      <c r="G183" s="3" t="s">
        <v>5158</v>
      </c>
      <c r="H183" s="3" t="str">
        <f>HYPERLINK("http://www.jccm.es/sede/tramite/JYL","SELECCION PROFESORADO ESPECIALISTA PARA LA ESCUELA SUPERIOR DE ARTE DRAMATICO DE CASTILLA-LA MANCHA")</f>
        <v>SELECCION PROFESORADO ESPECIALISTA PARA LA ESCUELA SUPERIOR DE ARTE DRAMATICO DE CASTILLA-LA MANCHA</v>
      </c>
      <c r="I183" s="3" t="s">
        <v>41</v>
      </c>
      <c r="J183" s="3" t="s">
        <v>41</v>
      </c>
      <c r="K183" s="3" t="s">
        <v>42</v>
      </c>
      <c r="L183" s="3" t="s">
        <v>41</v>
      </c>
    </row>
    <row r="184" spans="1:12" ht="69">
      <c r="A184" s="3" t="s">
        <v>5159</v>
      </c>
      <c r="B184" s="3" t="s">
        <v>5160</v>
      </c>
      <c r="C184" s="3" t="s">
        <v>51</v>
      </c>
      <c r="D184" s="3" t="s">
        <v>46</v>
      </c>
      <c r="E184" s="3" t="s">
        <v>4582</v>
      </c>
      <c r="F184" s="3" t="s">
        <v>4668</v>
      </c>
      <c r="G184" s="3" t="s">
        <v>5161</v>
      </c>
      <c r="H184" s="3" t="str">
        <f>HYPERLINK("http://www.jccm.es/sede/tramite/K9S","GESTION BOLSAS DE TRABAJO DE PERSONAL DOCENTE NO UNIVERSITARIO")</f>
        <v>GESTION BOLSAS DE TRABAJO DE PERSONAL DOCENTE NO UNIVERSITARIO</v>
      </c>
      <c r="I184" s="3" t="s">
        <v>41</v>
      </c>
      <c r="J184" s="3" t="s">
        <v>41</v>
      </c>
      <c r="K184" s="3" t="s">
        <v>42</v>
      </c>
      <c r="L184" s="3" t="s">
        <v>41</v>
      </c>
    </row>
    <row r="185" spans="1:12" ht="69">
      <c r="A185" s="3" t="s">
        <v>5162</v>
      </c>
      <c r="B185" s="3" t="s">
        <v>5163</v>
      </c>
      <c r="C185" s="3" t="s">
        <v>232</v>
      </c>
      <c r="D185" s="3" t="s">
        <v>46</v>
      </c>
      <c r="E185" s="3" t="s">
        <v>4582</v>
      </c>
      <c r="F185" s="3" t="s">
        <v>4587</v>
      </c>
      <c r="G185" s="3" t="s">
        <v>5164</v>
      </c>
      <c r="H185" s="3" t="str">
        <f>HYPERLINK("http://www.jccm.es/sede/tramite/C32","PROCEDIMIENTO DE ADMISION DE LAS ESCUELAS INFANTILES DE TITULARIDAD AUTONOMICA")</f>
        <v>PROCEDIMIENTO DE ADMISION DE LAS ESCUELAS INFANTILES DE TITULARIDAD AUTONOMICA</v>
      </c>
      <c r="I185" s="3" t="s">
        <v>42</v>
      </c>
      <c r="J185" s="3" t="s">
        <v>41</v>
      </c>
      <c r="K185" s="3" t="s">
        <v>42</v>
      </c>
      <c r="L185" s="3" t="s">
        <v>41</v>
      </c>
    </row>
    <row r="186" spans="1:12" ht="57.6">
      <c r="A186" s="3" t="s">
        <v>5165</v>
      </c>
      <c r="B186" s="3" t="s">
        <v>5166</v>
      </c>
      <c r="C186" s="3" t="s">
        <v>1655</v>
      </c>
      <c r="D186" s="3" t="s">
        <v>95</v>
      </c>
      <c r="E186" s="3" t="s">
        <v>4582</v>
      </c>
      <c r="F186" s="3" t="s">
        <v>4603</v>
      </c>
      <c r="G186" s="3" t="s">
        <v>5167</v>
      </c>
      <c r="H186" s="3" t="str">
        <f>HYPERLINK("http://www.jccm.es/sede/tramite/I4J","ADMISION DE ALUMNOS EN COMEDORES ESCOLARES")</f>
        <v>ADMISION DE ALUMNOS EN COMEDORES ESCOLARES</v>
      </c>
      <c r="I186" s="3" t="s">
        <v>42</v>
      </c>
      <c r="J186" s="3" t="s">
        <v>41</v>
      </c>
      <c r="K186" s="3" t="s">
        <v>42</v>
      </c>
      <c r="L186" s="3" t="s">
        <v>41</v>
      </c>
    </row>
    <row r="187" spans="1:12" ht="57.6">
      <c r="A187" s="3" t="s">
        <v>5168</v>
      </c>
      <c r="B187" s="3" t="s">
        <v>5169</v>
      </c>
      <c r="C187" s="3" t="s">
        <v>1655</v>
      </c>
      <c r="D187" s="3" t="s">
        <v>95</v>
      </c>
      <c r="E187" s="3" t="s">
        <v>4582</v>
      </c>
      <c r="F187" s="3" t="s">
        <v>4603</v>
      </c>
      <c r="G187" s="3" t="s">
        <v>5170</v>
      </c>
      <c r="H187" s="3" t="str">
        <f>HYPERLINK("http://www.jccm.es/sede/tramite/J2T","SOLICITUD DE PLAZA EN EL TRANSPORTE ESCOLAR")</f>
        <v>SOLICITUD DE PLAZA EN EL TRANSPORTE ESCOLAR</v>
      </c>
      <c r="I187" s="3" t="s">
        <v>42</v>
      </c>
      <c r="J187" s="3" t="s">
        <v>41</v>
      </c>
      <c r="K187" s="3" t="s">
        <v>42</v>
      </c>
      <c r="L187" s="3" t="s">
        <v>41</v>
      </c>
    </row>
    <row r="188" spans="1:12" ht="69">
      <c r="A188" s="3" t="s">
        <v>5171</v>
      </c>
      <c r="B188" s="3" t="s">
        <v>5172</v>
      </c>
      <c r="C188" s="3" t="s">
        <v>1655</v>
      </c>
      <c r="D188" s="3" t="s">
        <v>95</v>
      </c>
      <c r="E188" s="3" t="s">
        <v>4582</v>
      </c>
      <c r="F188" s="3" t="s">
        <v>4587</v>
      </c>
      <c r="G188" s="3" t="s">
        <v>5173</v>
      </c>
      <c r="H188" s="3" t="str">
        <f>HYPERLINK("http://www.jccm.es/sede/tramite/JN0","ASISTENCIA SANITARIA AL ALUMNADO DE CENTROS DOCENTES NO UNIVERSITARIOS  CON ENFERMEDAD CRONICA O QUE PRECISE ATENCION SANITARIA ESPECIFICA.")</f>
        <v>ASISTENCIA SANITARIA AL ALUMNADO DE CENTROS DOCENTES NO UNIVERSITARIOS  CON ENFERMEDAD CRONICA O QUE PRECISE ATENCION SANITARIA ESPECIFICA.</v>
      </c>
      <c r="I188" s="3" t="s">
        <v>42</v>
      </c>
      <c r="J188" s="3" t="s">
        <v>41</v>
      </c>
      <c r="K188" s="3" t="s">
        <v>42</v>
      </c>
      <c r="L188" s="3" t="s">
        <v>41</v>
      </c>
    </row>
    <row r="189" spans="1:12" ht="69">
      <c r="A189" s="3" t="s">
        <v>5174</v>
      </c>
      <c r="B189" s="3" t="s">
        <v>5175</v>
      </c>
      <c r="C189" s="3" t="s">
        <v>5176</v>
      </c>
      <c r="D189" s="3" t="s">
        <v>46</v>
      </c>
      <c r="E189" s="3" t="s">
        <v>4582</v>
      </c>
      <c r="F189" s="3" t="s">
        <v>4603</v>
      </c>
      <c r="G189" s="3" t="s">
        <v>5177</v>
      </c>
      <c r="H189" s="3" t="str">
        <f>HYPERLINK("http://www.jccm.es/sede/tramite/LER","RECLAMACION DE RESPONSABILIDAD PATRIMONIAL DE LA CONSEJERIA DE EDUCACION, CULTURA Y DEPORTES")</f>
        <v>RECLAMACION DE RESPONSABILIDAD PATRIMONIAL DE LA CONSEJERIA DE EDUCACION, CULTURA Y DEPORTES</v>
      </c>
      <c r="I189" s="3" t="s">
        <v>42</v>
      </c>
      <c r="J189" s="3" t="s">
        <v>41</v>
      </c>
      <c r="K189" s="3" t="s">
        <v>42</v>
      </c>
      <c r="L189" s="3" t="s">
        <v>41</v>
      </c>
    </row>
    <row r="190" spans="1:12" ht="57.6">
      <c r="A190" s="3" t="s">
        <v>5178</v>
      </c>
      <c r="B190" s="3" t="s">
        <v>5179</v>
      </c>
      <c r="C190" s="3" t="s">
        <v>4820</v>
      </c>
      <c r="D190" s="3" t="s">
        <v>46</v>
      </c>
      <c r="E190" s="3" t="s">
        <v>4582</v>
      </c>
      <c r="F190" s="3" t="s">
        <v>4591</v>
      </c>
      <c r="G190" s="3" t="s">
        <v>5180</v>
      </c>
      <c r="H190" s="3" t="str">
        <f>HYPERLINK("http://www.jccm.es/sede/tramite/I03","CONVOCATORIA DEL PROCEDIMIENTO PARA LA SUSCRIPCION Y MODIFICACION DE CONCIERTOS EDUCATIVOS EN CASTILLA-LA MANCHA. EDUCACION PRIMARIA.")</f>
        <v>CONVOCATORIA DEL PROCEDIMIENTO PARA LA SUSCRIPCION Y MODIFICACION DE CONCIERTOS EDUCATIVOS EN CASTILLA-LA MANCHA. EDUCACION PRIMARIA.</v>
      </c>
      <c r="I190" s="3" t="s">
        <v>41</v>
      </c>
      <c r="J190" s="3" t="s">
        <v>41</v>
      </c>
      <c r="K190" s="3" t="s">
        <v>42</v>
      </c>
      <c r="L190" s="3" t="s">
        <v>41</v>
      </c>
    </row>
    <row r="191" spans="1:12" ht="69">
      <c r="A191" s="3" t="s">
        <v>5181</v>
      </c>
      <c r="B191" s="3" t="s">
        <v>5182</v>
      </c>
      <c r="C191" s="3" t="s">
        <v>62</v>
      </c>
      <c r="D191" s="3" t="s">
        <v>46</v>
      </c>
      <c r="E191" s="3" t="s">
        <v>4582</v>
      </c>
      <c r="F191" s="3" t="s">
        <v>4591</v>
      </c>
      <c r="G191" s="3" t="s">
        <v>5183</v>
      </c>
      <c r="H191" s="3" t="str">
        <f>HYPERLINK("http://www.jccm.es/sede/tramite/JLC","HOMOLOGACION, RECONOCIMIENTO, REGISTRO Y CERTIFICACION DE ACTIVIDADES DE FORMACION PERMANENTE DEL PROFESORADO NO UNIVERSITARIO.")</f>
        <v>HOMOLOGACION, RECONOCIMIENTO, REGISTRO Y CERTIFICACION DE ACTIVIDADES DE FORMACION PERMANENTE DEL PROFESORADO NO UNIVERSITARIO.</v>
      </c>
      <c r="I191" s="3" t="s">
        <v>41</v>
      </c>
      <c r="J191" s="3" t="s">
        <v>41</v>
      </c>
      <c r="K191" s="3" t="s">
        <v>42</v>
      </c>
      <c r="L191" s="3" t="s">
        <v>41</v>
      </c>
    </row>
    <row r="192" spans="1:12" ht="80.45">
      <c r="A192" s="3" t="s">
        <v>5184</v>
      </c>
      <c r="B192" s="3" t="s">
        <v>5185</v>
      </c>
      <c r="C192" s="3" t="s">
        <v>327</v>
      </c>
      <c r="D192" s="3" t="s">
        <v>46</v>
      </c>
      <c r="E192" s="3" t="s">
        <v>4582</v>
      </c>
      <c r="F192" s="3" t="s">
        <v>4668</v>
      </c>
      <c r="G192" s="3" t="s">
        <v>5186</v>
      </c>
      <c r="H192" s="3" t="str">
        <f>HYPERLINK("http://www.jccm.es/sede/tramite/K0I","CONCURSO-OPOSICION PARA EL ACCESO AL CUERPO DE INSPECTORES DE EDUCACION, EN PLAZAS VACANTES DEL AMBITO DE GESTION DE LA COMUNIDAD AUTONOMA DE CASTILLA- LA MANCHA.")</f>
        <v>CONCURSO-OPOSICION PARA EL ACCESO AL CUERPO DE INSPECTORES DE EDUCACION, EN PLAZAS VACANTES DEL AMBITO DE GESTION DE LA COMUNIDAD AUTONOMA DE CASTILLA- LA MANCHA.</v>
      </c>
      <c r="I192" s="3" t="s">
        <v>42</v>
      </c>
      <c r="J192" s="3" t="s">
        <v>41</v>
      </c>
      <c r="K192" s="3" t="s">
        <v>42</v>
      </c>
      <c r="L192" s="3" t="s">
        <v>41</v>
      </c>
    </row>
    <row r="193" spans="1:12" ht="149.44999999999999">
      <c r="A193" s="3" t="s">
        <v>5187</v>
      </c>
      <c r="B193" s="3" t="s">
        <v>5188</v>
      </c>
      <c r="C193" s="3" t="s">
        <v>232</v>
      </c>
      <c r="D193" s="3" t="s">
        <v>46</v>
      </c>
      <c r="E193" s="3" t="s">
        <v>4582</v>
      </c>
      <c r="F193" s="3" t="s">
        <v>4668</v>
      </c>
      <c r="G193" s="3" t="s">
        <v>5189</v>
      </c>
      <c r="H193" s="3" t="str">
        <f>HYPERLINK("http://www.jccm.es/sede/tramite/K79","CONCURSO DE TRASLADOS DE AMBITO AUTONOMICO ENTRE FUNCIONARIOS Y FUNCIONARIAS DOCENTES DE LOS CUERPOS DE ENSEÑANZAS MEDIAS.")</f>
        <v>CONCURSO DE TRASLADOS DE AMBITO AUTONOMICO ENTRE FUNCIONARIOS Y FUNCIONARIAS DOCENTES DE LOS CUERPOS DE ENSEÑANZAS MEDIAS.</v>
      </c>
      <c r="I193" s="3" t="s">
        <v>41</v>
      </c>
      <c r="J193" s="3" t="s">
        <v>41</v>
      </c>
      <c r="K193" s="3" t="s">
        <v>42</v>
      </c>
      <c r="L193" s="3" t="s">
        <v>41</v>
      </c>
    </row>
    <row r="194" spans="1:12" ht="114.95">
      <c r="A194" s="3" t="s">
        <v>5190</v>
      </c>
      <c r="B194" s="3" t="s">
        <v>5191</v>
      </c>
      <c r="C194" s="3" t="s">
        <v>327</v>
      </c>
      <c r="D194" s="3" t="s">
        <v>46</v>
      </c>
      <c r="E194" s="3" t="s">
        <v>4582</v>
      </c>
      <c r="F194" s="3" t="s">
        <v>4668</v>
      </c>
      <c r="G194" s="3" t="s">
        <v>5192</v>
      </c>
      <c r="H194" s="3" t="str">
        <f>HYPERLINK("http://www.jccm.es/sede/tramite/K7A","CONCURSO DE TRASLADOS DE AMBITO ESTATAL ENTRE FUNCIONARIOS Y FUNCIONARIAS DE LOS CUERPOS DE INSPECTORES AL SERVICIO DE LA ADMINISTRACION EDUCATIVA Y DE INSPECTORES DE EDUCACION.")</f>
        <v>CONCURSO DE TRASLADOS DE AMBITO ESTATAL ENTRE FUNCIONARIOS Y FUNCIONARIAS DE LOS CUERPOS DE INSPECTORES AL SERVICIO DE LA ADMINISTRACION EDUCATIVA Y DE INSPECTORES DE EDUCACION.</v>
      </c>
      <c r="I194" s="3" t="s">
        <v>41</v>
      </c>
      <c r="J194" s="3" t="s">
        <v>41</v>
      </c>
      <c r="K194" s="3" t="s">
        <v>42</v>
      </c>
      <c r="L194" s="3" t="s">
        <v>41</v>
      </c>
    </row>
    <row r="195" spans="1:12" ht="69">
      <c r="A195" s="3" t="s">
        <v>5193</v>
      </c>
      <c r="B195" s="3" t="s">
        <v>5194</v>
      </c>
      <c r="C195" s="3" t="s">
        <v>327</v>
      </c>
      <c r="D195" s="3" t="s">
        <v>46</v>
      </c>
      <c r="E195" s="3" t="s">
        <v>4582</v>
      </c>
      <c r="F195" s="3" t="s">
        <v>4668</v>
      </c>
      <c r="G195" s="3" t="s">
        <v>5195</v>
      </c>
      <c r="H195" s="3" t="str">
        <f>HYPERLINK("http://www.jccm.es/sede/tramite/K7B","CONCURSO DE TRASLADOS DE AMBITO ESTATAL Y PROCESOS PREVIOS DEL CUERPO DE MAESTROS.")</f>
        <v>CONCURSO DE TRASLADOS DE AMBITO ESTATAL Y PROCESOS PREVIOS DEL CUERPO DE MAESTROS.</v>
      </c>
      <c r="I195" s="3" t="s">
        <v>41</v>
      </c>
      <c r="J195" s="3" t="s">
        <v>41</v>
      </c>
      <c r="K195" s="3" t="s">
        <v>42</v>
      </c>
      <c r="L195" s="3" t="s">
        <v>41</v>
      </c>
    </row>
    <row r="196" spans="1:12" ht="80.45">
      <c r="A196" s="3" t="s">
        <v>5196</v>
      </c>
      <c r="B196" s="3" t="s">
        <v>5197</v>
      </c>
      <c r="C196" s="3" t="s">
        <v>45</v>
      </c>
      <c r="D196" s="3" t="s">
        <v>46</v>
      </c>
      <c r="E196" s="3" t="s">
        <v>4582</v>
      </c>
      <c r="F196" s="3" t="s">
        <v>4668</v>
      </c>
      <c r="G196" s="3" t="s">
        <v>5198</v>
      </c>
      <c r="H196" s="3" t="str">
        <f>HYPERLINK("http://www.jccm.es/sede/tramite/KJ5","PROCESO DE SELECCION PARA ELABORAR UNA LISTA EXTRAORDINARIA DE ASPIRANTES A OCUPAR PUESTOS COMO INSPECTORES ACCIDENTALES, EN REGIMEN DE COMISION DE SERVICIOS.")</f>
        <v>PROCESO DE SELECCION PARA ELABORAR UNA LISTA EXTRAORDINARIA DE ASPIRANTES A OCUPAR PUESTOS COMO INSPECTORES ACCIDENTALES, EN REGIMEN DE COMISION DE SERVICIOS.</v>
      </c>
      <c r="I196" s="3" t="s">
        <v>41</v>
      </c>
      <c r="J196" s="3" t="s">
        <v>41</v>
      </c>
      <c r="K196" s="3" t="s">
        <v>42</v>
      </c>
      <c r="L196" s="3" t="s">
        <v>41</v>
      </c>
    </row>
    <row r="197" spans="1:12" ht="69">
      <c r="A197" s="3" t="s">
        <v>5199</v>
      </c>
      <c r="B197" s="3" t="s">
        <v>5200</v>
      </c>
      <c r="C197" s="3" t="s">
        <v>45</v>
      </c>
      <c r="D197" s="3" t="s">
        <v>46</v>
      </c>
      <c r="E197" s="3" t="s">
        <v>4582</v>
      </c>
      <c r="F197" s="3" t="s">
        <v>4587</v>
      </c>
      <c r="G197" s="3" t="s">
        <v>5201</v>
      </c>
      <c r="H197" s="3" t="str">
        <f>HYPERLINK("http://www.jccm.es/sede/tramite/KLZ","SOLICITUD Y ADJUDICACION DE AUXILIARES DE CONVERSACION A CENTROS PUBLICOS DOCENTES NO UNIVERSITARIOS")</f>
        <v>SOLICITUD Y ADJUDICACION DE AUXILIARES DE CONVERSACION A CENTROS PUBLICOS DOCENTES NO UNIVERSITARIOS</v>
      </c>
      <c r="I197" s="3" t="s">
        <v>41</v>
      </c>
      <c r="J197" s="3" t="s">
        <v>41</v>
      </c>
      <c r="K197" s="3" t="s">
        <v>42</v>
      </c>
      <c r="L197" s="3" t="s">
        <v>41</v>
      </c>
    </row>
    <row r="198" spans="1:12" ht="57.6">
      <c r="A198" s="3" t="s">
        <v>5202</v>
      </c>
      <c r="B198" s="3" t="s">
        <v>5203</v>
      </c>
      <c r="C198" s="3" t="s">
        <v>442</v>
      </c>
      <c r="D198" s="3" t="s">
        <v>46</v>
      </c>
      <c r="E198" s="3" t="s">
        <v>4582</v>
      </c>
      <c r="F198" s="3" t="s">
        <v>4591</v>
      </c>
      <c r="G198" s="3" t="s">
        <v>5204</v>
      </c>
      <c r="H198" s="3" t="str">
        <f>HYPERLINK("http://www.jccm.es/sede/tramite/KVM","CONVOCATORIA DE GRUPOS DE TRABAJO, SEMINARIOS Y CURSOS DE FORMACION EN CENTROS EDUCATIVOS")</f>
        <v>CONVOCATORIA DE GRUPOS DE TRABAJO, SEMINARIOS Y CURSOS DE FORMACION EN CENTROS EDUCATIVOS</v>
      </c>
      <c r="I198" s="3" t="s">
        <v>41</v>
      </c>
      <c r="J198" s="3" t="s">
        <v>41</v>
      </c>
      <c r="K198" s="3" t="s">
        <v>42</v>
      </c>
      <c r="L198" s="3" t="s">
        <v>41</v>
      </c>
    </row>
    <row r="199" spans="1:12" ht="45.95">
      <c r="A199" s="3" t="s">
        <v>5205</v>
      </c>
      <c r="B199" s="3" t="s">
        <v>5206</v>
      </c>
      <c r="C199" s="3" t="s">
        <v>51</v>
      </c>
      <c r="D199" s="3" t="s">
        <v>46</v>
      </c>
      <c r="E199" s="3" t="s">
        <v>4582</v>
      </c>
      <c r="F199" s="3" t="s">
        <v>4582</v>
      </c>
      <c r="G199" s="3" t="s">
        <v>5207</v>
      </c>
      <c r="H199" s="3" t="str">
        <f>HYPERLINK("http://www.jccm.es/sede/tramite/KWP","ACREDITACION DE NUEVOS DE MERITOS EN BOLSAS PROVINCIALES DEL PROFESORADO DE RELIGION")</f>
        <v>ACREDITACION DE NUEVOS DE MERITOS EN BOLSAS PROVINCIALES DEL PROFESORADO DE RELIGION</v>
      </c>
      <c r="I199" s="3" t="s">
        <v>41</v>
      </c>
      <c r="J199" s="3" t="s">
        <v>41</v>
      </c>
      <c r="K199" s="3" t="s">
        <v>42</v>
      </c>
      <c r="L199" s="3" t="s">
        <v>41</v>
      </c>
    </row>
    <row r="200" spans="1:12" ht="114.95">
      <c r="A200" s="3" t="s">
        <v>5208</v>
      </c>
      <c r="B200" s="3" t="s">
        <v>5209</v>
      </c>
      <c r="C200" s="3" t="s">
        <v>45</v>
      </c>
      <c r="D200" s="3" t="s">
        <v>46</v>
      </c>
      <c r="E200" s="3" t="s">
        <v>4582</v>
      </c>
      <c r="F200" s="3" t="s">
        <v>4587</v>
      </c>
      <c r="G200" s="3" t="s">
        <v>5210</v>
      </c>
      <c r="H200" s="3" t="str">
        <f>HYPERLINK("http://www.jccm.es/sede/tramite/L1U","PROCEDIMIENTO DE CONSTITUCION DE LAS COMISIONES DE ELABORACION DE PRUEBAS DE CERTIFICACION DE NIVEL DE COMPETENCIA LINGUISTICA DE ENSEÑANZAS DE IDIOMAS DE REGIMEN ESPECIAL.")</f>
        <v>PROCEDIMIENTO DE CONSTITUCION DE LAS COMISIONES DE ELABORACION DE PRUEBAS DE CERTIFICACION DE NIVEL DE COMPETENCIA LINGUISTICA DE ENSEÑANZAS DE IDIOMAS DE REGIMEN ESPECIAL.</v>
      </c>
      <c r="I200" s="3" t="s">
        <v>41</v>
      </c>
      <c r="J200" s="3" t="s">
        <v>41</v>
      </c>
      <c r="K200" s="3" t="s">
        <v>42</v>
      </c>
      <c r="L200" s="3" t="s">
        <v>41</v>
      </c>
    </row>
    <row r="201" spans="1:12" ht="69">
      <c r="A201" s="3" t="s">
        <v>5211</v>
      </c>
      <c r="B201" s="3" t="s">
        <v>5212</v>
      </c>
      <c r="C201" s="3" t="s">
        <v>5213</v>
      </c>
      <c r="D201" s="3" t="s">
        <v>95</v>
      </c>
      <c r="E201" s="3" t="s">
        <v>4582</v>
      </c>
      <c r="F201" s="3" t="s">
        <v>4668</v>
      </c>
      <c r="G201" s="3" t="s">
        <v>5214</v>
      </c>
      <c r="H201" s="3" t="str">
        <f>HYPERLINK("http://www.jccm.es/sede/tramite/LK2","COMUNICACION DE PRESUNTO ACOSO SEXUAL O POR RAZON DE SEXO AL PERSONAL EN EL  AMBITO EDUCATIVO")</f>
        <v>COMUNICACION DE PRESUNTO ACOSO SEXUAL O POR RAZON DE SEXO AL PERSONAL EN EL  AMBITO EDUCATIVO</v>
      </c>
      <c r="I201" s="3" t="s">
        <v>42</v>
      </c>
      <c r="J201" s="3" t="s">
        <v>41</v>
      </c>
      <c r="K201" s="3" t="s">
        <v>42</v>
      </c>
      <c r="L201" s="3" t="s">
        <v>41</v>
      </c>
    </row>
    <row r="202" spans="1:12" ht="92.1">
      <c r="A202" s="3" t="s">
        <v>5215</v>
      </c>
      <c r="B202" s="3" t="s">
        <v>5216</v>
      </c>
      <c r="C202" s="3" t="s">
        <v>51</v>
      </c>
      <c r="D202" s="3" t="s">
        <v>46</v>
      </c>
      <c r="E202" s="3" t="s">
        <v>4582</v>
      </c>
      <c r="F202" s="3" t="s">
        <v>4668</v>
      </c>
      <c r="G202" s="3" t="s">
        <v>5217</v>
      </c>
      <c r="H202" s="3" t="str">
        <f>HYPERLINK("http://www.jccm.es/sede/tramite/LLY","PROCESO MOVILIDAD  PARAR LA PROVISION DE PUESTOS DEL PROFESORADO RELIGION EN LOS CENTROS DOCENTES PUBLICOS NO UNIVERSITARIOS DEPENDIENTES DE CASTILLA - LA MANCHA")</f>
        <v>PROCESO MOVILIDAD  PARAR LA PROVISION DE PUESTOS DEL PROFESORADO RELIGION EN LOS CENTROS DOCENTES PUBLICOS NO UNIVERSITARIOS DEPENDIENTES DE CASTILLA - LA MANCHA</v>
      </c>
      <c r="I202" s="3" t="s">
        <v>41</v>
      </c>
      <c r="J202" s="3" t="s">
        <v>41</v>
      </c>
      <c r="K202" s="3" t="s">
        <v>42</v>
      </c>
      <c r="L202" s="3" t="s">
        <v>41</v>
      </c>
    </row>
    <row r="203" spans="1:12" ht="114.95">
      <c r="A203" s="3" t="s">
        <v>5218</v>
      </c>
      <c r="B203" s="3" t="s">
        <v>5219</v>
      </c>
      <c r="C203" s="3" t="s">
        <v>45</v>
      </c>
      <c r="D203" s="3" t="s">
        <v>46</v>
      </c>
      <c r="E203" s="3" t="s">
        <v>4582</v>
      </c>
      <c r="F203" s="3" t="s">
        <v>4582</v>
      </c>
      <c r="G203" s="3" t="s">
        <v>5220</v>
      </c>
      <c r="H203" s="3" t="str">
        <f>HYPERLINK("http://www.jccm.es/sede/tramite/LNM","LIQUIDACION DE GASTOS POR TRASLADOS, ALOJAMIENTO Y MANUTENCION DEL PROFESORADO DE FP PARTICIPANTE EN ACCIONES FORMATIVAS ORGANIZADAS POR EL CRFP")</f>
        <v>LIQUIDACION DE GASTOS POR TRASLADOS, ALOJAMIENTO Y MANUTENCION DEL PROFESORADO DE FP PARTICIPANTE EN ACCIONES FORMATIVAS ORGANIZADAS POR EL CRFP</v>
      </c>
      <c r="I203" s="3" t="s">
        <v>42</v>
      </c>
      <c r="J203" s="3" t="s">
        <v>41</v>
      </c>
      <c r="K203" s="3" t="s">
        <v>42</v>
      </c>
      <c r="L203" s="3" t="s">
        <v>41</v>
      </c>
    </row>
    <row r="204" spans="1:12" ht="92.1">
      <c r="A204" s="3" t="s">
        <v>5221</v>
      </c>
      <c r="B204" s="3" t="s">
        <v>5222</v>
      </c>
      <c r="C204" s="3" t="s">
        <v>5223</v>
      </c>
      <c r="D204" s="3" t="s">
        <v>46</v>
      </c>
      <c r="E204" s="3" t="s">
        <v>4582</v>
      </c>
      <c r="F204" s="3" t="s">
        <v>4603</v>
      </c>
      <c r="G204" s="3" t="s">
        <v>5224</v>
      </c>
      <c r="H204" s="3" t="str">
        <f>HYPERLINK("http://www.jccm.es/sede/tramite/LTJ","PROVISION DE PUESTOS DE TRABAJO DE PERSONAL FUNCIONARIO POR EL PROCEDIMIENTO DE LIBRE DESIGNACION (LD EDCD F2/2022) EN LA CONSEJERIA DE EDUCACION, CULTURA Y DEPORTES.")</f>
        <v>PROVISION DE PUESTOS DE TRABAJO DE PERSONAL FUNCIONARIO POR EL PROCEDIMIENTO DE LIBRE DESIGNACION (LD EDCD F2/2022) EN LA CONSEJERIA DE EDUCACION, CULTURA Y DEPORTES.</v>
      </c>
      <c r="I204" s="3" t="s">
        <v>41</v>
      </c>
      <c r="J204" s="3" t="s">
        <v>41</v>
      </c>
      <c r="K204" s="3" t="s">
        <v>42</v>
      </c>
      <c r="L204" s="3" t="s">
        <v>41</v>
      </c>
    </row>
    <row r="205" spans="1:12" ht="80.45">
      <c r="A205" s="3" t="s">
        <v>5225</v>
      </c>
      <c r="B205" s="3" t="s">
        <v>5226</v>
      </c>
      <c r="C205" s="3" t="s">
        <v>45</v>
      </c>
      <c r="D205" s="3" t="s">
        <v>46</v>
      </c>
      <c r="E205" s="3" t="s">
        <v>4582</v>
      </c>
      <c r="F205" s="3" t="s">
        <v>4587</v>
      </c>
      <c r="G205" s="3" t="s">
        <v>5227</v>
      </c>
      <c r="H205" s="3" t="str">
        <f>HYPERLINK("http://www.jccm.es/sede/tramite/LYH","SOLICITUD DE ADJUDICACION DE AUXILIARES DE CONVERSACION A CENTROS PUBLICOS DOCENTES NO UNIVERSITARIOS CON PROYECTOS BILINGUES EN CICLOS FORMATIVOS DE FORMACION PROFESIONAL.")</f>
        <v>SOLICITUD DE ADJUDICACION DE AUXILIARES DE CONVERSACION A CENTROS PUBLICOS DOCENTES NO UNIVERSITARIOS CON PROYECTOS BILINGUES EN CICLOS FORMATIVOS DE FORMACION PROFESIONAL.</v>
      </c>
      <c r="I205" s="3" t="s">
        <v>41</v>
      </c>
      <c r="J205" s="3" t="s">
        <v>41</v>
      </c>
      <c r="K205" s="3" t="s">
        <v>42</v>
      </c>
      <c r="L205" s="3" t="s">
        <v>41</v>
      </c>
    </row>
    <row r="206" spans="1:12" ht="92.1">
      <c r="A206" s="3" t="s">
        <v>5228</v>
      </c>
      <c r="B206" s="3" t="s">
        <v>5229</v>
      </c>
      <c r="C206" s="3" t="s">
        <v>51</v>
      </c>
      <c r="D206" s="3" t="s">
        <v>46</v>
      </c>
      <c r="E206" s="3" t="s">
        <v>4582</v>
      </c>
      <c r="F206" s="3" t="s">
        <v>4603</v>
      </c>
      <c r="G206" s="3" t="s">
        <v>5230</v>
      </c>
      <c r="H206" s="3" t="str">
        <f>HYPERLINK("http://www.jccm.es/sede/tramite/J4U","PROVISION DE PUESTOS DE TRABAJO DE PERSONAL FUNCIONARIO POR EL PROCEDIMIENTO DE LIBRE DESIGNACION (LD EDCD F3/2022) EN LA CONSEJERIA DE EDUCACION, CULTURA Y DEPORTES.")</f>
        <v>PROVISION DE PUESTOS DE TRABAJO DE PERSONAL FUNCIONARIO POR EL PROCEDIMIENTO DE LIBRE DESIGNACION (LD EDCD F3/2022) EN LA CONSEJERIA DE EDUCACION, CULTURA Y DEPORTES.</v>
      </c>
      <c r="I206" s="3" t="s">
        <v>41</v>
      </c>
      <c r="J206" s="3" t="s">
        <v>41</v>
      </c>
      <c r="K206" s="3" t="s">
        <v>42</v>
      </c>
      <c r="L206" s="3" t="s">
        <v>41</v>
      </c>
    </row>
    <row r="207" spans="1:12" ht="69">
      <c r="A207" s="3" t="s">
        <v>5231</v>
      </c>
      <c r="B207" s="3" t="s">
        <v>5232</v>
      </c>
      <c r="C207" s="3" t="s">
        <v>36</v>
      </c>
      <c r="D207" s="3" t="s">
        <v>46</v>
      </c>
      <c r="E207" s="3" t="s">
        <v>4582</v>
      </c>
      <c r="F207" s="3" t="s">
        <v>4603</v>
      </c>
      <c r="G207" s="3" t="s">
        <v>5233</v>
      </c>
      <c r="H207" s="3" t="str">
        <f>HYPERLINK("http://www.jccm.es/sede/tramite/L5U","CONVOCATORIA DE CONCURSO SINGULARIZADO DE MERITOS PARA LA PROVISION DE PUESTOS DE TRABAJO VACANTES  (PERSONAL OTRAS ADMINISTRACIONES)")</f>
        <v>CONVOCATORIA DE CONCURSO SINGULARIZADO DE MERITOS PARA LA PROVISION DE PUESTOS DE TRABAJO VACANTES  (PERSONAL OTRAS ADMINISTRACIONES)</v>
      </c>
      <c r="I207" s="3" t="s">
        <v>41</v>
      </c>
      <c r="J207" s="3" t="s">
        <v>41</v>
      </c>
      <c r="K207" s="3" t="s">
        <v>42</v>
      </c>
      <c r="L207" s="3" t="s">
        <v>41</v>
      </c>
    </row>
    <row r="208" spans="1:12" ht="69">
      <c r="A208" s="3" t="s">
        <v>5234</v>
      </c>
      <c r="B208" s="3" t="s">
        <v>5235</v>
      </c>
      <c r="C208" s="3" t="s">
        <v>36</v>
      </c>
      <c r="D208" s="3" t="s">
        <v>46</v>
      </c>
      <c r="E208" s="3" t="s">
        <v>4582</v>
      </c>
      <c r="F208" s="3" t="s">
        <v>4603</v>
      </c>
      <c r="G208" s="3" t="s">
        <v>5236</v>
      </c>
      <c r="H208" s="3" t="str">
        <f>HYPERLINK("http://www.jccm.es/sede/tramite/JUD","CONVOCATORIA DE CONCURSO SINGULARIZADO DE MERITOS PARA LA PROVISION DE PUESTOS DE TRABAJO VACANTES  (PERSONAL DE LA ADMINISTRACION DE LA JCCM)")</f>
        <v>CONVOCATORIA DE CONCURSO SINGULARIZADO DE MERITOS PARA LA PROVISION DE PUESTOS DE TRABAJO VACANTES  (PERSONAL DE LA ADMINISTRACION DE LA JCCM)</v>
      </c>
      <c r="I208" s="3" t="s">
        <v>41</v>
      </c>
      <c r="J208" s="3" t="s">
        <v>41</v>
      </c>
      <c r="K208" s="3" t="s">
        <v>42</v>
      </c>
      <c r="L208" s="3" t="s">
        <v>41</v>
      </c>
    </row>
    <row r="209" spans="1:12" ht="80.45">
      <c r="A209" s="3" t="s">
        <v>5237</v>
      </c>
      <c r="B209" s="3" t="s">
        <v>5238</v>
      </c>
      <c r="C209" s="3" t="s">
        <v>5239</v>
      </c>
      <c r="D209" s="3" t="s">
        <v>46</v>
      </c>
      <c r="E209" s="3" t="s">
        <v>4582</v>
      </c>
      <c r="F209" s="3" t="s">
        <v>4587</v>
      </c>
      <c r="G209" s="3" t="s">
        <v>5240</v>
      </c>
      <c r="H209" s="3" t="str">
        <f>HYPERLINK("http://www.jccm.es/sede/tramite/L96","PROCEDIMIENTO DE SELECCION DE DIRECTORAS Y DIRECTORES DE LOS CENTROS DOCENTES PUBLICOS RECONOCIDOS COMO COMUNIDAD DE APRENDIZAJE: CEIP LA PAZ Y CEIP ENTRE CULTURAS.")</f>
        <v>PROCEDIMIENTO DE SELECCION DE DIRECTORAS Y DIRECTORES DE LOS CENTROS DOCENTES PUBLICOS RECONOCIDOS COMO COMUNIDAD DE APRENDIZAJE: CEIP LA PAZ Y CEIP ENTRE CULTURAS.</v>
      </c>
      <c r="I209" s="3" t="s">
        <v>41</v>
      </c>
      <c r="J209" s="3" t="s">
        <v>41</v>
      </c>
      <c r="K209" s="3" t="s">
        <v>42</v>
      </c>
      <c r="L209" s="3" t="s">
        <v>41</v>
      </c>
    </row>
    <row r="210" spans="1:12" ht="69">
      <c r="A210" s="3" t="s">
        <v>5241</v>
      </c>
      <c r="B210" s="3" t="s">
        <v>5242</v>
      </c>
      <c r="C210" s="3" t="s">
        <v>5243</v>
      </c>
      <c r="D210" s="3" t="s">
        <v>46</v>
      </c>
      <c r="E210" s="3" t="s">
        <v>4582</v>
      </c>
      <c r="F210" s="3" t="s">
        <v>4587</v>
      </c>
      <c r="G210" s="3" t="s">
        <v>5244</v>
      </c>
      <c r="H210" s="3" t="str">
        <f>HYPERLINK("http://www.jccm.es/sede/tramite/JUH","PROCEDIMIENTOS DE RENOVACION, SELECCION Y NOMBRAMIENTO DE DIRECTORAS Y DE DIRECTORES DE LOS CENTROS DOCENTES PUBLICOS NO UNIVERSITARIOS DE CASTILLA-LA MANCHA.")</f>
        <v>PROCEDIMIENTOS DE RENOVACION, SELECCION Y NOMBRAMIENTO DE DIRECTORAS Y DE DIRECTORES DE LOS CENTROS DOCENTES PUBLICOS NO UNIVERSITARIOS DE CASTILLA-LA MANCHA.</v>
      </c>
      <c r="I210" s="3" t="s">
        <v>41</v>
      </c>
      <c r="J210" s="3" t="s">
        <v>41</v>
      </c>
      <c r="K210" s="3" t="s">
        <v>42</v>
      </c>
      <c r="L210" s="3" t="s">
        <v>41</v>
      </c>
    </row>
    <row r="211" spans="1:12" ht="69">
      <c r="A211" s="3" t="s">
        <v>5245</v>
      </c>
      <c r="B211" s="3" t="s">
        <v>5246</v>
      </c>
      <c r="C211" s="3" t="s">
        <v>70</v>
      </c>
      <c r="D211" s="3" t="s">
        <v>46</v>
      </c>
      <c r="E211" s="3" t="s">
        <v>4582</v>
      </c>
      <c r="F211" s="3" t="s">
        <v>4614</v>
      </c>
      <c r="G211" s="3" t="s">
        <v>5247</v>
      </c>
      <c r="H211" s="3" t="str">
        <f>HYPERLINK("http://www.jccm.es/sede/tramite/LDL","CONVOCATORIA DE PROCEDIMIENTO PARA LA RENOVACION O RENUNCIA DE COMISION DE SERVICIO EN PUESTOS ESPECIFICOS DE CICLOS FORMATIVOS")</f>
        <v>CONVOCATORIA DE PROCEDIMIENTO PARA LA RENOVACION O RENUNCIA DE COMISION DE SERVICIO EN PUESTOS ESPECIFICOS DE CICLOS FORMATIVOS</v>
      </c>
      <c r="I211" s="3" t="s">
        <v>41</v>
      </c>
      <c r="J211" s="3" t="s">
        <v>41</v>
      </c>
      <c r="K211" s="3" t="s">
        <v>42</v>
      </c>
      <c r="L211" s="3" t="s">
        <v>41</v>
      </c>
    </row>
    <row r="212" spans="1:12" ht="92.1">
      <c r="A212" s="3" t="s">
        <v>5248</v>
      </c>
      <c r="B212" s="3" t="s">
        <v>5249</v>
      </c>
      <c r="C212" s="3" t="s">
        <v>70</v>
      </c>
      <c r="D212" s="3" t="s">
        <v>46</v>
      </c>
      <c r="E212" s="3" t="s">
        <v>4582</v>
      </c>
      <c r="F212" s="3" t="s">
        <v>4587</v>
      </c>
      <c r="G212" s="3" t="s">
        <v>5250</v>
      </c>
      <c r="H212" s="3" t="str">
        <f>HYPERLINK("http://www.jccm.es/sede/tramite/KL9","CONVOCATORIA DE PROCEDIMIENTO PARA LA  PROVISION DE PUESTOS EN COMISION DE SERVICIO EN AULAS ABIERTAS ESPECIALIZADAS Y EQUIPOS DE ATENCION EDUCATIVA PARA ALUMNADO CON TEA.")</f>
        <v>CONVOCATORIA DE PROCEDIMIENTO PARA LA  PROVISION DE PUESTOS EN COMISION DE SERVICIO EN AULAS ABIERTAS ESPECIALIZADAS Y EQUIPOS DE ATENCION EDUCATIVA PARA ALUMNADO CON TEA.</v>
      </c>
      <c r="I212" s="3" t="s">
        <v>41</v>
      </c>
      <c r="J212" s="3" t="s">
        <v>41</v>
      </c>
      <c r="K212" s="3" t="s">
        <v>42</v>
      </c>
      <c r="L212" s="3" t="s">
        <v>41</v>
      </c>
    </row>
    <row r="213" spans="1:12" ht="103.5">
      <c r="A213" s="3" t="s">
        <v>5251</v>
      </c>
      <c r="B213" s="3" t="s">
        <v>5252</v>
      </c>
      <c r="C213" s="3" t="s">
        <v>70</v>
      </c>
      <c r="D213" s="3" t="s">
        <v>46</v>
      </c>
      <c r="E213" s="3" t="s">
        <v>4582</v>
      </c>
      <c r="F213" s="3" t="s">
        <v>4587</v>
      </c>
      <c r="G213" s="3" t="s">
        <v>5253</v>
      </c>
      <c r="H213" s="3" t="str">
        <f>HYPERLINK("http://www.jccm.es/sede/tramite/LLA","COMISIONES DE SERVICIO PARA PERSONAL DOCENTE EN CENTROS DE EDUCACION ESPECIAL Y PARA PERSONAL DOCENTE DEL SERVICIO DEL ASESORAMIENTO Y APOYO ESPECIALIZADO EN LOS CENTROS DE EDUCACION ESPECIAL")</f>
        <v>COMISIONES DE SERVICIO PARA PERSONAL DOCENTE EN CENTROS DE EDUCACION ESPECIAL Y PARA PERSONAL DOCENTE DEL SERVICIO DEL ASESORAMIENTO Y APOYO ESPECIALIZADO EN LOS CENTROS DE EDUCACION ESPECIAL</v>
      </c>
      <c r="I213" s="3" t="s">
        <v>41</v>
      </c>
      <c r="J213" s="3" t="s">
        <v>41</v>
      </c>
      <c r="K213" s="3" t="s">
        <v>42</v>
      </c>
      <c r="L213" s="3" t="s">
        <v>41</v>
      </c>
    </row>
    <row r="214" spans="1:12" ht="69">
      <c r="A214" s="3" t="s">
        <v>5254</v>
      </c>
      <c r="B214" s="3" t="s">
        <v>5255</v>
      </c>
      <c r="C214" s="3" t="s">
        <v>70</v>
      </c>
      <c r="D214" s="3" t="s">
        <v>46</v>
      </c>
      <c r="E214" s="3" t="s">
        <v>4582</v>
      </c>
      <c r="F214" s="3" t="s">
        <v>4587</v>
      </c>
      <c r="G214" s="3" t="s">
        <v>5256</v>
      </c>
      <c r="H214" s="3" t="str">
        <f>HYPERLINK("http://www.jccm.es/sede/tramite/LDN","CONVOCATORIA DE PROCEDIMIENTO PARA LA RENOVACION DE COMISION DE SERVICIO EN UNIDADES DE EDUCACION ESPECIAL.")</f>
        <v>CONVOCATORIA DE PROCEDIMIENTO PARA LA RENOVACION DE COMISION DE SERVICIO EN UNIDADES DE EDUCACION ESPECIAL.</v>
      </c>
      <c r="I214" s="3" t="s">
        <v>41</v>
      </c>
      <c r="J214" s="3" t="s">
        <v>41</v>
      </c>
      <c r="K214" s="3" t="s">
        <v>42</v>
      </c>
      <c r="L214" s="3" t="s">
        <v>41</v>
      </c>
    </row>
    <row r="215" spans="1:12" ht="92.1">
      <c r="A215" s="3" t="s">
        <v>5257</v>
      </c>
      <c r="B215" s="3" t="s">
        <v>5258</v>
      </c>
      <c r="C215" s="3" t="s">
        <v>70</v>
      </c>
      <c r="D215" s="3" t="s">
        <v>46</v>
      </c>
      <c r="E215" s="3" t="s">
        <v>4582</v>
      </c>
      <c r="F215" s="3" t="s">
        <v>4668</v>
      </c>
      <c r="G215" s="3" t="s">
        <v>5259</v>
      </c>
      <c r="H215" s="3" t="str">
        <f>HYPERLINK("http://www.jccm.es/sede/tramite/LDM","CONVOCATORIA DE CONCESION DE COMISIONES DE SERVICIO A FUNCIONARIOS/AS DOCENTES DE NIVELES DE ENSEÑANZA NO UNIVERSITARIA EN PUESTOS DEPENDIENTES DE LA CONSEJERIA DE EDUCACION, CULTURA Y DEPORTES")</f>
        <v>CONVOCATORIA DE CONCESION DE COMISIONES DE SERVICIO A FUNCIONARIOS/AS DOCENTES DE NIVELES DE ENSEÑANZA NO UNIVERSITARIA EN PUESTOS DEPENDIENTES DE LA CONSEJERIA DE EDUCACION, CULTURA Y DEPORTES</v>
      </c>
      <c r="I215" s="3" t="s">
        <v>41</v>
      </c>
      <c r="J215" s="3" t="s">
        <v>41</v>
      </c>
      <c r="K215" s="3" t="s">
        <v>42</v>
      </c>
      <c r="L215" s="3" t="s">
        <v>41</v>
      </c>
    </row>
    <row r="216" spans="1:12" ht="69">
      <c r="A216" s="3" t="s">
        <v>5260</v>
      </c>
      <c r="B216" s="3" t="s">
        <v>5261</v>
      </c>
      <c r="C216" s="3" t="s">
        <v>70</v>
      </c>
      <c r="D216" s="3" t="s">
        <v>46</v>
      </c>
      <c r="E216" s="3" t="s">
        <v>4582</v>
      </c>
      <c r="F216" s="3" t="s">
        <v>4587</v>
      </c>
      <c r="G216" s="3" t="s">
        <v>5262</v>
      </c>
      <c r="H216" s="3" t="str">
        <f>HYPERLINK("http://www.jccm.es/sede/tramite/IMH","RENOVACION, RENUNCIA Y PROVISION DE PUESTOS DE TRABAJO EN COMISION DE SERVICIO EN LOS EAEHD Y EAERM DE CASTILLA-LA MANCHA.")</f>
        <v>RENOVACION, RENUNCIA Y PROVISION DE PUESTOS DE TRABAJO EN COMISION DE SERVICIO EN LOS EAEHD Y EAERM DE CASTILLA-LA MANCHA.</v>
      </c>
      <c r="I216" s="3" t="s">
        <v>41</v>
      </c>
      <c r="J216" s="3" t="s">
        <v>41</v>
      </c>
      <c r="K216" s="3" t="s">
        <v>42</v>
      </c>
      <c r="L216" s="3" t="s">
        <v>41</v>
      </c>
    </row>
    <row r="217" spans="1:12" ht="92.1">
      <c r="A217" s="3" t="s">
        <v>5263</v>
      </c>
      <c r="B217" s="3" t="s">
        <v>5264</v>
      </c>
      <c r="C217" s="3" t="s">
        <v>70</v>
      </c>
      <c r="D217" s="3" t="s">
        <v>46</v>
      </c>
      <c r="E217" s="3" t="s">
        <v>4582</v>
      </c>
      <c r="F217" s="3" t="s">
        <v>4587</v>
      </c>
      <c r="G217" s="3" t="s">
        <v>5265</v>
      </c>
      <c r="H217" s="3" t="str">
        <f>HYPERLINK("http://www.jccm.es/sede/tramite/KL8","CONVOCATORIA DE PROCEDIMIENTO PARA LA  PROVISION Y RENOVACION DE PUESTOS EN COMISION DE SERVICIO PARA LOS EQUIPOS DE ATENCION EDUCATIVA PARA EL ALUMNADO CON CEGUERA O DISCAPACIDAD VISUAL GRAVE.")</f>
        <v>CONVOCATORIA DE PROCEDIMIENTO PARA LA  PROVISION Y RENOVACION DE PUESTOS EN COMISION DE SERVICIO PARA LOS EQUIPOS DE ATENCION EDUCATIVA PARA EL ALUMNADO CON CEGUERA O DISCAPACIDAD VISUAL GRAVE.</v>
      </c>
      <c r="I217" s="3" t="s">
        <v>41</v>
      </c>
      <c r="J217" s="3" t="s">
        <v>41</v>
      </c>
      <c r="K217" s="3" t="s">
        <v>42</v>
      </c>
      <c r="L217" s="3" t="s">
        <v>41</v>
      </c>
    </row>
    <row r="218" spans="1:12" ht="80.45">
      <c r="A218" s="3" t="s">
        <v>5266</v>
      </c>
      <c r="B218" s="3" t="s">
        <v>5267</v>
      </c>
      <c r="C218" s="3" t="s">
        <v>70</v>
      </c>
      <c r="D218" s="3" t="s">
        <v>46</v>
      </c>
      <c r="E218" s="3" t="s">
        <v>4582</v>
      </c>
      <c r="F218" s="3" t="s">
        <v>4587</v>
      </c>
      <c r="G218" s="3" t="s">
        <v>5268</v>
      </c>
      <c r="H218" s="3" t="str">
        <f>HYPERLINK("http://www.jccm.es/sede/tramite/L0N","RENOVACION, RENUNCIA Y PROVISION DE PUESTOS DE TRABAJO EN COMISION DE SERVICIO EN LOS CENTROS RECONOCIDOS COMO COMUNIDAD DE APRENDIZAJE DE CASTILLA-LA MANCHA.")</f>
        <v>RENOVACION, RENUNCIA Y PROVISION DE PUESTOS DE TRABAJO EN COMISION DE SERVICIO EN LOS CENTROS RECONOCIDOS COMO COMUNIDAD DE APRENDIZAJE DE CASTILLA-LA MANCHA.</v>
      </c>
      <c r="I218" s="3" t="s">
        <v>41</v>
      </c>
      <c r="J218" s="3" t="s">
        <v>41</v>
      </c>
      <c r="K218" s="3" t="s">
        <v>42</v>
      </c>
      <c r="L218" s="3" t="s">
        <v>41</v>
      </c>
    </row>
    <row r="219" spans="1:12" ht="80.45">
      <c r="A219" s="3" t="s">
        <v>5269</v>
      </c>
      <c r="B219" s="3" t="s">
        <v>5270</v>
      </c>
      <c r="C219" s="3" t="s">
        <v>70</v>
      </c>
      <c r="D219" s="3" t="s">
        <v>46</v>
      </c>
      <c r="E219" s="3" t="s">
        <v>4582</v>
      </c>
      <c r="F219" s="3" t="s">
        <v>4587</v>
      </c>
      <c r="G219" s="3" t="s">
        <v>5271</v>
      </c>
      <c r="H219" s="3" t="str">
        <f>HYPERLINK("http://www.jccm.es/sede/tramite/LVT","RENOVACION, RENUNCIA Y PROVISION DE PUESTOS DE TRABAJO EN COMISION DE SERVICIO PARA CONFORMAR UNIDADES DE ACOMPAÑAMIENTO Y ORIENTACION-C-LM.")</f>
        <v>RENOVACION, RENUNCIA Y PROVISION DE PUESTOS DE TRABAJO EN COMISION DE SERVICIO PARA CONFORMAR UNIDADES DE ACOMPAÑAMIENTO Y ORIENTACION-C-LM.</v>
      </c>
      <c r="I219" s="3" t="s">
        <v>41</v>
      </c>
      <c r="J219" s="3" t="s">
        <v>41</v>
      </c>
      <c r="K219" s="3" t="s">
        <v>42</v>
      </c>
      <c r="L219" s="3" t="s">
        <v>41</v>
      </c>
    </row>
    <row r="220" spans="1:12" ht="92.1">
      <c r="A220" s="3" t="s">
        <v>5272</v>
      </c>
      <c r="B220" s="3" t="s">
        <v>5273</v>
      </c>
      <c r="C220" s="3" t="s">
        <v>70</v>
      </c>
      <c r="D220" s="3" t="s">
        <v>46</v>
      </c>
      <c r="E220" s="3" t="s">
        <v>4582</v>
      </c>
      <c r="F220" s="3" t="s">
        <v>4582</v>
      </c>
      <c r="G220" s="3" t="s">
        <v>5274</v>
      </c>
      <c r="H220" s="3" t="str">
        <f>HYPERLINK("http://www.jccm.es/sede/tramite/LW9","PROVISION DE COMISIONES DE SERVICIO PARA LA OFERTA DE CARACTER EXPERIMENTAL DE LOS CURSOS DE ESPECIALIZACION EN FABRICACION ADITIVA Y EN AERONAVES PILOTADAS DE FORMA REMOTA-DRONES")</f>
        <v>PROVISION DE COMISIONES DE SERVICIO PARA LA OFERTA DE CARACTER EXPERIMENTAL DE LOS CURSOS DE ESPECIALIZACION EN FABRICACION ADITIVA Y EN AERONAVES PILOTADAS DE FORMA REMOTA-DRONES</v>
      </c>
      <c r="I220" s="3" t="s">
        <v>41</v>
      </c>
      <c r="J220" s="3" t="s">
        <v>41</v>
      </c>
      <c r="K220" s="3" t="s">
        <v>42</v>
      </c>
      <c r="L220" s="3" t="s">
        <v>41</v>
      </c>
    </row>
    <row r="221" spans="1:12" ht="207">
      <c r="A221" s="3" t="s">
        <v>5275</v>
      </c>
      <c r="B221" s="3" t="s">
        <v>5276</v>
      </c>
      <c r="C221" s="3" t="s">
        <v>1899</v>
      </c>
      <c r="D221" s="3" t="s">
        <v>95</v>
      </c>
      <c r="E221" s="3" t="s">
        <v>4582</v>
      </c>
      <c r="F221" s="3" t="s">
        <v>4668</v>
      </c>
      <c r="G221" s="3" t="s">
        <v>5277</v>
      </c>
      <c r="H221" s="3" t="str">
        <f>HYPERLINK("http://www.jccm.es/sede/tramite/L77","COMUNICACION  DE PRESUNTO ACOSO LABORAL EN EL AMBITO EDUCATIVO")</f>
        <v>COMUNICACION  DE PRESUNTO ACOSO LABORAL EN EL AMBITO EDUCATIVO</v>
      </c>
      <c r="I221" s="3" t="s">
        <v>41</v>
      </c>
      <c r="J221" s="3" t="s">
        <v>41</v>
      </c>
      <c r="K221" s="3" t="s">
        <v>42</v>
      </c>
      <c r="L221" s="3" t="s">
        <v>41</v>
      </c>
    </row>
    <row r="222" spans="1:12" ht="57.6">
      <c r="A222" s="3" t="s">
        <v>5278</v>
      </c>
      <c r="B222" s="3" t="s">
        <v>5279</v>
      </c>
      <c r="C222" s="3" t="s">
        <v>45</v>
      </c>
      <c r="D222" s="3" t="s">
        <v>46</v>
      </c>
      <c r="E222" s="3" t="s">
        <v>4582</v>
      </c>
      <c r="F222" s="3" t="s">
        <v>4610</v>
      </c>
      <c r="G222" s="3" t="s">
        <v>5280</v>
      </c>
      <c r="H222" s="3" t="str">
        <f>HYPERLINK("http://www.jccm.es/sede/tramite/JQX","AUTORIZACION DEL CAMBIO DE USO DE LOS BIENES DE INTERES CULTURAL")</f>
        <v>AUTORIZACION DEL CAMBIO DE USO DE LOS BIENES DE INTERES CULTURAL</v>
      </c>
      <c r="I222" s="3" t="s">
        <v>42</v>
      </c>
      <c r="J222" s="3" t="s">
        <v>41</v>
      </c>
      <c r="K222" s="3" t="s">
        <v>42</v>
      </c>
      <c r="L222" s="3" t="s">
        <v>41</v>
      </c>
    </row>
    <row r="223" spans="1:12" ht="57.6">
      <c r="A223" s="3" t="s">
        <v>5281</v>
      </c>
      <c r="B223" s="3" t="s">
        <v>5282</v>
      </c>
      <c r="C223" s="3" t="s">
        <v>327</v>
      </c>
      <c r="D223" s="3" t="s">
        <v>46</v>
      </c>
      <c r="E223" s="3" t="s">
        <v>4582</v>
      </c>
      <c r="F223" s="3" t="s">
        <v>4610</v>
      </c>
      <c r="G223" s="3" t="s">
        <v>5283</v>
      </c>
      <c r="H223" s="3" t="str">
        <f>HYPERLINK("http://www.jccm.es/sede/tramite/J0G","CONVOCATORIA A LAS PERSONAS FISICAS Y JURIDICAS DEDICADAS A LA ACTIVIDAD EDITORIAL PARA SU INCLUSION EN EL CATALOGO DE OBRAS DE CARACTER DOCUMENTAL DE INTERES PARA C-LM")</f>
        <v>CONVOCATORIA A LAS PERSONAS FISICAS Y JURIDICAS DEDICADAS A LA ACTIVIDAD EDITORIAL PARA SU INCLUSION EN EL CATALOGO DE OBRAS DE CARACTER DOCUMENTAL DE INTERES PARA C-LM</v>
      </c>
      <c r="I223" s="3" t="s">
        <v>42</v>
      </c>
      <c r="J223" s="3" t="s">
        <v>41</v>
      </c>
      <c r="K223" s="3" t="s">
        <v>42</v>
      </c>
      <c r="L223" s="3" t="s">
        <v>41</v>
      </c>
    </row>
    <row r="224" spans="1:12" ht="92.1">
      <c r="A224" s="3" t="s">
        <v>5284</v>
      </c>
      <c r="B224" s="3" t="s">
        <v>5285</v>
      </c>
      <c r="C224" s="3" t="s">
        <v>700</v>
      </c>
      <c r="D224" s="3" t="s">
        <v>46</v>
      </c>
      <c r="E224" s="3" t="s">
        <v>4582</v>
      </c>
      <c r="F224" s="3" t="s">
        <v>4591</v>
      </c>
      <c r="G224" s="3" t="s">
        <v>5286</v>
      </c>
      <c r="H224" s="3" t="str">
        <f>HYPERLINK("http://www.jccm.es/sede/tramite/L2Z","PARTICIPACION DE LOS CENTROS DOCENTES EN EL PROYECTO FORMACION EN COMPETENCIA  (STEAM) EN PRIMARIA,SECUNDARIA, REGIMEN ESPECIAL Y EDUCACION DE PERSONAS ADULTAS.")</f>
        <v>PARTICIPACION DE LOS CENTROS DOCENTES EN EL PROYECTO FORMACION EN COMPETENCIA  (STEAM) EN PRIMARIA,SECUNDARIA, REGIMEN ESPECIAL Y EDUCACION DE PERSONAS ADULTAS.</v>
      </c>
      <c r="I224" s="3" t="s">
        <v>41</v>
      </c>
      <c r="J224" s="3" t="s">
        <v>41</v>
      </c>
      <c r="K224" s="3" t="s">
        <v>42</v>
      </c>
      <c r="L224" s="3" t="s">
        <v>41</v>
      </c>
    </row>
    <row r="225" spans="1:12" ht="92.1">
      <c r="A225" s="3" t="s">
        <v>5287</v>
      </c>
      <c r="B225" s="3" t="s">
        <v>5288</v>
      </c>
      <c r="C225" s="3" t="s">
        <v>45</v>
      </c>
      <c r="D225" s="3" t="s">
        <v>46</v>
      </c>
      <c r="E225" s="3" t="s">
        <v>4582</v>
      </c>
      <c r="F225" s="3" t="s">
        <v>4591</v>
      </c>
      <c r="G225" s="3" t="s">
        <v>5289</v>
      </c>
      <c r="H225" s="3" t="str">
        <f>HYPERLINK("http://www.jccm.es/sede/tramite/LZF","LIBRAMIENTO DE FONDOS PARA LA IMPLANTACION Y DESARROLLO DEL PROGRAMA DE REFUERZO DE COMPETENCIAS ESPECIFICAS, OCIO RESPONSABLE, CULTURA Y DEPORTE EN CRA Y CENTROS INCOMPLETOS")</f>
        <v>LIBRAMIENTO DE FONDOS PARA LA IMPLANTACION Y DESARROLLO DEL PROGRAMA DE REFUERZO DE COMPETENCIAS ESPECIFICAS, OCIO RESPONSABLE, CULTURA Y DEPORTE EN CRA Y CENTROS INCOMPLETOS</v>
      </c>
      <c r="I225" s="3" t="s">
        <v>41</v>
      </c>
      <c r="J225" s="3" t="s">
        <v>41</v>
      </c>
      <c r="K225" s="3" t="s">
        <v>42</v>
      </c>
      <c r="L225" s="3" t="s">
        <v>41</v>
      </c>
    </row>
    <row r="226" spans="1:12" ht="80.45">
      <c r="A226" s="3" t="s">
        <v>5196</v>
      </c>
      <c r="B226" s="3" t="s">
        <v>5197</v>
      </c>
      <c r="C226" s="3" t="s">
        <v>45</v>
      </c>
      <c r="D226" s="3" t="s">
        <v>46</v>
      </c>
      <c r="E226" s="3" t="s">
        <v>4582</v>
      </c>
      <c r="F226" s="3" t="s">
        <v>4668</v>
      </c>
      <c r="G226" s="3" t="s">
        <v>5198</v>
      </c>
      <c r="H226" s="3" t="str">
        <f>HYPERLINK("http://www.jccm.es/sede/tramite/KJ5","PROCESO DE SELECCION PARA ELABORAR UNA LISTA EXTRAORDINARIA DE ASPIRANTES A OCUPAR PUESTOS COMO INSPECTORES ACCIDENTALES, EN REGIMEN DE COMISION DE SERVICIOS.")</f>
        <v>PROCESO DE SELECCION PARA ELABORAR UNA LISTA EXTRAORDINARIA DE ASPIRANTES A OCUPAR PUESTOS COMO INSPECTORES ACCIDENTALES, EN REGIMEN DE COMISION DE SERVICIOS.</v>
      </c>
      <c r="I226" s="3" t="s">
        <v>41</v>
      </c>
      <c r="J226" s="3" t="s">
        <v>41</v>
      </c>
      <c r="K226" s="3" t="s">
        <v>42</v>
      </c>
      <c r="L226" s="3" t="s">
        <v>41</v>
      </c>
    </row>
    <row r="227" spans="1:12" ht="69">
      <c r="A227" s="3" t="s">
        <v>5199</v>
      </c>
      <c r="B227" s="3" t="s">
        <v>5200</v>
      </c>
      <c r="C227" s="3" t="s">
        <v>45</v>
      </c>
      <c r="D227" s="3" t="s">
        <v>46</v>
      </c>
      <c r="E227" s="3" t="s">
        <v>4582</v>
      </c>
      <c r="F227" s="3" t="s">
        <v>4587</v>
      </c>
      <c r="G227" s="3" t="s">
        <v>5201</v>
      </c>
      <c r="H227" s="3" t="str">
        <f>HYPERLINK("http://www.jccm.es/sede/tramite/KLZ","SOLICITUD Y ADJUDICACION DE AUXILIARES DE CONVERSACION A CENTROS PUBLICOS DOCENTES NO UNIVERSITARIOS")</f>
        <v>SOLICITUD Y ADJUDICACION DE AUXILIARES DE CONVERSACION A CENTROS PUBLICOS DOCENTES NO UNIVERSITARIOS</v>
      </c>
      <c r="I227" s="3" t="s">
        <v>41</v>
      </c>
      <c r="J227" s="3" t="s">
        <v>41</v>
      </c>
      <c r="K227" s="3" t="s">
        <v>42</v>
      </c>
      <c r="L227" s="3" t="s">
        <v>41</v>
      </c>
    </row>
    <row r="228" spans="1:12" ht="80.45">
      <c r="A228" s="3" t="s">
        <v>5290</v>
      </c>
      <c r="B228" s="3" t="s">
        <v>5291</v>
      </c>
      <c r="C228" s="3" t="s">
        <v>327</v>
      </c>
      <c r="D228" s="3" t="s">
        <v>46</v>
      </c>
      <c r="E228" s="3" t="s">
        <v>4582</v>
      </c>
      <c r="F228" s="3" t="s">
        <v>4610</v>
      </c>
      <c r="G228" s="3" t="s">
        <v>5292</v>
      </c>
      <c r="H228" s="3" t="str">
        <f>HYPERLINK("http://www.jccm.es/sede/tramite/IKL","NOMBRAMIENTO DE PERSONAL FUNCIONARIO INTERINO DEL CUERPO TECNICO, ESCALA DE ARCHIVOS, BIBLIOTECAS Y MUSEOS, ESPECIALIDAD DE BIBLIOTECAS.")</f>
        <v>NOMBRAMIENTO DE PERSONAL FUNCIONARIO INTERINO DEL CUERPO TECNICO, ESCALA DE ARCHIVOS, BIBLIOTECAS Y MUSEOS, ESPECIALIDAD DE BIBLIOTECAS.</v>
      </c>
      <c r="I228" s="3" t="s">
        <v>42</v>
      </c>
      <c r="J228" s="3" t="s">
        <v>41</v>
      </c>
      <c r="K228" s="3" t="s">
        <v>42</v>
      </c>
      <c r="L228" s="3" t="s">
        <v>41</v>
      </c>
    </row>
    <row r="229" spans="1:12" ht="57.6">
      <c r="A229" s="3" t="s">
        <v>5202</v>
      </c>
      <c r="B229" s="3" t="s">
        <v>5203</v>
      </c>
      <c r="C229" s="3" t="s">
        <v>442</v>
      </c>
      <c r="D229" s="3" t="s">
        <v>46</v>
      </c>
      <c r="E229" s="3" t="s">
        <v>4582</v>
      </c>
      <c r="F229" s="3" t="s">
        <v>4591</v>
      </c>
      <c r="G229" s="3" t="s">
        <v>5204</v>
      </c>
      <c r="H229" s="3" t="str">
        <f>HYPERLINK("http://www.jccm.es/sede/tramite/KVM","CONVOCATORIA DE GRUPOS DE TRABAJO, SEMINARIOS Y CURSOS DE FORMACION EN CENTROS EDUCATIVOS")</f>
        <v>CONVOCATORIA DE GRUPOS DE TRABAJO, SEMINARIOS Y CURSOS DE FORMACION EN CENTROS EDUCATIVOS</v>
      </c>
      <c r="I229" s="3" t="s">
        <v>41</v>
      </c>
      <c r="J229" s="3" t="s">
        <v>41</v>
      </c>
      <c r="K229" s="3" t="s">
        <v>42</v>
      </c>
      <c r="L229" s="3" t="s">
        <v>41</v>
      </c>
    </row>
    <row r="230" spans="1:12" ht="45.95">
      <c r="A230" s="3" t="s">
        <v>5205</v>
      </c>
      <c r="B230" s="3" t="s">
        <v>5206</v>
      </c>
      <c r="C230" s="3" t="s">
        <v>51</v>
      </c>
      <c r="D230" s="3" t="s">
        <v>46</v>
      </c>
      <c r="E230" s="3" t="s">
        <v>4582</v>
      </c>
      <c r="F230" s="3" t="s">
        <v>4582</v>
      </c>
      <c r="G230" s="3" t="s">
        <v>5207</v>
      </c>
      <c r="H230" s="3" t="str">
        <f>HYPERLINK("http://www.jccm.es/sede/tramite/KWP","ACREDITACION DE NUEVOS DE MERITOS EN BOLSAS PROVINCIALES DEL PROFESORADO DE RELIGION")</f>
        <v>ACREDITACION DE NUEVOS DE MERITOS EN BOLSAS PROVINCIALES DEL PROFESORADO DE RELIGION</v>
      </c>
      <c r="I230" s="3" t="s">
        <v>41</v>
      </c>
      <c r="J230" s="3" t="s">
        <v>41</v>
      </c>
      <c r="K230" s="3" t="s">
        <v>42</v>
      </c>
      <c r="L230" s="3" t="s">
        <v>41</v>
      </c>
    </row>
    <row r="231" spans="1:12" ht="207">
      <c r="A231" s="3" t="s">
        <v>5293</v>
      </c>
      <c r="B231" s="3" t="s">
        <v>5294</v>
      </c>
      <c r="C231" s="3" t="s">
        <v>1899</v>
      </c>
      <c r="D231" s="3" t="s">
        <v>95</v>
      </c>
      <c r="E231" s="3" t="s">
        <v>4582</v>
      </c>
      <c r="F231" s="3" t="s">
        <v>4668</v>
      </c>
      <c r="G231" s="3" t="s">
        <v>5277</v>
      </c>
      <c r="H231" s="3" t="str">
        <f>HYPERLINK("http://www.jccm.es/sede/tramite/L77","COMUNICACION  DE PRESUNTO ACOSO LABORAL EN EL AMBITO EDUCATIVO")</f>
        <v>COMUNICACION  DE PRESUNTO ACOSO LABORAL EN EL AMBITO EDUCATIVO</v>
      </c>
      <c r="I231" s="3" t="s">
        <v>41</v>
      </c>
      <c r="J231" s="3" t="s">
        <v>41</v>
      </c>
      <c r="K231" s="3" t="s">
        <v>42</v>
      </c>
      <c r="L231" s="3" t="s">
        <v>41</v>
      </c>
    </row>
    <row r="232" spans="1:12" ht="114.95">
      <c r="A232" s="3" t="s">
        <v>5208</v>
      </c>
      <c r="B232" s="3" t="s">
        <v>5209</v>
      </c>
      <c r="C232" s="3" t="s">
        <v>45</v>
      </c>
      <c r="D232" s="3" t="s">
        <v>46</v>
      </c>
      <c r="E232" s="3" t="s">
        <v>4582</v>
      </c>
      <c r="F232" s="3" t="s">
        <v>4587</v>
      </c>
      <c r="G232" s="3" t="s">
        <v>5210</v>
      </c>
      <c r="H232" s="3" t="str">
        <f>HYPERLINK("http://www.jccm.es/sede/tramite/L1U","PROCEDIMIENTO DE CONSTITUCION DE LAS COMISIONES DE ELABORACION DE PRUEBAS DE CERTIFICACION DE NIVEL DE COMPETENCIA LINGUISTICA DE ENSEÑANZAS DE IDIOMAS DE REGIMEN ESPECIAL.")</f>
        <v>PROCEDIMIENTO DE CONSTITUCION DE LAS COMISIONES DE ELABORACION DE PRUEBAS DE CERTIFICACION DE NIVEL DE COMPETENCIA LINGUISTICA DE ENSEÑANZAS DE IDIOMAS DE REGIMEN ESPECIAL.</v>
      </c>
      <c r="I232" s="3" t="s">
        <v>41</v>
      </c>
      <c r="J232" s="3" t="s">
        <v>41</v>
      </c>
      <c r="K232" s="3" t="s">
        <v>42</v>
      </c>
      <c r="L232" s="3" t="s">
        <v>41</v>
      </c>
    </row>
    <row r="233" spans="1:12" ht="69">
      <c r="A233" s="3" t="s">
        <v>5211</v>
      </c>
      <c r="B233" s="3" t="s">
        <v>5212</v>
      </c>
      <c r="C233" s="3" t="s">
        <v>5213</v>
      </c>
      <c r="D233" s="3" t="s">
        <v>95</v>
      </c>
      <c r="E233" s="3" t="s">
        <v>4582</v>
      </c>
      <c r="F233" s="3" t="s">
        <v>4668</v>
      </c>
      <c r="G233" s="3" t="s">
        <v>5214</v>
      </c>
      <c r="H233" s="3" t="str">
        <f>HYPERLINK("http://www.jccm.es/sede/tramite/LK2","COMUNICACION DE PRESUNTO ACOSO SEXUAL O POR RAZON DE SEXO AL PERSONAL EN EL  AMBITO EDUCATIVO")</f>
        <v>COMUNICACION DE PRESUNTO ACOSO SEXUAL O POR RAZON DE SEXO AL PERSONAL EN EL  AMBITO EDUCATIVO</v>
      </c>
      <c r="I233" s="3" t="s">
        <v>42</v>
      </c>
      <c r="J233" s="3" t="s">
        <v>41</v>
      </c>
      <c r="K233" s="3" t="s">
        <v>42</v>
      </c>
      <c r="L233" s="3" t="s">
        <v>41</v>
      </c>
    </row>
    <row r="234" spans="1:12" ht="92.1">
      <c r="A234" s="3" t="s">
        <v>5215</v>
      </c>
      <c r="B234" s="3" t="s">
        <v>5216</v>
      </c>
      <c r="C234" s="3" t="s">
        <v>51</v>
      </c>
      <c r="D234" s="3" t="s">
        <v>46</v>
      </c>
      <c r="E234" s="3" t="s">
        <v>4582</v>
      </c>
      <c r="F234" s="3" t="s">
        <v>4668</v>
      </c>
      <c r="G234" s="3" t="s">
        <v>5217</v>
      </c>
      <c r="H234" s="3" t="str">
        <f>HYPERLINK("http://www.jccm.es/sede/tramite/LLY","PROCESO MOVILIDAD  PARAR LA PROVISION DE PUESTOS DEL PROFESORADO RELIGION EN LOS CENTROS DOCENTES PUBLICOS NO UNIVERSITARIOS DEPENDIENTES DE CASTILLA - LA MANCHA")</f>
        <v>PROCESO MOVILIDAD  PARAR LA PROVISION DE PUESTOS DEL PROFESORADO RELIGION EN LOS CENTROS DOCENTES PUBLICOS NO UNIVERSITARIOS DEPENDIENTES DE CASTILLA - LA MANCHA</v>
      </c>
      <c r="I234" s="3" t="s">
        <v>41</v>
      </c>
      <c r="J234" s="3" t="s">
        <v>41</v>
      </c>
      <c r="K234" s="3" t="s">
        <v>42</v>
      </c>
      <c r="L234" s="3" t="s">
        <v>41</v>
      </c>
    </row>
    <row r="235" spans="1:12" ht="114.95">
      <c r="A235" s="3" t="s">
        <v>5218</v>
      </c>
      <c r="B235" s="3" t="s">
        <v>5219</v>
      </c>
      <c r="C235" s="3" t="s">
        <v>45</v>
      </c>
      <c r="D235" s="3" t="s">
        <v>46</v>
      </c>
      <c r="E235" s="3" t="s">
        <v>4582</v>
      </c>
      <c r="F235" s="3" t="s">
        <v>4582</v>
      </c>
      <c r="G235" s="3" t="s">
        <v>5220</v>
      </c>
      <c r="H235" s="3" t="str">
        <f>HYPERLINK("http://www.jccm.es/sede/tramite/LNM","LIQUIDACION DE GASTOS POR TRASLADOS, ALOJAMIENTO Y MANUTENCION DEL PROFESORADO DE FP PARTICIPANTE EN ACCIONES FORMATIVAS ORGANIZADAS POR EL CRFP")</f>
        <v>LIQUIDACION DE GASTOS POR TRASLADOS, ALOJAMIENTO Y MANUTENCION DEL PROFESORADO DE FP PARTICIPANTE EN ACCIONES FORMATIVAS ORGANIZADAS POR EL CRFP</v>
      </c>
      <c r="I235" s="3" t="s">
        <v>42</v>
      </c>
      <c r="J235" s="3" t="s">
        <v>41</v>
      </c>
      <c r="K235" s="3" t="s">
        <v>42</v>
      </c>
      <c r="L235" s="3" t="s">
        <v>41</v>
      </c>
    </row>
    <row r="236" spans="1:12" ht="92.1">
      <c r="A236" s="3" t="s">
        <v>5221</v>
      </c>
      <c r="B236" s="3" t="s">
        <v>5222</v>
      </c>
      <c r="C236" s="3" t="s">
        <v>5223</v>
      </c>
      <c r="D236" s="3" t="s">
        <v>46</v>
      </c>
      <c r="E236" s="3" t="s">
        <v>4582</v>
      </c>
      <c r="F236" s="3" t="s">
        <v>4603</v>
      </c>
      <c r="G236" s="3" t="s">
        <v>5224</v>
      </c>
      <c r="H236" s="3" t="str">
        <f>HYPERLINK("http://www.jccm.es/sede/tramite/LTJ","PROVISION DE PUESTOS DE TRABAJO DE PERSONAL FUNCIONARIO POR EL PROCEDIMIENTO DE LIBRE DESIGNACION (LD EDCD F2/2022) EN LA CONSEJERIA DE EDUCACION, CULTURA Y DEPORTES.")</f>
        <v>PROVISION DE PUESTOS DE TRABAJO DE PERSONAL FUNCIONARIO POR EL PROCEDIMIENTO DE LIBRE DESIGNACION (LD EDCD F2/2022) EN LA CONSEJERIA DE EDUCACION, CULTURA Y DEPORTES.</v>
      </c>
      <c r="I236" s="3" t="s">
        <v>41</v>
      </c>
      <c r="J236" s="3" t="s">
        <v>41</v>
      </c>
      <c r="K236" s="3" t="s">
        <v>42</v>
      </c>
      <c r="L236" s="3" t="s">
        <v>41</v>
      </c>
    </row>
    <row r="237" spans="1:12" ht="80.45">
      <c r="A237" s="3" t="s">
        <v>5225</v>
      </c>
      <c r="B237" s="3" t="s">
        <v>5226</v>
      </c>
      <c r="C237" s="3" t="s">
        <v>45</v>
      </c>
      <c r="D237" s="3" t="s">
        <v>46</v>
      </c>
      <c r="E237" s="3" t="s">
        <v>4582</v>
      </c>
      <c r="F237" s="3" t="s">
        <v>4587</v>
      </c>
      <c r="G237" s="3" t="s">
        <v>5227</v>
      </c>
      <c r="H237" s="3" t="str">
        <f>HYPERLINK("http://www.jccm.es/sede/tramite/LYH","SOLICITUD DE ADJUDICACION DE AUXILIARES DE CONVERSACION A CENTROS PUBLICOS DOCENTES NO UNIVERSITARIOS CON PROYECTOS BILINGUES EN CICLOS FORMATIVOS DE FORMACION PROFESIONAL.")</f>
        <v>SOLICITUD DE ADJUDICACION DE AUXILIARES DE CONVERSACION A CENTROS PUBLICOS DOCENTES NO UNIVERSITARIOS CON PROYECTOS BILINGUES EN CICLOS FORMATIVOS DE FORMACION PROFESIONAL.</v>
      </c>
      <c r="I237" s="3" t="s">
        <v>41</v>
      </c>
      <c r="J237" s="3" t="s">
        <v>41</v>
      </c>
      <c r="K237" s="3" t="s">
        <v>42</v>
      </c>
      <c r="L237" s="3" t="s">
        <v>41</v>
      </c>
    </row>
    <row r="238" spans="1:12" ht="57.6">
      <c r="A238" s="3" t="s">
        <v>5278</v>
      </c>
      <c r="B238" s="3" t="s">
        <v>5279</v>
      </c>
      <c r="C238" s="3" t="s">
        <v>45</v>
      </c>
      <c r="D238" s="3" t="s">
        <v>46</v>
      </c>
      <c r="E238" s="3" t="s">
        <v>4582</v>
      </c>
      <c r="F238" s="3" t="s">
        <v>4610</v>
      </c>
      <c r="G238" s="3" t="s">
        <v>5280</v>
      </c>
      <c r="H238" s="3" t="str">
        <f>HYPERLINK("http://www.jccm.es/sede/tramite/JQX","AUTORIZACION DEL CAMBIO DE USO DE LOS BIENES DE INTERES CULTURAL")</f>
        <v>AUTORIZACION DEL CAMBIO DE USO DE LOS BIENES DE INTERES CULTURAL</v>
      </c>
      <c r="I238" s="3" t="s">
        <v>42</v>
      </c>
      <c r="J238" s="3" t="s">
        <v>41</v>
      </c>
      <c r="K238" s="3" t="s">
        <v>42</v>
      </c>
      <c r="L238" s="3" t="s">
        <v>41</v>
      </c>
    </row>
    <row r="239" spans="1:12" ht="57.6">
      <c r="A239" s="3" t="s">
        <v>5281</v>
      </c>
      <c r="B239" s="3" t="s">
        <v>5282</v>
      </c>
      <c r="C239" s="3" t="s">
        <v>327</v>
      </c>
      <c r="D239" s="3" t="s">
        <v>46</v>
      </c>
      <c r="E239" s="3" t="s">
        <v>4582</v>
      </c>
      <c r="F239" s="3" t="s">
        <v>4610</v>
      </c>
      <c r="G239" s="3" t="s">
        <v>5283</v>
      </c>
      <c r="H239" s="3" t="str">
        <f>HYPERLINK("http://www.jccm.es/sede/tramite/J0G","CONVOCATORIA A LAS PERSONAS FISICAS Y JURIDICAS DEDICADAS A LA ACTIVIDAD EDITORIAL PARA SU INCLUSION EN EL CATALOGO DE OBRAS DE CARACTER DOCUMENTAL DE INTERES PARA C-LM")</f>
        <v>CONVOCATORIA A LAS PERSONAS FISICAS Y JURIDICAS DEDICADAS A LA ACTIVIDAD EDITORIAL PARA SU INCLUSION EN EL CATALOGO DE OBRAS DE CARACTER DOCUMENTAL DE INTERES PARA C-LM</v>
      </c>
      <c r="I239" s="3" t="s">
        <v>42</v>
      </c>
      <c r="J239" s="3" t="s">
        <v>41</v>
      </c>
      <c r="K239" s="3" t="s">
        <v>42</v>
      </c>
      <c r="L239" s="3" t="s">
        <v>41</v>
      </c>
    </row>
    <row r="240" spans="1:12" ht="92.1">
      <c r="A240" s="3" t="s">
        <v>5284</v>
      </c>
      <c r="B240" s="3" t="s">
        <v>5285</v>
      </c>
      <c r="C240" s="3" t="s">
        <v>700</v>
      </c>
      <c r="D240" s="3" t="s">
        <v>46</v>
      </c>
      <c r="E240" s="3" t="s">
        <v>4582</v>
      </c>
      <c r="F240" s="3" t="s">
        <v>4591</v>
      </c>
      <c r="G240" s="3" t="s">
        <v>5286</v>
      </c>
      <c r="H240" s="3" t="str">
        <f>HYPERLINK("http://www.jccm.es/sede/tramite/L2Z","PARTICIPACION DE LOS CENTROS DOCENTES EN EL PROYECTO FORMACION EN COMPETENCIA  (STEAM) EN PRIMARIA,SECUNDARIA, REGIMEN ESPECIAL Y EDUCACION DE PERSONAS ADULTAS.")</f>
        <v>PARTICIPACION DE LOS CENTROS DOCENTES EN EL PROYECTO FORMACION EN COMPETENCIA  (STEAM) EN PRIMARIA,SECUNDARIA, REGIMEN ESPECIAL Y EDUCACION DE PERSONAS ADULTAS.</v>
      </c>
      <c r="I240" s="3" t="s">
        <v>41</v>
      </c>
      <c r="J240" s="3" t="s">
        <v>41</v>
      </c>
      <c r="K240" s="3" t="s">
        <v>42</v>
      </c>
      <c r="L240" s="3" t="s">
        <v>41</v>
      </c>
    </row>
  </sheetData>
  <phoneticPr fontId="1" type="noConversion"/>
  <printOptions horizontalCentered="1"/>
  <pageMargins left="0.27559055118110237" right="0.23622047244094491" top="0.70866141732283472" bottom="0.43307086614173229" header="0.31496062992125984" footer="0.19685039370078741"/>
  <pageSetup paperSize="9" scale="70" orientation="landscape" r:id="rId1"/>
  <headerFooter alignWithMargins="0">
    <oddHeader>&amp;C&amp;9Consejería de Educación, Cultura y Deportes</oddHeader>
    <oddFooter>&amp;CPágina &amp;P</oddFooter>
  </headerFooter>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M116"/>
  <sheetViews>
    <sheetView topLeftCell="C1" zoomScaleNormal="100" workbookViewId="0">
      <selection activeCell="M3" sqref="M3"/>
    </sheetView>
  </sheetViews>
  <sheetFormatPr defaultColWidth="11.42578125" defaultRowHeight="11.45"/>
  <cols>
    <col min="1" max="1" width="15.5703125" style="1" customWidth="1"/>
    <col min="2" max="2" width="32.140625" style="1" customWidth="1"/>
    <col min="3" max="3" width="21.140625" style="1" customWidth="1"/>
    <col min="4" max="4" width="14.85546875" style="1" customWidth="1"/>
    <col min="5" max="5" width="19.42578125" style="1" customWidth="1"/>
    <col min="6" max="6" width="18.140625" style="1" customWidth="1"/>
    <col min="7" max="7" width="11.140625" style="1" bestFit="1" customWidth="1"/>
    <col min="8" max="8" width="36.85546875" style="1" customWidth="1"/>
    <col min="9" max="9" width="11.28515625" style="1" bestFit="1" customWidth="1"/>
    <col min="10" max="10" width="4" style="1" bestFit="1" customWidth="1"/>
    <col min="11" max="11" width="7" style="1" bestFit="1" customWidth="1"/>
    <col min="12" max="12" width="5.5703125" style="1" bestFit="1" customWidth="1"/>
    <col min="13" max="16384" width="11.42578125" style="1"/>
  </cols>
  <sheetData>
    <row r="1" spans="1:12" ht="23.1">
      <c r="A1" s="2" t="s">
        <v>25</v>
      </c>
      <c r="B1" s="2" t="s">
        <v>26</v>
      </c>
      <c r="C1" s="2" t="s">
        <v>27</v>
      </c>
      <c r="D1" s="2" t="s">
        <v>2</v>
      </c>
      <c r="E1" s="2" t="s">
        <v>6752</v>
      </c>
      <c r="F1" s="2" t="s">
        <v>3</v>
      </c>
      <c r="G1" s="2" t="s">
        <v>28</v>
      </c>
      <c r="H1" s="2" t="s">
        <v>29</v>
      </c>
      <c r="I1" s="2" t="s">
        <v>30</v>
      </c>
      <c r="J1" s="4" t="s">
        <v>31</v>
      </c>
      <c r="K1" s="2" t="s">
        <v>32</v>
      </c>
      <c r="L1" s="2" t="s">
        <v>33</v>
      </c>
    </row>
    <row r="2" spans="1:12" ht="45.95">
      <c r="A2" s="3" t="s">
        <v>5295</v>
      </c>
      <c r="B2" s="3" t="s">
        <v>5296</v>
      </c>
      <c r="C2" s="3" t="s">
        <v>45</v>
      </c>
      <c r="D2" s="3" t="s">
        <v>46</v>
      </c>
      <c r="E2" s="3" t="s">
        <v>5297</v>
      </c>
      <c r="F2" s="3" t="s">
        <v>5298</v>
      </c>
      <c r="G2" s="3" t="s">
        <v>5299</v>
      </c>
      <c r="H2" s="3" t="str">
        <f>HYPERLINK("http://www.jccm.es/sede/tramite/J7B","AUTORIZACION DE ESTABLECIMIENTO DE ESTACIONES DE SERVICIO EN CARRETERAS TITULARIDAD DE LA JUNTA DE COMUNIDADES")</f>
        <v>AUTORIZACION DE ESTABLECIMIENTO DE ESTACIONES DE SERVICIO EN CARRETERAS TITULARIDAD DE LA JUNTA DE COMUNIDADES</v>
      </c>
      <c r="I2" s="3" t="s">
        <v>42</v>
      </c>
      <c r="J2" s="3" t="s">
        <v>41</v>
      </c>
      <c r="K2" s="3" t="s">
        <v>42</v>
      </c>
      <c r="L2" s="3" t="s">
        <v>42</v>
      </c>
    </row>
    <row r="3" spans="1:12" ht="45.95">
      <c r="A3" s="3" t="s">
        <v>5300</v>
      </c>
      <c r="B3" s="3" t="s">
        <v>5301</v>
      </c>
      <c r="C3" s="3" t="s">
        <v>45</v>
      </c>
      <c r="D3" s="3" t="s">
        <v>46</v>
      </c>
      <c r="E3" s="3" t="s">
        <v>5297</v>
      </c>
      <c r="F3" s="3" t="s">
        <v>5298</v>
      </c>
      <c r="G3" s="3" t="s">
        <v>5302</v>
      </c>
      <c r="H3" s="3" t="str">
        <f>HYPERLINK("http://www.jccm.es/sede/tramite/127","AUTORIZACION DE ACCESOS A CARRETERAS O CAMBIO DE USO DE LOS EXISTENTES EN CARRETERAS DE LA JUNTA DE COMUNIDADES")</f>
        <v>AUTORIZACION DE ACCESOS A CARRETERAS O CAMBIO DE USO DE LOS EXISTENTES EN CARRETERAS DE LA JUNTA DE COMUNIDADES</v>
      </c>
      <c r="I3" s="3" t="s">
        <v>42</v>
      </c>
      <c r="J3" s="3" t="s">
        <v>41</v>
      </c>
      <c r="K3" s="3" t="s">
        <v>42</v>
      </c>
      <c r="L3" s="3" t="s">
        <v>41</v>
      </c>
    </row>
    <row r="4" spans="1:12" ht="45.95">
      <c r="A4" s="3" t="s">
        <v>5303</v>
      </c>
      <c r="B4" s="3" t="s">
        <v>5304</v>
      </c>
      <c r="C4" s="3" t="s">
        <v>45</v>
      </c>
      <c r="D4" s="3" t="s">
        <v>46</v>
      </c>
      <c r="E4" s="3" t="s">
        <v>5297</v>
      </c>
      <c r="F4" s="3" t="s">
        <v>5298</v>
      </c>
      <c r="G4" s="3" t="s">
        <v>5305</v>
      </c>
      <c r="H4" s="3" t="str">
        <f>HYPERLINK("http://www.jccm.es/sede/tramite/241","AUTORIZACION DE OBRAS DE CONDUCCION, EN PARALELO O CRUCE, EN CARRETERAS TITULARIDAD DE LA JUNTA DE COMUNIDADES")</f>
        <v>AUTORIZACION DE OBRAS DE CONDUCCION, EN PARALELO O CRUCE, EN CARRETERAS TITULARIDAD DE LA JUNTA DE COMUNIDADES</v>
      </c>
      <c r="I4" s="3" t="s">
        <v>42</v>
      </c>
      <c r="J4" s="3" t="s">
        <v>41</v>
      </c>
      <c r="K4" s="3" t="s">
        <v>42</v>
      </c>
      <c r="L4" s="3" t="s">
        <v>41</v>
      </c>
    </row>
    <row r="5" spans="1:12" ht="57.6">
      <c r="A5" s="3" t="s">
        <v>5306</v>
      </c>
      <c r="B5" s="3" t="s">
        <v>5307</v>
      </c>
      <c r="C5" s="3" t="s">
        <v>45</v>
      </c>
      <c r="D5" s="3" t="s">
        <v>46</v>
      </c>
      <c r="E5" s="3" t="s">
        <v>5297</v>
      </c>
      <c r="F5" s="3" t="s">
        <v>5298</v>
      </c>
      <c r="G5" s="3" t="s">
        <v>5308</v>
      </c>
      <c r="H5" s="3" t="str">
        <f>HYPERLINK("http://www.jccm.es/sede/tramite/J4Z","AUTORIZACION PARA ACTIVIDADES DIVERSAS EN LAS ZONAS DE SERVIDUMBRE Y DE PROTECCION DE LAS CARRETERAS TITULARIDAD DE LA JUNTA DE COMUNIDADES")</f>
        <v>AUTORIZACION PARA ACTIVIDADES DIVERSAS EN LAS ZONAS DE SERVIDUMBRE Y DE PROTECCION DE LAS CARRETERAS TITULARIDAD DE LA JUNTA DE COMUNIDADES</v>
      </c>
      <c r="I5" s="3" t="s">
        <v>41</v>
      </c>
      <c r="J5" s="3" t="s">
        <v>41</v>
      </c>
      <c r="K5" s="3" t="s">
        <v>42</v>
      </c>
      <c r="L5" s="3" t="s">
        <v>41</v>
      </c>
    </row>
    <row r="6" spans="1:12" ht="45.95">
      <c r="A6" s="3" t="s">
        <v>5309</v>
      </c>
      <c r="B6" s="3" t="s">
        <v>5310</v>
      </c>
      <c r="C6" s="3" t="s">
        <v>45</v>
      </c>
      <c r="D6" s="3" t="s">
        <v>46</v>
      </c>
      <c r="E6" s="3" t="s">
        <v>5297</v>
      </c>
      <c r="F6" s="3" t="s">
        <v>5298</v>
      </c>
      <c r="G6" s="3" t="s">
        <v>5311</v>
      </c>
      <c r="H6" s="3" t="str">
        <f>HYPERLINK("http://www.jccm.es/sede/tramite/IIX","AUTORIZACION PARA LA INSTALACION DE CARTELES INFORMATIVOS (SIN PUBLICIDAD)")</f>
        <v>AUTORIZACION PARA LA INSTALACION DE CARTELES INFORMATIVOS (SIN PUBLICIDAD)</v>
      </c>
      <c r="I6" s="3" t="s">
        <v>42</v>
      </c>
      <c r="J6" s="3" t="s">
        <v>41</v>
      </c>
      <c r="K6" s="3" t="s">
        <v>42</v>
      </c>
      <c r="L6" s="3" t="s">
        <v>41</v>
      </c>
    </row>
    <row r="7" spans="1:12" ht="45.95">
      <c r="A7" s="3" t="s">
        <v>5312</v>
      </c>
      <c r="B7" s="3" t="s">
        <v>5313</v>
      </c>
      <c r="C7" s="3" t="s">
        <v>45</v>
      </c>
      <c r="D7" s="3" t="s">
        <v>37</v>
      </c>
      <c r="E7" s="3" t="s">
        <v>5297</v>
      </c>
      <c r="F7" s="3" t="s">
        <v>5314</v>
      </c>
      <c r="G7" s="3" t="s">
        <v>5315</v>
      </c>
      <c r="H7" s="3" t="str">
        <f>HYPERLINK("http://www.jccm.es/sede/tramite/JQC","AUTORIZACION DE VENTA DE VIVIENDAS PROTEGIDAS")</f>
        <v>AUTORIZACION DE VENTA DE VIVIENDAS PROTEGIDAS</v>
      </c>
      <c r="I7" s="3" t="s">
        <v>42</v>
      </c>
      <c r="J7" s="3" t="s">
        <v>41</v>
      </c>
      <c r="K7" s="3" t="s">
        <v>42</v>
      </c>
      <c r="L7" s="3" t="s">
        <v>41</v>
      </c>
    </row>
    <row r="8" spans="1:12" ht="45.95">
      <c r="A8" s="3" t="s">
        <v>5316</v>
      </c>
      <c r="B8" s="3" t="s">
        <v>5317</v>
      </c>
      <c r="C8" s="3" t="s">
        <v>45</v>
      </c>
      <c r="D8" s="3" t="s">
        <v>37</v>
      </c>
      <c r="E8" s="3" t="s">
        <v>5297</v>
      </c>
      <c r="F8" s="3" t="s">
        <v>5314</v>
      </c>
      <c r="G8" s="3" t="s">
        <v>5318</v>
      </c>
      <c r="H8" s="3" t="str">
        <f>HYPERLINK("http://www.jccm.es/sede/tramite/JQE","AUTORIZACION  PERCIBO DE CANTIDADES A CUENTA")</f>
        <v>AUTORIZACION  PERCIBO DE CANTIDADES A CUENTA</v>
      </c>
      <c r="I8" s="3" t="s">
        <v>42</v>
      </c>
      <c r="J8" s="3" t="s">
        <v>41</v>
      </c>
      <c r="K8" s="3" t="s">
        <v>42</v>
      </c>
      <c r="L8" s="3" t="s">
        <v>41</v>
      </c>
    </row>
    <row r="9" spans="1:12" ht="57.6">
      <c r="A9" s="3" t="s">
        <v>5319</v>
      </c>
      <c r="B9" s="3" t="s">
        <v>5320</v>
      </c>
      <c r="C9" s="3" t="s">
        <v>45</v>
      </c>
      <c r="D9" s="3" t="s">
        <v>37</v>
      </c>
      <c r="E9" s="3" t="s">
        <v>5297</v>
      </c>
      <c r="F9" s="3" t="s">
        <v>5321</v>
      </c>
      <c r="G9" s="3" t="s">
        <v>5322</v>
      </c>
      <c r="H9" s="3" t="str">
        <f>HYPERLINK("http://www.jccm.es/sede/tramite/059","AUTORIZACION DE TRANSMISION DE CONCESION DE SERVICIO PUBLICO REGULAR DE TRANSPORTE DE VIAJEROS")</f>
        <v>AUTORIZACION DE TRANSMISION DE CONCESION DE SERVICIO PUBLICO REGULAR DE TRANSPORTE DE VIAJEROS</v>
      </c>
      <c r="I9" s="3" t="s">
        <v>41</v>
      </c>
      <c r="J9" s="3" t="s">
        <v>41</v>
      </c>
      <c r="K9" s="3" t="s">
        <v>42</v>
      </c>
      <c r="L9" s="3" t="s">
        <v>41</v>
      </c>
    </row>
    <row r="10" spans="1:12" ht="57.6">
      <c r="A10" s="3" t="s">
        <v>5323</v>
      </c>
      <c r="B10" s="3" t="s">
        <v>5324</v>
      </c>
      <c r="C10" s="3" t="s">
        <v>556</v>
      </c>
      <c r="D10" s="3" t="s">
        <v>46</v>
      </c>
      <c r="E10" s="3" t="s">
        <v>5297</v>
      </c>
      <c r="F10" s="3" t="s">
        <v>5321</v>
      </c>
      <c r="G10" s="3" t="s">
        <v>5325</v>
      </c>
      <c r="H10" s="3" t="str">
        <f>HYPERLINK("http://www.jccm.es/sede/tramite/128","AUTORIZACION DE TRANSPORTE PUBLICO DISCRECIONAL DE VIAJEROS EN AUTOBUS (VD)")</f>
        <v>AUTORIZACION DE TRANSPORTE PUBLICO DISCRECIONAL DE VIAJEROS EN AUTOBUS (VD)</v>
      </c>
      <c r="I10" s="3" t="s">
        <v>41</v>
      </c>
      <c r="J10" s="3" t="s">
        <v>41</v>
      </c>
      <c r="K10" s="3" t="s">
        <v>42</v>
      </c>
      <c r="L10" s="3" t="s">
        <v>42</v>
      </c>
    </row>
    <row r="11" spans="1:12" ht="57.6">
      <c r="A11" s="3" t="s">
        <v>5326</v>
      </c>
      <c r="B11" s="3" t="s">
        <v>5327</v>
      </c>
      <c r="C11" s="3" t="s">
        <v>45</v>
      </c>
      <c r="D11" s="3" t="s">
        <v>46</v>
      </c>
      <c r="E11" s="3" t="s">
        <v>5297</v>
      </c>
      <c r="F11" s="3" t="s">
        <v>5298</v>
      </c>
      <c r="G11" s="3" t="s">
        <v>5328</v>
      </c>
      <c r="H11" s="3" t="str">
        <f>HYPERLINK("http://www.jccm.es/sede/tramite/213","AUTORIZACION DE INSTALACION DE LINEAS AEREAS ELECTRICAS Y TELEFONICAS QUE AFECTEN A CARRETERAS DE LA JUNTA DE COMUNIDADES")</f>
        <v>AUTORIZACION DE INSTALACION DE LINEAS AEREAS ELECTRICAS Y TELEFONICAS QUE AFECTEN A CARRETERAS DE LA JUNTA DE COMUNIDADES</v>
      </c>
      <c r="I11" s="3" t="s">
        <v>42</v>
      </c>
      <c r="J11" s="3" t="s">
        <v>41</v>
      </c>
      <c r="K11" s="3" t="s">
        <v>42</v>
      </c>
      <c r="L11" s="3" t="s">
        <v>41</v>
      </c>
    </row>
    <row r="12" spans="1:12" ht="57.6">
      <c r="A12" s="3" t="s">
        <v>5329</v>
      </c>
      <c r="B12" s="3" t="s">
        <v>5330</v>
      </c>
      <c r="C12" s="3" t="s">
        <v>556</v>
      </c>
      <c r="D12" s="3" t="s">
        <v>46</v>
      </c>
      <c r="E12" s="3" t="s">
        <v>5297</v>
      </c>
      <c r="F12" s="3" t="s">
        <v>5321</v>
      </c>
      <c r="G12" s="3" t="s">
        <v>5331</v>
      </c>
      <c r="H12" s="3" t="str">
        <f>HYPERLINK("http://www.jccm.es/sede/tramite/271","AUTORIZACION DE TRANSPORTE REGULAR DE USO ESPECIAL (TRANSPORTE DE TRABAJADORES)")</f>
        <v>AUTORIZACION DE TRANSPORTE REGULAR DE USO ESPECIAL (TRANSPORTE DE TRABAJADORES)</v>
      </c>
      <c r="I12" s="3" t="s">
        <v>41</v>
      </c>
      <c r="J12" s="3" t="s">
        <v>41</v>
      </c>
      <c r="K12" s="3" t="s">
        <v>42</v>
      </c>
      <c r="L12" s="3" t="s">
        <v>41</v>
      </c>
    </row>
    <row r="13" spans="1:12" ht="57.6">
      <c r="A13" s="3" t="s">
        <v>5332</v>
      </c>
      <c r="B13" s="3" t="s">
        <v>5333</v>
      </c>
      <c r="C13" s="3" t="s">
        <v>556</v>
      </c>
      <c r="D13" s="3" t="s">
        <v>46</v>
      </c>
      <c r="E13" s="3" t="s">
        <v>5297</v>
      </c>
      <c r="F13" s="3" t="s">
        <v>5321</v>
      </c>
      <c r="G13" s="3" t="s">
        <v>5334</v>
      </c>
      <c r="H13" s="3" t="str">
        <f>HYPERLINK("http://www.jccm.es/sede/tramite/272","AUTORIZACION DE TRANSPORTE ESCOLAR")</f>
        <v>AUTORIZACION DE TRANSPORTE ESCOLAR</v>
      </c>
      <c r="I13" s="3" t="s">
        <v>41</v>
      </c>
      <c r="J13" s="3" t="s">
        <v>41</v>
      </c>
      <c r="K13" s="3" t="s">
        <v>42</v>
      </c>
      <c r="L13" s="3" t="s">
        <v>41</v>
      </c>
    </row>
    <row r="14" spans="1:12" ht="57.6">
      <c r="A14" s="3" t="s">
        <v>5335</v>
      </c>
      <c r="B14" s="3" t="s">
        <v>5336</v>
      </c>
      <c r="C14" s="3" t="s">
        <v>556</v>
      </c>
      <c r="D14" s="3" t="s">
        <v>46</v>
      </c>
      <c r="E14" s="3" t="s">
        <v>5297</v>
      </c>
      <c r="F14" s="3" t="s">
        <v>5321</v>
      </c>
      <c r="G14" s="3" t="s">
        <v>5337</v>
      </c>
      <c r="H14" s="3" t="str">
        <f>HYPERLINK("http://www.jccm.es/sede/tramite/273","AUTORIZACIONES DE TRANSPORTE SANITARIO PUBLICO (VS) Y PRIVADO COMPLEMENTARIO (VSPC)")</f>
        <v>AUTORIZACIONES DE TRANSPORTE SANITARIO PUBLICO (VS) Y PRIVADO COMPLEMENTARIO (VSPC)</v>
      </c>
      <c r="I14" s="3" t="s">
        <v>41</v>
      </c>
      <c r="J14" s="3" t="s">
        <v>41</v>
      </c>
      <c r="K14" s="3" t="s">
        <v>42</v>
      </c>
      <c r="L14" s="3" t="s">
        <v>41</v>
      </c>
    </row>
    <row r="15" spans="1:12" ht="57.6">
      <c r="A15" s="3" t="s">
        <v>5338</v>
      </c>
      <c r="B15" s="3" t="s">
        <v>5339</v>
      </c>
      <c r="C15" s="3" t="s">
        <v>556</v>
      </c>
      <c r="D15" s="3" t="s">
        <v>46</v>
      </c>
      <c r="E15" s="3" t="s">
        <v>5297</v>
      </c>
      <c r="F15" s="3" t="s">
        <v>5321</v>
      </c>
      <c r="G15" s="3" t="s">
        <v>5340</v>
      </c>
      <c r="H15" s="3" t="str">
        <f>HYPERLINK("http://www.jccm.es/sede/tramite/I5C","AUTORIZACION DE TRANSPORTE PRIVADO DE MERCANCIAS (MPC)")</f>
        <v>AUTORIZACION DE TRANSPORTE PRIVADO DE MERCANCIAS (MPC)</v>
      </c>
      <c r="I15" s="3" t="s">
        <v>41</v>
      </c>
      <c r="J15" s="3" t="s">
        <v>41</v>
      </c>
      <c r="K15" s="3" t="s">
        <v>42</v>
      </c>
      <c r="L15" s="3" t="s">
        <v>42</v>
      </c>
    </row>
    <row r="16" spans="1:12" ht="57.6">
      <c r="A16" s="3" t="s">
        <v>5341</v>
      </c>
      <c r="B16" s="3" t="s">
        <v>5342</v>
      </c>
      <c r="C16" s="3" t="s">
        <v>556</v>
      </c>
      <c r="D16" s="3" t="s">
        <v>46</v>
      </c>
      <c r="E16" s="3" t="s">
        <v>5297</v>
      </c>
      <c r="F16" s="3" t="s">
        <v>5321</v>
      </c>
      <c r="G16" s="3" t="s">
        <v>5343</v>
      </c>
      <c r="H16" s="3" t="str">
        <f>HYPERLINK("http://www.jccm.es/sede/tramite/I5D","AUTORIZACION DE TRANSPORTE PUBLICO DE MERCANCIAS (MDP Y MDL)")</f>
        <v>AUTORIZACION DE TRANSPORTE PUBLICO DE MERCANCIAS (MDP Y MDL)</v>
      </c>
      <c r="I16" s="3" t="s">
        <v>41</v>
      </c>
      <c r="J16" s="3" t="s">
        <v>41</v>
      </c>
      <c r="K16" s="3" t="s">
        <v>42</v>
      </c>
      <c r="L16" s="3" t="s">
        <v>42</v>
      </c>
    </row>
    <row r="17" spans="1:12" ht="57.6">
      <c r="A17" s="3" t="s">
        <v>5344</v>
      </c>
      <c r="B17" s="3" t="s">
        <v>5345</v>
      </c>
      <c r="C17" s="3" t="s">
        <v>556</v>
      </c>
      <c r="D17" s="3" t="s">
        <v>46</v>
      </c>
      <c r="E17" s="3" t="s">
        <v>5297</v>
      </c>
      <c r="F17" s="3" t="s">
        <v>5321</v>
      </c>
      <c r="G17" s="3" t="s">
        <v>5346</v>
      </c>
      <c r="H17" s="3" t="str">
        <f>HYPERLINK("http://www.jccm.es/sede/tramite/I5G","AUTORIZACION DE ARRENDAMIENTO DE VEHICULOS CON CONDUCTOR (VTC)")</f>
        <v>AUTORIZACION DE ARRENDAMIENTO DE VEHICULOS CON CONDUCTOR (VTC)</v>
      </c>
      <c r="I17" s="3" t="s">
        <v>41</v>
      </c>
      <c r="J17" s="3" t="s">
        <v>41</v>
      </c>
      <c r="K17" s="3" t="s">
        <v>42</v>
      </c>
      <c r="L17" s="3" t="s">
        <v>41</v>
      </c>
    </row>
    <row r="18" spans="1:12" ht="57.6">
      <c r="A18" s="3" t="s">
        <v>5347</v>
      </c>
      <c r="B18" s="3" t="s">
        <v>5348</v>
      </c>
      <c r="C18" s="3" t="s">
        <v>556</v>
      </c>
      <c r="D18" s="3" t="s">
        <v>46</v>
      </c>
      <c r="E18" s="3" t="s">
        <v>5297</v>
      </c>
      <c r="F18" s="3" t="s">
        <v>5321</v>
      </c>
      <c r="G18" s="3" t="s">
        <v>5349</v>
      </c>
      <c r="H18" s="3" t="str">
        <f>HYPERLINK("http://www.jccm.es/sede/tramite/I5H","AUTORIZACION DE TRANSPORTE PRIVADO DE VIAJEROS (VPC)")</f>
        <v>AUTORIZACION DE TRANSPORTE PRIVADO DE VIAJEROS (VPC)</v>
      </c>
      <c r="I18" s="3" t="s">
        <v>41</v>
      </c>
      <c r="J18" s="3" t="s">
        <v>41</v>
      </c>
      <c r="K18" s="3" t="s">
        <v>42</v>
      </c>
      <c r="L18" s="3" t="s">
        <v>42</v>
      </c>
    </row>
    <row r="19" spans="1:12" ht="45.95">
      <c r="A19" s="3" t="s">
        <v>5350</v>
      </c>
      <c r="B19" s="3" t="s">
        <v>5351</v>
      </c>
      <c r="C19" s="3" t="s">
        <v>45</v>
      </c>
      <c r="D19" s="3" t="s">
        <v>46</v>
      </c>
      <c r="E19" s="3" t="s">
        <v>5297</v>
      </c>
      <c r="F19" s="3" t="s">
        <v>5298</v>
      </c>
      <c r="G19" s="3" t="s">
        <v>5352</v>
      </c>
      <c r="H19" s="3" t="str">
        <f>HYPERLINK("http://www.jccm.es/sede/tramite/J4X","AUTORIZACION DE CERRAMIENTOS PROXIMOS A CARRETERAS DE LA JUNTA DE COMUNIDADES")</f>
        <v>AUTORIZACION DE CERRAMIENTOS PROXIMOS A CARRETERAS DE LA JUNTA DE COMUNIDADES</v>
      </c>
      <c r="I19" s="3" t="s">
        <v>42</v>
      </c>
      <c r="J19" s="3" t="s">
        <v>41</v>
      </c>
      <c r="K19" s="3" t="s">
        <v>42</v>
      </c>
      <c r="L19" s="3" t="s">
        <v>41</v>
      </c>
    </row>
    <row r="20" spans="1:12" ht="57.6">
      <c r="A20" s="3" t="s">
        <v>5353</v>
      </c>
      <c r="B20" s="3" t="s">
        <v>5354</v>
      </c>
      <c r="C20" s="3" t="s">
        <v>45</v>
      </c>
      <c r="D20" s="3" t="s">
        <v>37</v>
      </c>
      <c r="E20" s="3" t="s">
        <v>5297</v>
      </c>
      <c r="F20" s="3" t="s">
        <v>5314</v>
      </c>
      <c r="G20" s="3" t="s">
        <v>5355</v>
      </c>
      <c r="H20" s="3" t="str">
        <f>HYPERLINK("http://www.jccm.es/sede/tramite/J7I","INSCRIPCION LABORATORIOS DE ENSAYOS PARA EL CONTROL DE LA CALIDAD DE LA EDIFICACION DECLARADOS EN CASTILLA- LA MANCHA")</f>
        <v>INSCRIPCION LABORATORIOS DE ENSAYOS PARA EL CONTROL DE LA CALIDAD DE LA EDIFICACION DECLARADOS EN CASTILLA- LA MANCHA</v>
      </c>
      <c r="I20" s="3" t="s">
        <v>42</v>
      </c>
      <c r="J20" s="3" t="s">
        <v>41</v>
      </c>
      <c r="K20" s="3" t="s">
        <v>42</v>
      </c>
      <c r="L20" s="3" t="s">
        <v>41</v>
      </c>
    </row>
    <row r="21" spans="1:12" ht="92.1">
      <c r="A21" s="3" t="s">
        <v>5356</v>
      </c>
      <c r="B21" s="3" t="s">
        <v>5357</v>
      </c>
      <c r="C21" s="3" t="s">
        <v>5358</v>
      </c>
      <c r="D21" s="3" t="s">
        <v>46</v>
      </c>
      <c r="E21" s="3" t="s">
        <v>5297</v>
      </c>
      <c r="F21" s="3" t="s">
        <v>5359</v>
      </c>
      <c r="G21" s="3" t="s">
        <v>5360</v>
      </c>
      <c r="H21" s="3" t="str">
        <f>HYPERLINK("http://www.jccm.es/sede/tramite/J7P","AUTORIZACION DE USO DE BIENES DE TITULARIDAD DE LA JUNTA DE COMUNIDADES DE CASTILLA-LA MANCHA ADSCRITOS A LA CONSEJERIA DE FOMENTO.")</f>
        <v>AUTORIZACION DE USO DE BIENES DE TITULARIDAD DE LA JUNTA DE COMUNIDADES DE CASTILLA-LA MANCHA ADSCRITOS A LA CONSEJERIA DE FOMENTO.</v>
      </c>
      <c r="I21" s="3" t="s">
        <v>42</v>
      </c>
      <c r="J21" s="3" t="s">
        <v>41</v>
      </c>
      <c r="K21" s="3" t="s">
        <v>42</v>
      </c>
      <c r="L21" s="3" t="s">
        <v>41</v>
      </c>
    </row>
    <row r="22" spans="1:12" ht="57.6">
      <c r="A22" s="3" t="s">
        <v>5361</v>
      </c>
      <c r="B22" s="3" t="s">
        <v>5362</v>
      </c>
      <c r="C22" s="3" t="s">
        <v>70</v>
      </c>
      <c r="D22" s="3" t="s">
        <v>46</v>
      </c>
      <c r="E22" s="3" t="s">
        <v>5297</v>
      </c>
      <c r="F22" s="3" t="s">
        <v>5321</v>
      </c>
      <c r="G22" s="3" t="s">
        <v>5363</v>
      </c>
      <c r="H22" s="3" t="str">
        <f>HYPERLINK("http://www.jccm.es/sede/tramite/JAH","AUTORIZACION DE CENTROS DE FORMACION DE CONDUCTORES.")</f>
        <v>AUTORIZACION DE CENTROS DE FORMACION DE CONDUCTORES.</v>
      </c>
      <c r="I22" s="3" t="s">
        <v>41</v>
      </c>
      <c r="J22" s="3" t="s">
        <v>41</v>
      </c>
      <c r="K22" s="3" t="s">
        <v>42</v>
      </c>
      <c r="L22" s="3" t="s">
        <v>42</v>
      </c>
    </row>
    <row r="23" spans="1:12" ht="57.6">
      <c r="A23" s="3" t="s">
        <v>5364</v>
      </c>
      <c r="B23" s="3" t="s">
        <v>5365</v>
      </c>
      <c r="C23" s="3" t="s">
        <v>556</v>
      </c>
      <c r="D23" s="3" t="s">
        <v>46</v>
      </c>
      <c r="E23" s="3" t="s">
        <v>5297</v>
      </c>
      <c r="F23" s="3" t="s">
        <v>5321</v>
      </c>
      <c r="G23" s="3" t="s">
        <v>5366</v>
      </c>
      <c r="H23" s="3" t="str">
        <f>HYPERLINK("http://www.jccm.es/sede/tramite/JAI","AUTORIZACION DE OPERADOR DE TRANSPORTE DE MERCANCIAS (OT)")</f>
        <v>AUTORIZACION DE OPERADOR DE TRANSPORTE DE MERCANCIAS (OT)</v>
      </c>
      <c r="I23" s="3" t="s">
        <v>41</v>
      </c>
      <c r="J23" s="3" t="s">
        <v>41</v>
      </c>
      <c r="K23" s="3" t="s">
        <v>42</v>
      </c>
      <c r="L23" s="3" t="s">
        <v>42</v>
      </c>
    </row>
    <row r="24" spans="1:12" ht="45.95">
      <c r="A24" s="3" t="s">
        <v>5367</v>
      </c>
      <c r="B24" s="3" t="s">
        <v>5368</v>
      </c>
      <c r="C24" s="3" t="s">
        <v>45</v>
      </c>
      <c r="D24" s="3" t="s">
        <v>46</v>
      </c>
      <c r="E24" s="3" t="s">
        <v>5297</v>
      </c>
      <c r="F24" s="3" t="s">
        <v>5298</v>
      </c>
      <c r="G24" s="3" t="s">
        <v>5369</v>
      </c>
      <c r="H24" s="3" t="str">
        <f>HYPERLINK("http://www.jccm.es/sede/tramite/JKW","AUTORIZACION DE EDIFICACIONES PROXIMAS A CARRETERAS DE LA RED AUTONOMICA")</f>
        <v>AUTORIZACION DE EDIFICACIONES PROXIMAS A CARRETERAS DE LA RED AUTONOMICA</v>
      </c>
      <c r="I24" s="3" t="s">
        <v>42</v>
      </c>
      <c r="J24" s="3" t="s">
        <v>41</v>
      </c>
      <c r="K24" s="3" t="s">
        <v>42</v>
      </c>
      <c r="L24" s="3" t="s">
        <v>41</v>
      </c>
    </row>
    <row r="25" spans="1:12" ht="45.95">
      <c r="A25" s="3" t="s">
        <v>5370</v>
      </c>
      <c r="B25" s="3" t="s">
        <v>5371</v>
      </c>
      <c r="C25" s="3" t="s">
        <v>45</v>
      </c>
      <c r="D25" s="3" t="s">
        <v>37</v>
      </c>
      <c r="E25" s="3" t="s">
        <v>5297</v>
      </c>
      <c r="F25" s="3" t="s">
        <v>5314</v>
      </c>
      <c r="G25" s="3" t="s">
        <v>5372</v>
      </c>
      <c r="H25" s="3" t="str">
        <f>HYPERLINK("http://www.jccm.es/sede/tramite/JO2","INSCRIPCION DE ENTIDADES DE CONTROL DE LA CALIDAD DE LA EDIFICACION DECLARADAS EN CASTILLA- LA MANCHA")</f>
        <v>INSCRIPCION DE ENTIDADES DE CONTROL DE LA CALIDAD DE LA EDIFICACION DECLARADAS EN CASTILLA- LA MANCHA</v>
      </c>
      <c r="I25" s="3" t="s">
        <v>42</v>
      </c>
      <c r="J25" s="3" t="s">
        <v>41</v>
      </c>
      <c r="K25" s="3" t="s">
        <v>42</v>
      </c>
      <c r="L25" s="3" t="s">
        <v>41</v>
      </c>
    </row>
    <row r="26" spans="1:12" ht="45.95">
      <c r="A26" s="3" t="s">
        <v>5373</v>
      </c>
      <c r="B26" s="3" t="s">
        <v>5374</v>
      </c>
      <c r="C26" s="3" t="s">
        <v>45</v>
      </c>
      <c r="D26" s="3" t="s">
        <v>37</v>
      </c>
      <c r="E26" s="3" t="s">
        <v>5297</v>
      </c>
      <c r="F26" s="3" t="s">
        <v>5314</v>
      </c>
      <c r="G26" s="3" t="s">
        <v>5375</v>
      </c>
      <c r="H26" s="3" t="str">
        <f>HYPERLINK("http://www.jccm.es/sede/tramite/JQP","APORTACION DE GANANCIALES DE VIVIENDA DE PROTECCION PUBLICA")</f>
        <v>APORTACION DE GANANCIALES DE VIVIENDA DE PROTECCION PUBLICA</v>
      </c>
      <c r="I26" s="3" t="s">
        <v>42</v>
      </c>
      <c r="J26" s="3" t="s">
        <v>41</v>
      </c>
      <c r="K26" s="3" t="s">
        <v>42</v>
      </c>
      <c r="L26" s="3" t="s">
        <v>41</v>
      </c>
    </row>
    <row r="27" spans="1:12" ht="45.95">
      <c r="A27" s="3" t="s">
        <v>5376</v>
      </c>
      <c r="B27" s="3" t="s">
        <v>5377</v>
      </c>
      <c r="C27" s="3" t="s">
        <v>45</v>
      </c>
      <c r="D27" s="3" t="s">
        <v>37</v>
      </c>
      <c r="E27" s="3" t="s">
        <v>5297</v>
      </c>
      <c r="F27" s="3" t="s">
        <v>5314</v>
      </c>
      <c r="G27" s="3" t="s">
        <v>5378</v>
      </c>
      <c r="H27" s="3" t="str">
        <f>HYPERLINK("http://www.jccm.es/sede/tramite/JQQ","AUTORIZAR LA EXTINCION DEL CONDOMINIO DE UNA VIVIENDA PROTEGIDA.")</f>
        <v>AUTORIZAR LA EXTINCION DEL CONDOMINIO DE UNA VIVIENDA PROTEGIDA.</v>
      </c>
      <c r="I27" s="3" t="s">
        <v>42</v>
      </c>
      <c r="J27" s="3" t="s">
        <v>41</v>
      </c>
      <c r="K27" s="3" t="s">
        <v>42</v>
      </c>
      <c r="L27" s="3" t="s">
        <v>41</v>
      </c>
    </row>
    <row r="28" spans="1:12" ht="69">
      <c r="A28" s="3" t="s">
        <v>5379</v>
      </c>
      <c r="B28" s="3" t="s">
        <v>5380</v>
      </c>
      <c r="C28" s="3" t="s">
        <v>45</v>
      </c>
      <c r="D28" s="3" t="s">
        <v>37</v>
      </c>
      <c r="E28" s="3" t="s">
        <v>5297</v>
      </c>
      <c r="F28" s="3" t="s">
        <v>5314</v>
      </c>
      <c r="G28" s="3" t="s">
        <v>5381</v>
      </c>
      <c r="H28" s="3" t="str">
        <f>HYPERLINK("http://www.jccm.es/sede/tramite/JXI","SUBROGACION POR FALLECIMIENTO DEL TITULAR O SUPUESTOS DE NULIDAD, SEPARACION O DIVORCIO, DE VIVIENDA DE PROMOCION PUBLICA ARRENDADA EN FAVOR DE CIERTOS FAMILIARES.")</f>
        <v>SUBROGACION POR FALLECIMIENTO DEL TITULAR O SUPUESTOS DE NULIDAD, SEPARACION O DIVORCIO, DE VIVIENDA DE PROMOCION PUBLICA ARRENDADA EN FAVOR DE CIERTOS FAMILIARES.</v>
      </c>
      <c r="I28" s="3" t="s">
        <v>42</v>
      </c>
      <c r="J28" s="3" t="s">
        <v>41</v>
      </c>
      <c r="K28" s="3" t="s">
        <v>42</v>
      </c>
      <c r="L28" s="3" t="s">
        <v>41</v>
      </c>
    </row>
    <row r="29" spans="1:12" ht="57.6">
      <c r="A29" s="3" t="s">
        <v>5382</v>
      </c>
      <c r="B29" s="3" t="s">
        <v>5383</v>
      </c>
      <c r="C29" s="3" t="s">
        <v>45</v>
      </c>
      <c r="D29" s="3" t="s">
        <v>46</v>
      </c>
      <c r="E29" s="3" t="s">
        <v>5297</v>
      </c>
      <c r="F29" s="3" t="s">
        <v>5314</v>
      </c>
      <c r="G29" s="3" t="s">
        <v>5384</v>
      </c>
      <c r="H29" s="3" t="str">
        <f>HYPERLINK("http://www.jccm.es/sede/tramite/JXJ","AUTORIZACION PARA POSTERIORES TRANSMISIONES DE SUELO, ORIGINALMENTE PROPIEDAD DE LA JUNTA DE COMUNIDADES DE CASTILLA-LA MANCHA")</f>
        <v>AUTORIZACION PARA POSTERIORES TRANSMISIONES DE SUELO, ORIGINALMENTE PROPIEDAD DE LA JUNTA DE COMUNIDADES DE CASTILLA-LA MANCHA</v>
      </c>
      <c r="I29" s="3" t="s">
        <v>42</v>
      </c>
      <c r="J29" s="3" t="s">
        <v>41</v>
      </c>
      <c r="K29" s="3" t="s">
        <v>42</v>
      </c>
      <c r="L29" s="3" t="s">
        <v>41</v>
      </c>
    </row>
    <row r="30" spans="1:12" ht="69">
      <c r="A30" s="3" t="s">
        <v>5385</v>
      </c>
      <c r="B30" s="3" t="s">
        <v>5386</v>
      </c>
      <c r="C30" s="3" t="s">
        <v>45</v>
      </c>
      <c r="D30" s="3" t="s">
        <v>46</v>
      </c>
      <c r="E30" s="3" t="s">
        <v>5297</v>
      </c>
      <c r="F30" s="3" t="s">
        <v>5314</v>
      </c>
      <c r="G30" s="3" t="s">
        <v>5387</v>
      </c>
      <c r="H30" s="3" t="str">
        <f>HYPERLINK("http://www.jccm.es/sede/tramite/JXK","CANCELACION DE CONDICIONES RESOLUTORIAS POR CUMPLIMIENTO DE OBLIGACIONES CONTRACTUALES, INCLUIDAS EN LAS ENAJENACIONES DE SUELO PROPIEDAD DE LA JUNTA DE COMUNIDADES DE CASTILLA-LA MANCHA.")</f>
        <v>CANCELACION DE CONDICIONES RESOLUTORIAS POR CUMPLIMIENTO DE OBLIGACIONES CONTRACTUALES, INCLUIDAS EN LAS ENAJENACIONES DE SUELO PROPIEDAD DE LA JUNTA DE COMUNIDADES DE CASTILLA-LA MANCHA.</v>
      </c>
      <c r="I30" s="3" t="s">
        <v>42</v>
      </c>
      <c r="J30" s="3" t="s">
        <v>41</v>
      </c>
      <c r="K30" s="3" t="s">
        <v>42</v>
      </c>
      <c r="L30" s="3" t="s">
        <v>41</v>
      </c>
    </row>
    <row r="31" spans="1:12" ht="45.95">
      <c r="A31" s="3" t="s">
        <v>5388</v>
      </c>
      <c r="B31" s="3" t="s">
        <v>5389</v>
      </c>
      <c r="C31" s="3" t="s">
        <v>45</v>
      </c>
      <c r="D31" s="3" t="s">
        <v>46</v>
      </c>
      <c r="E31" s="3" t="s">
        <v>5297</v>
      </c>
      <c r="F31" s="3" t="s">
        <v>5314</v>
      </c>
      <c r="G31" s="3" t="s">
        <v>5390</v>
      </c>
      <c r="H31" s="3" t="str">
        <f>HYPERLINK("http://www.jccm.es/sede/tramite/JXL","SOLICITUD DE AUTORIZACION PARA REALIZAR OBRAS MENORES EN LAS VIVIENDAS DE PROMOCION PUBLICA")</f>
        <v>SOLICITUD DE AUTORIZACION PARA REALIZAR OBRAS MENORES EN LAS VIVIENDAS DE PROMOCION PUBLICA</v>
      </c>
      <c r="I31" s="3" t="s">
        <v>42</v>
      </c>
      <c r="J31" s="3" t="s">
        <v>41</v>
      </c>
      <c r="K31" s="3" t="s">
        <v>42</v>
      </c>
      <c r="L31" s="3" t="s">
        <v>41</v>
      </c>
    </row>
    <row r="32" spans="1:12" ht="92.1">
      <c r="A32" s="3" t="s">
        <v>5391</v>
      </c>
      <c r="B32" s="3" t="s">
        <v>5392</v>
      </c>
      <c r="C32" s="3" t="s">
        <v>45</v>
      </c>
      <c r="D32" s="3" t="s">
        <v>37</v>
      </c>
      <c r="E32" s="3" t="s">
        <v>5297</v>
      </c>
      <c r="F32" s="3" t="s">
        <v>5314</v>
      </c>
      <c r="G32" s="3" t="s">
        <v>5393</v>
      </c>
      <c r="H32" s="3" t="str">
        <f>HYPERLINK("http://www.jccm.es/sede/tramite/JXN","AMORTIZACION ANTICIPADA DE UNA VIVIENDA DE PROMOCION PUBLICA ADJUDICADA EN COMPRAVENTA APLAZADA")</f>
        <v>AMORTIZACION ANTICIPADA DE UNA VIVIENDA DE PROMOCION PUBLICA ADJUDICADA EN COMPRAVENTA APLAZADA</v>
      </c>
      <c r="I32" s="3" t="s">
        <v>42</v>
      </c>
      <c r="J32" s="3" t="s">
        <v>41</v>
      </c>
      <c r="K32" s="3" t="s">
        <v>42</v>
      </c>
      <c r="L32" s="3" t="s">
        <v>41</v>
      </c>
    </row>
    <row r="33" spans="1:12" ht="69">
      <c r="A33" s="3" t="s">
        <v>5394</v>
      </c>
      <c r="B33" s="3" t="s">
        <v>5395</v>
      </c>
      <c r="C33" s="3" t="s">
        <v>45</v>
      </c>
      <c r="D33" s="3" t="s">
        <v>46</v>
      </c>
      <c r="E33" s="3" t="s">
        <v>5297</v>
      </c>
      <c r="F33" s="3" t="s">
        <v>5314</v>
      </c>
      <c r="G33" s="3" t="s">
        <v>5396</v>
      </c>
      <c r="H33" s="3" t="str">
        <f>HYPERLINK("http://www.jccm.es/sede/tramite/JXO","AUTORIZACION ADMINISTRATIVA PARA HIPOTECAR UNA FINCA ENAJENADA POR LA JUNTA DE COMUNIDADES DE CASTILLA-LA MANCHA.")</f>
        <v>AUTORIZACION ADMINISTRATIVA PARA HIPOTECAR UNA FINCA ENAJENADA POR LA JUNTA DE COMUNIDADES DE CASTILLA-LA MANCHA.</v>
      </c>
      <c r="I33" s="3" t="s">
        <v>42</v>
      </c>
      <c r="J33" s="3" t="s">
        <v>41</v>
      </c>
      <c r="K33" s="3" t="s">
        <v>42</v>
      </c>
      <c r="L33" s="3" t="s">
        <v>41</v>
      </c>
    </row>
    <row r="34" spans="1:12" ht="45.95">
      <c r="A34" s="3" t="s">
        <v>5397</v>
      </c>
      <c r="B34" s="3" t="s">
        <v>5398</v>
      </c>
      <c r="C34" s="3" t="s">
        <v>45</v>
      </c>
      <c r="D34" s="3" t="s">
        <v>46</v>
      </c>
      <c r="E34" s="3" t="s">
        <v>5297</v>
      </c>
      <c r="F34" s="3" t="s">
        <v>5298</v>
      </c>
      <c r="G34" s="3" t="s">
        <v>5399</v>
      </c>
      <c r="H34" s="3" t="str">
        <f>HYPERLINK("http://www.jccm.es/sede/tramite/K0P","AUTORIZACION PARA PLANTACIONES Y TRABAJOS DE TALA Y PODA EN CARRETERAS DE LA JUNTA DE COMUNIDADES")</f>
        <v>AUTORIZACION PARA PLANTACIONES Y TRABAJOS DE TALA Y PODA EN CARRETERAS DE LA JUNTA DE COMUNIDADES</v>
      </c>
      <c r="I34" s="3" t="s">
        <v>42</v>
      </c>
      <c r="J34" s="3" t="s">
        <v>41</v>
      </c>
      <c r="K34" s="3" t="s">
        <v>42</v>
      </c>
      <c r="L34" s="3" t="s">
        <v>41</v>
      </c>
    </row>
    <row r="35" spans="1:12" ht="45.95">
      <c r="A35" s="3" t="s">
        <v>5400</v>
      </c>
      <c r="B35" s="3" t="s">
        <v>5401</v>
      </c>
      <c r="C35" s="3" t="s">
        <v>45</v>
      </c>
      <c r="D35" s="3" t="s">
        <v>46</v>
      </c>
      <c r="E35" s="3" t="s">
        <v>5297</v>
      </c>
      <c r="F35" s="3" t="s">
        <v>5298</v>
      </c>
      <c r="G35" s="3" t="s">
        <v>5402</v>
      </c>
      <c r="H35" s="3" t="str">
        <f>HYPERLINK("http://www.jccm.es/sede/tramite/K0Q","AUTORIZACION PARA INSTALACIONES DE RIEGO EN CARRETERAS DE LA JUNTA DE COMUNIDADES")</f>
        <v>AUTORIZACION PARA INSTALACIONES DE RIEGO EN CARRETERAS DE LA JUNTA DE COMUNIDADES</v>
      </c>
      <c r="I35" s="3" t="s">
        <v>42</v>
      </c>
      <c r="J35" s="3" t="s">
        <v>41</v>
      </c>
      <c r="K35" s="3" t="s">
        <v>42</v>
      </c>
      <c r="L35" s="3" t="s">
        <v>41</v>
      </c>
    </row>
    <row r="36" spans="1:12" ht="45.95">
      <c r="A36" s="3" t="s">
        <v>5403</v>
      </c>
      <c r="B36" s="3" t="s">
        <v>5404</v>
      </c>
      <c r="C36" s="3" t="s">
        <v>62</v>
      </c>
      <c r="D36" s="3" t="s">
        <v>37</v>
      </c>
      <c r="E36" s="3" t="s">
        <v>5297</v>
      </c>
      <c r="F36" s="3" t="s">
        <v>5314</v>
      </c>
      <c r="G36" s="3" t="s">
        <v>5405</v>
      </c>
      <c r="H36" s="3" t="str">
        <f>HYPERLINK("http://www.jccm.es/sede/tramite/J4W","INSCRIPCION EN EL REGISTRO DE DEMANDANTES DE VIVIENDA CON PROTECCION PUBLICA DE CASTILLA-LA MANCHA")</f>
        <v>INSCRIPCION EN EL REGISTRO DE DEMANDANTES DE VIVIENDA CON PROTECCION PUBLICA DE CASTILLA-LA MANCHA</v>
      </c>
      <c r="I36" s="3" t="s">
        <v>42</v>
      </c>
      <c r="J36" s="3" t="s">
        <v>41</v>
      </c>
      <c r="K36" s="3" t="s">
        <v>42</v>
      </c>
      <c r="L36" s="3" t="s">
        <v>41</v>
      </c>
    </row>
    <row r="37" spans="1:12" ht="69">
      <c r="A37" s="3" t="s">
        <v>5406</v>
      </c>
      <c r="B37" s="3" t="s">
        <v>5407</v>
      </c>
      <c r="C37" s="3" t="s">
        <v>51</v>
      </c>
      <c r="D37" s="3" t="s">
        <v>37</v>
      </c>
      <c r="E37" s="3" t="s">
        <v>5297</v>
      </c>
      <c r="F37" s="3" t="s">
        <v>5408</v>
      </c>
      <c r="G37" s="3" t="s">
        <v>5409</v>
      </c>
      <c r="H37" s="3" t="str">
        <f>HYPERLINK("http://www.jccm.es/sede/tramite/J7M","INSCRIPCION EN EL REGISTRO ADMINISTRATIVO DE AGRUPACIONES DE INTERES URBANISTICO Y ENTIDADES URBANISTICAS COLABORADORAS DE CONSERVACION.")</f>
        <v>INSCRIPCION EN EL REGISTRO ADMINISTRATIVO DE AGRUPACIONES DE INTERES URBANISTICO Y ENTIDADES URBANISTICAS COLABORADORAS DE CONSERVACION.</v>
      </c>
      <c r="I37" s="3" t="s">
        <v>42</v>
      </c>
      <c r="J37" s="3" t="s">
        <v>41</v>
      </c>
      <c r="K37" s="3" t="s">
        <v>42</v>
      </c>
      <c r="L37" s="3" t="s">
        <v>41</v>
      </c>
    </row>
    <row r="38" spans="1:12" ht="45.95">
      <c r="A38" s="3" t="s">
        <v>5410</v>
      </c>
      <c r="B38" s="3" t="s">
        <v>5411</v>
      </c>
      <c r="C38" s="3" t="s">
        <v>5412</v>
      </c>
      <c r="D38" s="3" t="s">
        <v>37</v>
      </c>
      <c r="E38" s="3" t="s">
        <v>5297</v>
      </c>
      <c r="F38" s="3" t="s">
        <v>5314</v>
      </c>
      <c r="G38" s="3" t="s">
        <v>5413</v>
      </c>
      <c r="H38" s="3" t="str">
        <f>HYPERLINK("http://www.jccm.es/sede/tramite/KGA","INSCRIPCION EN EL REGISTRO DE INFORMES DE EVALUACION DE EDIFICIOS DE CASTILLA LA MANCHA.")</f>
        <v>INSCRIPCION EN EL REGISTRO DE INFORMES DE EVALUACION DE EDIFICIOS DE CASTILLA LA MANCHA.</v>
      </c>
      <c r="I38" s="3" t="s">
        <v>42</v>
      </c>
      <c r="J38" s="3" t="s">
        <v>41</v>
      </c>
      <c r="K38" s="3" t="s">
        <v>42</v>
      </c>
      <c r="L38" s="3" t="s">
        <v>41</v>
      </c>
    </row>
    <row r="39" spans="1:12" ht="92.1">
      <c r="A39" s="3" t="s">
        <v>5414</v>
      </c>
      <c r="B39" s="3" t="s">
        <v>5415</v>
      </c>
      <c r="C39" s="3" t="s">
        <v>95</v>
      </c>
      <c r="D39" s="3" t="s">
        <v>95</v>
      </c>
      <c r="E39" s="3" t="s">
        <v>5297</v>
      </c>
      <c r="F39" s="3" t="s">
        <v>5321</v>
      </c>
      <c r="G39" s="3" t="s">
        <v>5416</v>
      </c>
      <c r="H39" s="3" t="str">
        <f>HYPERLINK("http://www.jccm.es/sede/tramite/LJZ","COMUNICACION DE ALTAS Y BAJAS PARA CONSEJEROS DE SEGURIDAD DE TRANSPORTE DE MERCANCIAS PELIGROSAS")</f>
        <v>COMUNICACION DE ALTAS Y BAJAS PARA CONSEJEROS DE SEGURIDAD DE TRANSPORTE DE MERCANCIAS PELIGROSAS</v>
      </c>
      <c r="I39" s="3" t="s">
        <v>42</v>
      </c>
      <c r="J39" s="3" t="s">
        <v>41</v>
      </c>
      <c r="K39" s="3" t="s">
        <v>42</v>
      </c>
      <c r="L39" s="3" t="s">
        <v>41</v>
      </c>
    </row>
    <row r="40" spans="1:12" ht="57.6">
      <c r="A40" s="3" t="s">
        <v>5417</v>
      </c>
      <c r="B40" s="3" t="s">
        <v>5418</v>
      </c>
      <c r="C40" s="3" t="s">
        <v>5419</v>
      </c>
      <c r="D40" s="3" t="s">
        <v>37</v>
      </c>
      <c r="E40" s="3" t="s">
        <v>5297</v>
      </c>
      <c r="F40" s="3" t="s">
        <v>5314</v>
      </c>
      <c r="G40" s="3" t="s">
        <v>5420</v>
      </c>
      <c r="H40" s="3" t="str">
        <f>HYPERLINK("http://www.jccm.es/sede/tramite/KGB","COMUNICACION DE INCIDENCIAS AL REGISTRO DE INFORMES DE EVALUACION DE EDIFICIOS DE CASTILLA LA MANCHA.")</f>
        <v>COMUNICACION DE INCIDENCIAS AL REGISTRO DE INFORMES DE EVALUACION DE EDIFICIOS DE CASTILLA LA MANCHA.</v>
      </c>
      <c r="I40" s="3" t="s">
        <v>41</v>
      </c>
      <c r="J40" s="3" t="s">
        <v>41</v>
      </c>
      <c r="K40" s="3" t="s">
        <v>42</v>
      </c>
      <c r="L40" s="3" t="s">
        <v>41</v>
      </c>
    </row>
    <row r="41" spans="1:12" ht="45.95">
      <c r="A41" s="3" t="s">
        <v>5421</v>
      </c>
      <c r="B41" s="3" t="s">
        <v>5422</v>
      </c>
      <c r="C41" s="3" t="s">
        <v>45</v>
      </c>
      <c r="D41" s="3" t="s">
        <v>37</v>
      </c>
      <c r="E41" s="3" t="s">
        <v>5297</v>
      </c>
      <c r="F41" s="3" t="s">
        <v>5314</v>
      </c>
      <c r="G41" s="3" t="s">
        <v>5423</v>
      </c>
      <c r="H41" s="3" t="str">
        <f>HYPERLINK("http://www.jccm.es/sede/tramite/JQL","REDUCCION DE RENTA EN CONTRATO DE ARRENDAMIENTO DE VIVIENDAS DE PROMOCION PUBLICA PROPIEDAD DE LA JUNTA DE COMUNIDADES.")</f>
        <v>REDUCCION DE RENTA EN CONTRATO DE ARRENDAMIENTO DE VIVIENDAS DE PROMOCION PUBLICA PROPIEDAD DE LA JUNTA DE COMUNIDADES.</v>
      </c>
      <c r="I41" s="3" t="s">
        <v>42</v>
      </c>
      <c r="J41" s="3" t="s">
        <v>41</v>
      </c>
      <c r="K41" s="3" t="s">
        <v>42</v>
      </c>
      <c r="L41" s="3" t="s">
        <v>41</v>
      </c>
    </row>
    <row r="42" spans="1:12" ht="45.95">
      <c r="A42" s="3" t="s">
        <v>5424</v>
      </c>
      <c r="B42" s="3" t="s">
        <v>5425</v>
      </c>
      <c r="C42" s="3" t="s">
        <v>45</v>
      </c>
      <c r="D42" s="3" t="s">
        <v>46</v>
      </c>
      <c r="E42" s="3" t="s">
        <v>5297</v>
      </c>
      <c r="F42" s="3" t="s">
        <v>5314</v>
      </c>
      <c r="G42" s="3" t="s">
        <v>5426</v>
      </c>
      <c r="H42" s="3" t="str">
        <f>HYPERLINK("http://www.jccm.es/sede/tramite/J4V","PARTICIPACION EN PROCEDIMIENTOS DE ADJUDICACION DE VIVIENDAS DE  INICIATIVA PUBLICA REGIONAL")</f>
        <v>PARTICIPACION EN PROCEDIMIENTOS DE ADJUDICACION DE VIVIENDAS DE  INICIATIVA PUBLICA REGIONAL</v>
      </c>
      <c r="I42" s="3" t="s">
        <v>42</v>
      </c>
      <c r="J42" s="3" t="s">
        <v>41</v>
      </c>
      <c r="K42" s="3" t="s">
        <v>42</v>
      </c>
      <c r="L42" s="3" t="s">
        <v>41</v>
      </c>
    </row>
    <row r="43" spans="1:12" ht="69">
      <c r="A43" s="3" t="s">
        <v>5427</v>
      </c>
      <c r="B43" s="3" t="s">
        <v>5428</v>
      </c>
      <c r="C43" s="3" t="s">
        <v>5429</v>
      </c>
      <c r="D43" s="3" t="s">
        <v>46</v>
      </c>
      <c r="E43" s="3" t="s">
        <v>5297</v>
      </c>
      <c r="F43" s="3" t="s">
        <v>5314</v>
      </c>
      <c r="G43" s="3" t="s">
        <v>5430</v>
      </c>
      <c r="H43" s="3" t="str">
        <f>HYPERLINK("http://www.jccm.es/sede/tramite/LD8","SOLICITUD DEL RECONOCIMIENTO DEL DERECHO A LAS AYUDAS PARA CONTRIBUIR A MINIMIZAR EL IMPACTO ECONOMICO Y SOCIAL DEL COVID-19 EN LOS ALQUILERES DE VIVIENDA HABITUAL DEL PLAN ESTATAL DE VIVIENDA.")</f>
        <v>SOLICITUD DEL RECONOCIMIENTO DEL DERECHO A LAS AYUDAS PARA CONTRIBUIR A MINIMIZAR EL IMPACTO ECONOMICO Y SOCIAL DEL COVID-19 EN LOS ALQUILERES DE VIVIENDA HABITUAL DEL PLAN ESTATAL DE VIVIENDA.</v>
      </c>
      <c r="I43" s="3" t="s">
        <v>42</v>
      </c>
      <c r="J43" s="3" t="s">
        <v>41</v>
      </c>
      <c r="K43" s="3" t="s">
        <v>42</v>
      </c>
      <c r="L43" s="3" t="s">
        <v>41</v>
      </c>
    </row>
    <row r="44" spans="1:12" ht="69">
      <c r="A44" s="3" t="s">
        <v>5431</v>
      </c>
      <c r="B44" s="3" t="s">
        <v>5432</v>
      </c>
      <c r="C44" s="3" t="s">
        <v>62</v>
      </c>
      <c r="D44" s="3" t="s">
        <v>46</v>
      </c>
      <c r="E44" s="3" t="s">
        <v>5297</v>
      </c>
      <c r="F44" s="3" t="s">
        <v>5321</v>
      </c>
      <c r="G44" s="3" t="s">
        <v>5433</v>
      </c>
      <c r="H44" s="3" t="str">
        <f>HYPERLINK("http://www.jccm.es/sede/tramite/LFO","SUBVENCION DESTINADA A PALIAR PARCIALMENTE LOS EFECTOS DE LA CRISIS PROVOCADA POR LA COVID-19, A LOS OPERADORES QUE PRESTAN EL SERVICIO DE TRANSPORTE PUBLICO REGULAR DE VIAJEROS EN C-LM.")</f>
        <v>SUBVENCION DESTINADA A PALIAR PARCIALMENTE LOS EFECTOS DE LA CRISIS PROVOCADA POR LA COVID-19, A LOS OPERADORES QUE PRESTAN EL SERVICIO DE TRANSPORTE PUBLICO REGULAR DE VIAJEROS EN C-LM.</v>
      </c>
      <c r="I44" s="3" t="s">
        <v>42</v>
      </c>
      <c r="J44" s="3" t="s">
        <v>41</v>
      </c>
      <c r="K44" s="3" t="s">
        <v>42</v>
      </c>
      <c r="L44" s="3" t="s">
        <v>41</v>
      </c>
    </row>
    <row r="45" spans="1:12" ht="69">
      <c r="A45" s="3" t="s">
        <v>5434</v>
      </c>
      <c r="B45" s="3" t="s">
        <v>5435</v>
      </c>
      <c r="C45" s="3" t="s">
        <v>45</v>
      </c>
      <c r="D45" s="3" t="s">
        <v>46</v>
      </c>
      <c r="E45" s="3" t="s">
        <v>5297</v>
      </c>
      <c r="F45" s="3" t="s">
        <v>5314</v>
      </c>
      <c r="G45" s="3" t="s">
        <v>5436</v>
      </c>
      <c r="H45" s="3" t="str">
        <f>HYPERLINK("http://www.jccm.es/sede/tramite/LRG","AYUDAS PARA LA ELABORACION DEL LIBRO DEL EDIFICIO EXISTENTE PARA LA REHABILITACION Y LA REDACCION DE PROYECTOS TECNICOS DE REHABILITACION INTEGRAL DE EDIFICIOS DE CASTILLA-LA MANCHA.")</f>
        <v>AYUDAS PARA LA ELABORACION DEL LIBRO DEL EDIFICIO EXISTENTE PARA LA REHABILITACION Y LA REDACCION DE PROYECTOS TECNICOS DE REHABILITACION INTEGRAL DE EDIFICIOS DE CASTILLA-LA MANCHA.</v>
      </c>
      <c r="I45" s="3" t="s">
        <v>42</v>
      </c>
      <c r="J45" s="3" t="s">
        <v>41</v>
      </c>
      <c r="K45" s="3" t="s">
        <v>42</v>
      </c>
      <c r="L45" s="3" t="s">
        <v>41</v>
      </c>
    </row>
    <row r="46" spans="1:12" ht="57.6">
      <c r="A46" s="3" t="s">
        <v>5437</v>
      </c>
      <c r="B46" s="3" t="s">
        <v>5438</v>
      </c>
      <c r="C46" s="3" t="s">
        <v>45</v>
      </c>
      <c r="D46" s="3" t="s">
        <v>37</v>
      </c>
      <c r="E46" s="3" t="s">
        <v>5297</v>
      </c>
      <c r="F46" s="3" t="s">
        <v>5314</v>
      </c>
      <c r="G46" s="3" t="s">
        <v>5439</v>
      </c>
      <c r="H46" s="3" t="str">
        <f>HYPERLINK("http://www.jccm.es/sede/tramite/LRM","HABILITACION COMO AGENTE GESTOR DE LA REHABILITACION DEL PROGRAMA DE AYUDAS A LAS ACTUACIONES DE REHABILITACION A NIVEL DE EDIFICIO EN CASTILLA-LA MANCHA")</f>
        <v>HABILITACION COMO AGENTE GESTOR DE LA REHABILITACION DEL PROGRAMA DE AYUDAS A LAS ACTUACIONES DE REHABILITACION A NIVEL DE EDIFICIO EN CASTILLA-LA MANCHA</v>
      </c>
      <c r="I46" s="3" t="s">
        <v>41</v>
      </c>
      <c r="J46" s="3" t="s">
        <v>41</v>
      </c>
      <c r="K46" s="3" t="s">
        <v>42</v>
      </c>
      <c r="L46" s="3" t="s">
        <v>41</v>
      </c>
    </row>
    <row r="47" spans="1:12" ht="57.6">
      <c r="A47" s="3" t="s">
        <v>5440</v>
      </c>
      <c r="B47" s="3" t="s">
        <v>5441</v>
      </c>
      <c r="C47" s="3" t="s">
        <v>45</v>
      </c>
      <c r="D47" s="3" t="s">
        <v>37</v>
      </c>
      <c r="E47" s="3" t="s">
        <v>5297</v>
      </c>
      <c r="F47" s="3" t="s">
        <v>5314</v>
      </c>
      <c r="G47" s="3" t="s">
        <v>5442</v>
      </c>
      <c r="H47" s="3" t="str">
        <f>HYPERLINK("http://www.jccm.es/sede/tramite/LRN","HABILITACION COMO AGENTE GESTOR DE LA REHABILITACION DEL PROGRAMA DE AYUDAS A LAS ACTUACIONES DE MEJORA DE LA EFICIENCIA ENERGETICA EN VIVIENDAS EN CASTILLA-LA MANCHA.")</f>
        <v>HABILITACION COMO AGENTE GESTOR DE LA REHABILITACION DEL PROGRAMA DE AYUDAS A LAS ACTUACIONES DE MEJORA DE LA EFICIENCIA ENERGETICA EN VIVIENDAS EN CASTILLA-LA MANCHA.</v>
      </c>
      <c r="I47" s="3" t="s">
        <v>41</v>
      </c>
      <c r="J47" s="3" t="s">
        <v>41</v>
      </c>
      <c r="K47" s="3" t="s">
        <v>42</v>
      </c>
      <c r="L47" s="3" t="s">
        <v>41</v>
      </c>
    </row>
    <row r="48" spans="1:12" ht="80.45">
      <c r="A48" s="3" t="s">
        <v>5443</v>
      </c>
      <c r="B48" s="3" t="s">
        <v>5444</v>
      </c>
      <c r="C48" s="3" t="s">
        <v>5445</v>
      </c>
      <c r="D48" s="3" t="s">
        <v>46</v>
      </c>
      <c r="E48" s="3" t="s">
        <v>5297</v>
      </c>
      <c r="F48" s="3" t="s">
        <v>5314</v>
      </c>
      <c r="G48" s="3" t="s">
        <v>5446</v>
      </c>
      <c r="H48" s="3" t="str">
        <f>HYPERLINK("http://www.jccm.es/sede/tramite/LSM","AYUDAS A LAS ACTUACIONES DE REHABILITACION A NIVEL DE EDIFICIO EN CASTILLA-LA MANCHA, DENTRO DEL MARCO GENERAL DEL PLAN DE RECUPERACION, TRANSFORMACION Y RESILIENCIA.")</f>
        <v>AYUDAS A LAS ACTUACIONES DE REHABILITACION A NIVEL DE EDIFICIO EN CASTILLA-LA MANCHA, DENTRO DEL MARCO GENERAL DEL PLAN DE RECUPERACION, TRANSFORMACION Y RESILIENCIA.</v>
      </c>
      <c r="I48" s="3" t="s">
        <v>41</v>
      </c>
      <c r="J48" s="3" t="s">
        <v>41</v>
      </c>
      <c r="K48" s="3" t="s">
        <v>42</v>
      </c>
      <c r="L48" s="3" t="s">
        <v>41</v>
      </c>
    </row>
    <row r="49" spans="1:12" ht="80.45">
      <c r="A49" s="3" t="s">
        <v>5447</v>
      </c>
      <c r="B49" s="3" t="s">
        <v>5448</v>
      </c>
      <c r="C49" s="3" t="s">
        <v>5445</v>
      </c>
      <c r="D49" s="3" t="s">
        <v>46</v>
      </c>
      <c r="E49" s="3" t="s">
        <v>5297</v>
      </c>
      <c r="F49" s="3" t="s">
        <v>5314</v>
      </c>
      <c r="G49" s="3" t="s">
        <v>5449</v>
      </c>
      <c r="H49" s="3" t="str">
        <f>HYPERLINK("http://www.jccm.es/sede/tramite/LSN","AYUDAS A LAS ACTUACIONES DE MEJORA DE LA EFICIENCIA ENERGETICA EN VIVIENDAS EN CASTILLA-LA MANCHA, DENTRO DEL MARCO GENERAL DEL PLAN DE RECUPERACION, TRANSFORMACION Y RESILIENCIA.")</f>
        <v>AYUDAS A LAS ACTUACIONES DE MEJORA DE LA EFICIENCIA ENERGETICA EN VIVIENDAS EN CASTILLA-LA MANCHA, DENTRO DEL MARCO GENERAL DEL PLAN DE RECUPERACION, TRANSFORMACION Y RESILIENCIA.</v>
      </c>
      <c r="I49" s="3" t="s">
        <v>41</v>
      </c>
      <c r="J49" s="3" t="s">
        <v>41</v>
      </c>
      <c r="K49" s="3" t="s">
        <v>42</v>
      </c>
      <c r="L49" s="3" t="s">
        <v>41</v>
      </c>
    </row>
    <row r="50" spans="1:12" ht="45.95">
      <c r="A50" s="3" t="s">
        <v>5450</v>
      </c>
      <c r="B50" s="3" t="s">
        <v>5451</v>
      </c>
      <c r="C50" s="3" t="s">
        <v>5452</v>
      </c>
      <c r="D50" s="3" t="s">
        <v>46</v>
      </c>
      <c r="E50" s="3" t="s">
        <v>5297</v>
      </c>
      <c r="F50" s="3" t="s">
        <v>5314</v>
      </c>
      <c r="G50" s="3" t="s">
        <v>5453</v>
      </c>
      <c r="H50" s="3" t="str">
        <f>HYPERLINK("http://www.jccm.es/sede/tramite/LSV","AYUDAS AL  BONO ALQUILER JOVEN EN CASTILLA-LA MANCHA.")</f>
        <v>AYUDAS AL  BONO ALQUILER JOVEN EN CASTILLA-LA MANCHA.</v>
      </c>
      <c r="I50" s="3" t="s">
        <v>42</v>
      </c>
      <c r="J50" s="3" t="s">
        <v>41</v>
      </c>
      <c r="K50" s="3" t="s">
        <v>42</v>
      </c>
      <c r="L50" s="3" t="s">
        <v>41</v>
      </c>
    </row>
    <row r="51" spans="1:12" ht="114.95">
      <c r="A51" s="3" t="s">
        <v>5454</v>
      </c>
      <c r="B51" s="3" t="s">
        <v>5455</v>
      </c>
      <c r="C51" s="3" t="s">
        <v>5456</v>
      </c>
      <c r="D51" s="3" t="s">
        <v>46</v>
      </c>
      <c r="E51" s="3" t="s">
        <v>5297</v>
      </c>
      <c r="F51" s="3" t="s">
        <v>5321</v>
      </c>
      <c r="G51" s="3" t="s">
        <v>5457</v>
      </c>
      <c r="H51" s="3" t="str">
        <f>HYPERLINK("http://www.jccm.es/sede/tramite/LSX","AYUDAS PARA LA TRANSFORMACION DE FLOTAS DE TRANSPORTES DE MERCANCIAS Y VIAJEROS DE EMPRESAS PRIVADAS PRESTADORAS DE SERVICIOS DE TRANSPORTE POR CARRETERA Y PRIVADO COMPLEMENTARIO.")</f>
        <v>AYUDAS PARA LA TRANSFORMACION DE FLOTAS DE TRANSPORTES DE MERCANCIAS Y VIAJEROS DE EMPRESAS PRIVADAS PRESTADORAS DE SERVICIOS DE TRANSPORTE POR CARRETERA Y PRIVADO COMPLEMENTARIO.</v>
      </c>
      <c r="I51" s="3" t="s">
        <v>42</v>
      </c>
      <c r="J51" s="3" t="s">
        <v>41</v>
      </c>
      <c r="K51" s="3" t="s">
        <v>42</v>
      </c>
      <c r="L51" s="3" t="s">
        <v>41</v>
      </c>
    </row>
    <row r="52" spans="1:12" ht="57.6">
      <c r="A52" s="3" t="s">
        <v>5458</v>
      </c>
      <c r="B52" s="3" t="s">
        <v>5459</v>
      </c>
      <c r="C52" s="3" t="s">
        <v>5460</v>
      </c>
      <c r="D52" s="3" t="s">
        <v>46</v>
      </c>
      <c r="E52" s="3" t="s">
        <v>5297</v>
      </c>
      <c r="F52" s="3" t="s">
        <v>5314</v>
      </c>
      <c r="G52" s="3" t="s">
        <v>5461</v>
      </c>
      <c r="H52" s="3" t="str">
        <f>HYPERLINK("http://www.jccm.es/sede/tramite/LUP","APROBACION DEL PROYECTO ANUAL DE ACTUACIONES SUBVENCIONADAS PARA LA IMPLANTACION DE LAS OFICINAS DE  REHABILITACION EN EL AMBITO TERRITORIAL DE CASTILLA- LA MANCHA")</f>
        <v>APROBACION DEL PROYECTO ANUAL DE ACTUACIONES SUBVENCIONADAS PARA LA IMPLANTACION DE LAS OFICINAS DE  REHABILITACION EN EL AMBITO TERRITORIAL DE CASTILLA- LA MANCHA</v>
      </c>
      <c r="I52" s="3" t="s">
        <v>41</v>
      </c>
      <c r="J52" s="3" t="s">
        <v>41</v>
      </c>
      <c r="K52" s="3" t="s">
        <v>42</v>
      </c>
      <c r="L52" s="3" t="s">
        <v>41</v>
      </c>
    </row>
    <row r="53" spans="1:12" ht="103.5">
      <c r="A53" s="3" t="s">
        <v>5462</v>
      </c>
      <c r="B53" s="3" t="s">
        <v>5463</v>
      </c>
      <c r="C53" s="3" t="s">
        <v>5464</v>
      </c>
      <c r="D53" s="3" t="s">
        <v>46</v>
      </c>
      <c r="E53" s="3" t="s">
        <v>5297</v>
      </c>
      <c r="F53" s="3" t="s">
        <v>5321</v>
      </c>
      <c r="G53" s="3" t="s">
        <v>5465</v>
      </c>
      <c r="H53" s="3" t="str">
        <f>HYPERLINK("http://www.jccm.es/sede/tramite/LVG","AYUDAS DESTINADAS A TITULARES DE AUTORIZACIONES DE TRANSPORTE PUBLICO DE VIAJEROS EN VEHICULOS DE TURISMO AUTO-TAXI (VT) EN EL MARCO DEL PROGRAMA DE FOMENTO A LA ADAPTACION DE VEHICULOS.")</f>
        <v>AYUDAS DESTINADAS A TITULARES DE AUTORIZACIONES DE TRANSPORTE PUBLICO DE VIAJEROS EN VEHICULOS DE TURISMO AUTO-TAXI (VT) EN EL MARCO DEL PROGRAMA DE FOMENTO A LA ADAPTACION DE VEHICULOS.</v>
      </c>
      <c r="I53" s="3" t="s">
        <v>42</v>
      </c>
      <c r="J53" s="3" t="s">
        <v>41</v>
      </c>
      <c r="K53" s="3" t="s">
        <v>42</v>
      </c>
      <c r="L53" s="3" t="s">
        <v>41</v>
      </c>
    </row>
    <row r="54" spans="1:12" ht="126.6">
      <c r="A54" s="3" t="s">
        <v>5466</v>
      </c>
      <c r="B54" s="3" t="s">
        <v>5467</v>
      </c>
      <c r="C54" s="3" t="s">
        <v>95</v>
      </c>
      <c r="D54" s="3" t="s">
        <v>46</v>
      </c>
      <c r="E54" s="3" t="s">
        <v>5297</v>
      </c>
      <c r="F54" s="3" t="s">
        <v>5297</v>
      </c>
      <c r="G54" s="3" t="s">
        <v>5468</v>
      </c>
      <c r="H54" s="3" t="str">
        <f>HYPERLINK("http://www.jccm.es/sede/tramite/LW4","JUSTIFICACION DE LA AYUDA CONCEDIDA PARA REALIZAR LA OBRA DE INSTALACION DE ASCENSOR HASTA LA COTA CERO DE ACCESO AL EDIFICIO EN LA C/ RIO MARIANA, 3 DE CUENCA.")</f>
        <v>JUSTIFICACION DE LA AYUDA CONCEDIDA PARA REALIZAR LA OBRA DE INSTALACION DE ASCENSOR HASTA LA COTA CERO DE ACCESO AL EDIFICIO EN LA C/ RIO MARIANA, 3 DE CUENCA.</v>
      </c>
      <c r="I54" s="3" t="s">
        <v>41</v>
      </c>
      <c r="J54" s="3" t="s">
        <v>41</v>
      </c>
      <c r="K54" s="3" t="s">
        <v>42</v>
      </c>
      <c r="L54" s="3" t="s">
        <v>41</v>
      </c>
    </row>
    <row r="55" spans="1:12" ht="80.45">
      <c r="A55" s="3" t="s">
        <v>5469</v>
      </c>
      <c r="B55" s="3" t="s">
        <v>5470</v>
      </c>
      <c r="C55" s="3" t="s">
        <v>5471</v>
      </c>
      <c r="D55" s="3" t="s">
        <v>46</v>
      </c>
      <c r="E55" s="3" t="s">
        <v>5297</v>
      </c>
      <c r="F55" s="3" t="s">
        <v>5314</v>
      </c>
      <c r="G55" s="3" t="s">
        <v>5472</v>
      </c>
      <c r="H55" s="3" t="str">
        <f>HYPERLINK("http://www.jccm.es/sede/tramite/LX1","AYUDAS A LA MEJORA DE LA ACCESIBILIDAD EN Y A LAS VIVIENDAS DE CASTILLA-LA MANCHA, EN EL MARCO DEL PLAN ESTATAL DE VIVIENDA 2022-2025.")</f>
        <v>AYUDAS A LA MEJORA DE LA ACCESIBILIDAD EN Y A LAS VIVIENDAS DE CASTILLA-LA MANCHA, EN EL MARCO DEL PLAN ESTATAL DE VIVIENDA 2022-2025.</v>
      </c>
      <c r="I55" s="3" t="s">
        <v>42</v>
      </c>
      <c r="J55" s="3" t="s">
        <v>41</v>
      </c>
      <c r="K55" s="3" t="s">
        <v>42</v>
      </c>
      <c r="L55" s="3" t="s">
        <v>41</v>
      </c>
    </row>
    <row r="56" spans="1:12" ht="45.95">
      <c r="A56" s="3" t="s">
        <v>5473</v>
      </c>
      <c r="B56" s="3" t="s">
        <v>5474</v>
      </c>
      <c r="C56" s="3" t="s">
        <v>70</v>
      </c>
      <c r="D56" s="3" t="s">
        <v>46</v>
      </c>
      <c r="E56" s="3" t="s">
        <v>5297</v>
      </c>
      <c r="F56" s="3" t="s">
        <v>5314</v>
      </c>
      <c r="G56" s="3" t="s">
        <v>5475</v>
      </c>
      <c r="H56" s="3" t="str">
        <f>HYPERLINK("http://www.jccm.es/sede/tramite/K4A","ABONO DE AYUDAS AL ARRENDAMIENTO DE VIVIENDAS")</f>
        <v>ABONO DE AYUDAS AL ARRENDAMIENTO DE VIVIENDAS</v>
      </c>
      <c r="I56" s="3" t="s">
        <v>42</v>
      </c>
      <c r="J56" s="3" t="s">
        <v>41</v>
      </c>
      <c r="K56" s="3" t="s">
        <v>42</v>
      </c>
      <c r="L56" s="3" t="s">
        <v>41</v>
      </c>
    </row>
    <row r="57" spans="1:12" ht="45.95">
      <c r="A57" s="3" t="s">
        <v>5476</v>
      </c>
      <c r="B57" s="3" t="s">
        <v>5477</v>
      </c>
      <c r="C57" s="3" t="s">
        <v>70</v>
      </c>
      <c r="D57" s="3" t="s">
        <v>46</v>
      </c>
      <c r="E57" s="3" t="s">
        <v>5297</v>
      </c>
      <c r="F57" s="3" t="s">
        <v>5314</v>
      </c>
      <c r="G57" s="3" t="s">
        <v>5478</v>
      </c>
      <c r="H57" s="3" t="str">
        <f>HYPERLINK("http://www.jccm.es/sede/tramite/L1D","COMUNICACION DE MODIFICACION DE LAS CONDICIONES")</f>
        <v>COMUNICACION DE MODIFICACION DE LAS CONDICIONES</v>
      </c>
      <c r="I57" s="3" t="s">
        <v>42</v>
      </c>
      <c r="J57" s="3" t="s">
        <v>41</v>
      </c>
      <c r="K57" s="3" t="s">
        <v>42</v>
      </c>
      <c r="L57" s="3" t="s">
        <v>41</v>
      </c>
    </row>
    <row r="58" spans="1:12" ht="45.95">
      <c r="A58" s="3" t="s">
        <v>5479</v>
      </c>
      <c r="B58" s="3" t="s">
        <v>5480</v>
      </c>
      <c r="C58" s="3" t="s">
        <v>70</v>
      </c>
      <c r="D58" s="3" t="s">
        <v>46</v>
      </c>
      <c r="E58" s="3" t="s">
        <v>5297</v>
      </c>
      <c r="F58" s="3" t="s">
        <v>5314</v>
      </c>
      <c r="G58" s="3" t="s">
        <v>5481</v>
      </c>
      <c r="H58" s="3" t="str">
        <f>HYPERLINK("http://www.jccm.es/sede/tramite/I4L","AYUDAS AL ALQUILER DE VIVIENDA EN CASTILLA-LA MANCHA, EN EL MARCO DEL PLAN ESTATAL DE VIVIENDA 2022-2025.")</f>
        <v>AYUDAS AL ALQUILER DE VIVIENDA EN CASTILLA-LA MANCHA, EN EL MARCO DEL PLAN ESTATAL DE VIVIENDA 2022-2025.</v>
      </c>
      <c r="I58" s="3" t="s">
        <v>42</v>
      </c>
      <c r="J58" s="3" t="s">
        <v>41</v>
      </c>
      <c r="K58" s="3" t="s">
        <v>42</v>
      </c>
      <c r="L58" s="3" t="s">
        <v>41</v>
      </c>
    </row>
    <row r="59" spans="1:12" ht="69">
      <c r="A59" s="3" t="s">
        <v>5482</v>
      </c>
      <c r="B59" s="3" t="s">
        <v>5483</v>
      </c>
      <c r="C59" s="3" t="s">
        <v>51</v>
      </c>
      <c r="D59" s="3" t="s">
        <v>46</v>
      </c>
      <c r="E59" s="3" t="s">
        <v>5297</v>
      </c>
      <c r="F59" s="3" t="s">
        <v>5408</v>
      </c>
      <c r="G59" s="3" t="s">
        <v>5484</v>
      </c>
      <c r="H59" s="3" t="str">
        <f>HYPERLINK("http://www.jccm.es/sede/tramite/L35","SOLICITUD DE AYUDA PARA LA FINANCIACION DE ACTUACIONES EN MATERIA DE REDACCION DE DIVERSOS INSTRUMENTOS DE PLANEAMIENTO URBANISTICO.")</f>
        <v>SOLICITUD DE AYUDA PARA LA FINANCIACION DE ACTUACIONES EN MATERIA DE REDACCION DE DIVERSOS INSTRUMENTOS DE PLANEAMIENTO URBANISTICO.</v>
      </c>
      <c r="I59" s="3" t="s">
        <v>41</v>
      </c>
      <c r="J59" s="3" t="s">
        <v>41</v>
      </c>
      <c r="K59" s="3" t="s">
        <v>42</v>
      </c>
      <c r="L59" s="3" t="s">
        <v>41</v>
      </c>
    </row>
    <row r="60" spans="1:12" ht="69">
      <c r="A60" s="3" t="s">
        <v>5485</v>
      </c>
      <c r="B60" s="3" t="s">
        <v>5486</v>
      </c>
      <c r="C60" s="3" t="s">
        <v>51</v>
      </c>
      <c r="D60" s="3" t="s">
        <v>46</v>
      </c>
      <c r="E60" s="3" t="s">
        <v>5297</v>
      </c>
      <c r="F60" s="3" t="s">
        <v>5408</v>
      </c>
      <c r="G60" s="3" t="s">
        <v>5487</v>
      </c>
      <c r="H60" s="3" t="str">
        <f>HYPERLINK("http://www.jccm.es/sede/tramite/L37","MODIFICACION DE LA RESOLUCION DE CONCESION DE LA SUBVENCION PARA REDACCION DE INSTRUMENTOS DE PLANEAMIENTO.")</f>
        <v>MODIFICACION DE LA RESOLUCION DE CONCESION DE LA SUBVENCION PARA REDACCION DE INSTRUMENTOS DE PLANEAMIENTO.</v>
      </c>
      <c r="I60" s="3" t="s">
        <v>41</v>
      </c>
      <c r="J60" s="3" t="s">
        <v>41</v>
      </c>
      <c r="K60" s="3" t="s">
        <v>42</v>
      </c>
      <c r="L60" s="3" t="s">
        <v>41</v>
      </c>
    </row>
    <row r="61" spans="1:12" ht="69">
      <c r="A61" s="3" t="s">
        <v>5488</v>
      </c>
      <c r="B61" s="3" t="s">
        <v>5489</v>
      </c>
      <c r="C61" s="3" t="s">
        <v>51</v>
      </c>
      <c r="D61" s="3" t="s">
        <v>46</v>
      </c>
      <c r="E61" s="3" t="s">
        <v>5297</v>
      </c>
      <c r="F61" s="3" t="s">
        <v>5408</v>
      </c>
      <c r="G61" s="3" t="s">
        <v>5490</v>
      </c>
      <c r="H61" s="3" t="str">
        <f>HYPERLINK("http://www.jccm.es/sede/tramite/L36","SOLICITUD DE ABONO DE LA SUBVENCION PARA LA REDACCION DE INSTRUMENTOS DE PLANEAMIENTO.")</f>
        <v>SOLICITUD DE ABONO DE LA SUBVENCION PARA LA REDACCION DE INSTRUMENTOS DE PLANEAMIENTO.</v>
      </c>
      <c r="I61" s="3" t="s">
        <v>41</v>
      </c>
      <c r="J61" s="3" t="s">
        <v>41</v>
      </c>
      <c r="K61" s="3" t="s">
        <v>42</v>
      </c>
      <c r="L61" s="3" t="s">
        <v>41</v>
      </c>
    </row>
    <row r="62" spans="1:12" ht="45.95">
      <c r="A62" s="3" t="s">
        <v>5491</v>
      </c>
      <c r="B62" s="3" t="s">
        <v>5492</v>
      </c>
      <c r="C62" s="3" t="s">
        <v>45</v>
      </c>
      <c r="D62" s="3" t="s">
        <v>46</v>
      </c>
      <c r="E62" s="3" t="s">
        <v>5297</v>
      </c>
      <c r="F62" s="3" t="s">
        <v>5314</v>
      </c>
      <c r="G62" s="3" t="s">
        <v>5493</v>
      </c>
      <c r="H62" s="3" t="str">
        <f>HYPERLINK("http://www.jccm.es/sede/tramite/KGO","COMUNICACION DE MODIFICACION DE LAS ACTUACIONES- LINEAS B Y C")</f>
        <v>COMUNICACION DE MODIFICACION DE LAS ACTUACIONES- LINEAS B Y C</v>
      </c>
      <c r="I62" s="3" t="s">
        <v>42</v>
      </c>
      <c r="J62" s="3" t="s">
        <v>41</v>
      </c>
      <c r="K62" s="3" t="s">
        <v>42</v>
      </c>
      <c r="L62" s="3" t="s">
        <v>41</v>
      </c>
    </row>
    <row r="63" spans="1:12" ht="45.95">
      <c r="A63" s="3" t="s">
        <v>5494</v>
      </c>
      <c r="B63" s="3" t="s">
        <v>5495</v>
      </c>
      <c r="C63" s="3" t="s">
        <v>45</v>
      </c>
      <c r="D63" s="3" t="s">
        <v>46</v>
      </c>
      <c r="E63" s="3" t="s">
        <v>5297</v>
      </c>
      <c r="F63" s="3" t="s">
        <v>5314</v>
      </c>
      <c r="G63" s="3" t="s">
        <v>5496</v>
      </c>
      <c r="H63" s="3" t="str">
        <f>HYPERLINK("http://www.jccm.es/sede/tramite/KGP","SOLICITUD DE ABONO DE LA AYUDA. LINEAS B Y C.")</f>
        <v>SOLICITUD DE ABONO DE LA AYUDA. LINEAS B Y C.</v>
      </c>
      <c r="I63" s="3" t="s">
        <v>42</v>
      </c>
      <c r="J63" s="3" t="s">
        <v>41</v>
      </c>
      <c r="K63" s="3" t="s">
        <v>42</v>
      </c>
      <c r="L63" s="3" t="s">
        <v>41</v>
      </c>
    </row>
    <row r="64" spans="1:12" ht="45.95">
      <c r="A64" s="3" t="s">
        <v>5497</v>
      </c>
      <c r="B64" s="3" t="s">
        <v>5498</v>
      </c>
      <c r="C64" s="3" t="s">
        <v>45</v>
      </c>
      <c r="D64" s="3" t="s">
        <v>46</v>
      </c>
      <c r="E64" s="3" t="s">
        <v>5297</v>
      </c>
      <c r="F64" s="3" t="s">
        <v>5314</v>
      </c>
      <c r="G64" s="3" t="s">
        <v>5499</v>
      </c>
      <c r="H64" s="3" t="str">
        <f>HYPERLINK("http://www.jccm.es/sede/tramite/KG8","SOLICITUD DE AYUDAS A LA REHABILITACION EDIFICATORIA. LINEAS B Y C.")</f>
        <v>SOLICITUD DE AYUDAS A LA REHABILITACION EDIFICATORIA. LINEAS B Y C.</v>
      </c>
      <c r="I64" s="3" t="s">
        <v>42</v>
      </c>
      <c r="J64" s="3" t="s">
        <v>41</v>
      </c>
      <c r="K64" s="3" t="s">
        <v>42</v>
      </c>
      <c r="L64" s="3" t="s">
        <v>41</v>
      </c>
    </row>
    <row r="65" spans="1:12" ht="45.95">
      <c r="A65" s="3" t="s">
        <v>5500</v>
      </c>
      <c r="B65" s="3" t="s">
        <v>5501</v>
      </c>
      <c r="C65" s="3" t="s">
        <v>45</v>
      </c>
      <c r="D65" s="3" t="s">
        <v>46</v>
      </c>
      <c r="E65" s="3" t="s">
        <v>5297</v>
      </c>
      <c r="F65" s="3" t="s">
        <v>5314</v>
      </c>
      <c r="G65" s="3" t="s">
        <v>5502</v>
      </c>
      <c r="H65" s="3" t="str">
        <f>HYPERLINK("http://www.jccm.es/sede/tramite/L2P","ABONO DE LA AYUDA REHABILITACION DE ELEMENTOS COMUNES DE EDIFICIOS DE TIPOLOGIA RESIDENCIAL COLECTIVA DE VIVIENDAS.")</f>
        <v>ABONO DE LA AYUDA REHABILITACION DE ELEMENTOS COMUNES DE EDIFICIOS DE TIPOLOGIA RESIDENCIAL COLECTIVA DE VIVIENDAS.</v>
      </c>
      <c r="I65" s="3" t="s">
        <v>42</v>
      </c>
      <c r="J65" s="3" t="s">
        <v>41</v>
      </c>
      <c r="K65" s="3" t="s">
        <v>42</v>
      </c>
      <c r="L65" s="3" t="s">
        <v>41</v>
      </c>
    </row>
    <row r="66" spans="1:12" ht="80.45">
      <c r="A66" s="3" t="s">
        <v>5503</v>
      </c>
      <c r="B66" s="3" t="s">
        <v>5504</v>
      </c>
      <c r="C66" s="3" t="s">
        <v>45</v>
      </c>
      <c r="D66" s="3" t="s">
        <v>46</v>
      </c>
      <c r="E66" s="3" t="s">
        <v>5297</v>
      </c>
      <c r="F66" s="3" t="s">
        <v>5314</v>
      </c>
      <c r="G66" s="3" t="s">
        <v>5505</v>
      </c>
      <c r="H66" s="3" t="str">
        <f>HYPERLINK("http://www.jccm.es/sede/tramite/L2N","PROGRAMA DE FOMENTO DE LA MEJORA DE LA EFICIENCIA ENERGETICA Y SOSTENIBILIDAD DE VIVIENDAS Y PROG.  DE FOMENTO DE LA CONSERVACION, MEJORA DE LA SEGURIDAD DE UTILIZACION Y DE LA ACCESIBILIDAD- LINEA A")</f>
        <v>PROGRAMA DE FOMENTO DE LA MEJORA DE LA EFICIENCIA ENERGETICA Y SOSTENIBILIDAD DE VIVIENDAS Y PROG.  DE FOMENTO DE LA CONSERVACION, MEJORA DE LA SEGURIDAD DE UTILIZACION Y DE LA ACCESIBILIDAD- LINEA A</v>
      </c>
      <c r="I66" s="3" t="s">
        <v>42</v>
      </c>
      <c r="J66" s="3" t="s">
        <v>41</v>
      </c>
      <c r="K66" s="3" t="s">
        <v>42</v>
      </c>
      <c r="L66" s="3" t="s">
        <v>41</v>
      </c>
    </row>
    <row r="67" spans="1:12" ht="45.95">
      <c r="A67" s="3" t="s">
        <v>5506</v>
      </c>
      <c r="B67" s="3" t="s">
        <v>5507</v>
      </c>
      <c r="C67" s="3" t="s">
        <v>45</v>
      </c>
      <c r="D67" s="3" t="s">
        <v>46</v>
      </c>
      <c r="E67" s="3" t="s">
        <v>5297</v>
      </c>
      <c r="F67" s="3" t="s">
        <v>5314</v>
      </c>
      <c r="G67" s="3" t="s">
        <v>5508</v>
      </c>
      <c r="H67" s="3" t="str">
        <f>HYPERLINK("http://www.jccm.es/sede/tramite/L2O","COMUNICACION DE MODIFICACION DE LAS ACTUACIONES")</f>
        <v>COMUNICACION DE MODIFICACION DE LAS ACTUACIONES</v>
      </c>
      <c r="I67" s="3" t="s">
        <v>42</v>
      </c>
      <c r="J67" s="3" t="s">
        <v>41</v>
      </c>
      <c r="K67" s="3" t="s">
        <v>42</v>
      </c>
      <c r="L67" s="3" t="s">
        <v>41</v>
      </c>
    </row>
    <row r="68" spans="1:12" ht="69">
      <c r="A68" s="3" t="s">
        <v>5509</v>
      </c>
      <c r="B68" s="3" t="s">
        <v>5510</v>
      </c>
      <c r="C68" s="3" t="s">
        <v>45</v>
      </c>
      <c r="D68" s="3" t="s">
        <v>46</v>
      </c>
      <c r="E68" s="3" t="s">
        <v>5297</v>
      </c>
      <c r="F68" s="3" t="s">
        <v>5408</v>
      </c>
      <c r="G68" s="3" t="s">
        <v>5511</v>
      </c>
      <c r="H68" s="3" t="str">
        <f>HYPERLINK("http://www.jccm.es/sede/tramite/KKG","SOLICITUD DE DECLARACION Y FINANCIACION DEL AREA DE REGENERACION Y RENOVACION URBANA Y RURAL")</f>
        <v>SOLICITUD DE DECLARACION Y FINANCIACION DEL AREA DE REGENERACION Y RENOVACION URBANA Y RURAL</v>
      </c>
      <c r="I68" s="3" t="s">
        <v>41</v>
      </c>
      <c r="J68" s="3" t="s">
        <v>41</v>
      </c>
      <c r="K68" s="3" t="s">
        <v>42</v>
      </c>
      <c r="L68" s="3" t="s">
        <v>41</v>
      </c>
    </row>
    <row r="69" spans="1:12" ht="69">
      <c r="A69" s="3" t="s">
        <v>5512</v>
      </c>
      <c r="B69" s="3" t="s">
        <v>5507</v>
      </c>
      <c r="C69" s="3" t="s">
        <v>45</v>
      </c>
      <c r="D69" s="3" t="s">
        <v>46</v>
      </c>
      <c r="E69" s="3" t="s">
        <v>5297</v>
      </c>
      <c r="F69" s="3" t="s">
        <v>5408</v>
      </c>
      <c r="G69" s="3" t="s">
        <v>5513</v>
      </c>
      <c r="H69" s="3" t="str">
        <f>HYPERLINK("http://www.jccm.es/sede/tramite/KKI","COMUNICACION DE MODIFICACION DE LAS ACTUACIONES")</f>
        <v>COMUNICACION DE MODIFICACION DE LAS ACTUACIONES</v>
      </c>
      <c r="I69" s="3" t="s">
        <v>42</v>
      </c>
      <c r="J69" s="3" t="s">
        <v>41</v>
      </c>
      <c r="K69" s="3" t="s">
        <v>42</v>
      </c>
      <c r="L69" s="3" t="s">
        <v>41</v>
      </c>
    </row>
    <row r="70" spans="1:12" ht="45.95">
      <c r="A70" s="3" t="s">
        <v>5514</v>
      </c>
      <c r="B70" s="3" t="s">
        <v>5515</v>
      </c>
      <c r="C70" s="3" t="s">
        <v>45</v>
      </c>
      <c r="D70" s="3" t="s">
        <v>46</v>
      </c>
      <c r="E70" s="3" t="s">
        <v>5297</v>
      </c>
      <c r="F70" s="3" t="s">
        <v>5314</v>
      </c>
      <c r="G70" s="3" t="s">
        <v>5516</v>
      </c>
      <c r="H70" s="3" t="str">
        <f>HYPERLINK("http://www.jccm.es/sede/tramite/KKF","SOLICITUD DEL RECONOCIMIENTO DEL DERECHO A LA SUBVENCION")</f>
        <v>SOLICITUD DEL RECONOCIMIENTO DEL DERECHO A LA SUBVENCION</v>
      </c>
      <c r="I70" s="3" t="s">
        <v>41</v>
      </c>
      <c r="J70" s="3" t="s">
        <v>41</v>
      </c>
      <c r="K70" s="3" t="s">
        <v>42</v>
      </c>
      <c r="L70" s="3" t="s">
        <v>41</v>
      </c>
    </row>
    <row r="71" spans="1:12" ht="80.45">
      <c r="A71" s="3" t="s">
        <v>5517</v>
      </c>
      <c r="B71" s="3" t="s">
        <v>5518</v>
      </c>
      <c r="C71" s="3" t="s">
        <v>45</v>
      </c>
      <c r="D71" s="3" t="s">
        <v>46</v>
      </c>
      <c r="E71" s="3" t="s">
        <v>5297</v>
      </c>
      <c r="F71" s="3" t="s">
        <v>5314</v>
      </c>
      <c r="G71" s="3" t="s">
        <v>5519</v>
      </c>
      <c r="H71" s="3" t="str">
        <f>HYPERLINK("http://www.jccm.es/sede/tramite/KKJ","SOLICITUD DE ABONO DE LA AYUDA RECONOCIDA PARA ACTUACIONES DE REHABILITACION DE VIVIENDAS, SUSTITUCION DE VIVIENDAS, MEJORA DEL MEDIO URBANO, REALOJOS TEMPORALES Y EQUIPOS DE GESTION EN EL ARRUR")</f>
        <v>SOLICITUD DE ABONO DE LA AYUDA RECONOCIDA PARA ACTUACIONES DE REHABILITACION DE VIVIENDAS, SUSTITUCION DE VIVIENDAS, MEJORA DEL MEDIO URBANO, REALOJOS TEMPORALES Y EQUIPOS DE GESTION EN EL ARRUR</v>
      </c>
      <c r="I71" s="3" t="s">
        <v>42</v>
      </c>
      <c r="J71" s="3" t="s">
        <v>41</v>
      </c>
      <c r="K71" s="3" t="s">
        <v>42</v>
      </c>
      <c r="L71" s="3" t="s">
        <v>41</v>
      </c>
    </row>
    <row r="72" spans="1:12" ht="80.45">
      <c r="A72" s="3" t="s">
        <v>5520</v>
      </c>
      <c r="B72" s="3" t="s">
        <v>5521</v>
      </c>
      <c r="C72" s="3" t="s">
        <v>5522</v>
      </c>
      <c r="D72" s="3" t="s">
        <v>46</v>
      </c>
      <c r="E72" s="3" t="s">
        <v>5297</v>
      </c>
      <c r="F72" s="3" t="s">
        <v>5314</v>
      </c>
      <c r="G72" s="3" t="s">
        <v>5523</v>
      </c>
      <c r="H72" s="3" t="str">
        <f>HYPERLINK("http://www.jccm.es/sede/tramite/L67","SOLICITUD DE ABONO PARA AYUDA RECONOCIDA PARA LA ADQUISICION DE VIVIENDA HABITUAL Y PERMANENTE EN REGIMEN DE PROPIEDAD POR JOVENES.")</f>
        <v>SOLICITUD DE ABONO PARA AYUDA RECONOCIDA PARA LA ADQUISICION DE VIVIENDA HABITUAL Y PERMANENTE EN REGIMEN DE PROPIEDAD POR JOVENES.</v>
      </c>
      <c r="I72" s="3" t="s">
        <v>42</v>
      </c>
      <c r="J72" s="3" t="s">
        <v>41</v>
      </c>
      <c r="K72" s="3" t="s">
        <v>42</v>
      </c>
      <c r="L72" s="3" t="s">
        <v>41</v>
      </c>
    </row>
    <row r="73" spans="1:12" ht="80.45">
      <c r="A73" s="3" t="s">
        <v>5524</v>
      </c>
      <c r="B73" s="3" t="s">
        <v>5525</v>
      </c>
      <c r="C73" s="3" t="s">
        <v>5522</v>
      </c>
      <c r="D73" s="3" t="s">
        <v>46</v>
      </c>
      <c r="E73" s="3" t="s">
        <v>5297</v>
      </c>
      <c r="F73" s="3" t="s">
        <v>5314</v>
      </c>
      <c r="G73" s="3" t="s">
        <v>5526</v>
      </c>
      <c r="H73" s="3" t="str">
        <f>HYPERLINK("http://www.jccm.es/sede/tramite/L66","AYUDAS A LA ADQUISICION DE VIVIENDA EN PROPIEDAD POR LOS JOVENES PARA CONTRIBUIR AL RETO DEMOGRAFICO DE CASTILLA-LA MANCHA, EN EL MARCO DEL PLAN ESTATAL DE VIVIENDA 2022-2025.")</f>
        <v>AYUDAS A LA ADQUISICION DE VIVIENDA EN PROPIEDAD POR LOS JOVENES PARA CONTRIBUIR AL RETO DEMOGRAFICO DE CASTILLA-LA MANCHA, EN EL MARCO DEL PLAN ESTATAL DE VIVIENDA 2022-2025.</v>
      </c>
      <c r="I73" s="3" t="s">
        <v>42</v>
      </c>
      <c r="J73" s="3" t="s">
        <v>41</v>
      </c>
      <c r="K73" s="3" t="s">
        <v>42</v>
      </c>
      <c r="L73" s="3" t="s">
        <v>41</v>
      </c>
    </row>
    <row r="74" spans="1:12" ht="57.6">
      <c r="A74" s="3" t="s">
        <v>5527</v>
      </c>
      <c r="B74" s="3" t="s">
        <v>5528</v>
      </c>
      <c r="C74" s="3" t="s">
        <v>5529</v>
      </c>
      <c r="D74" s="3" t="s">
        <v>46</v>
      </c>
      <c r="E74" s="3" t="s">
        <v>5297</v>
      </c>
      <c r="F74" s="3" t="s">
        <v>5314</v>
      </c>
      <c r="G74" s="3" t="s">
        <v>5530</v>
      </c>
      <c r="H74" s="3" t="str">
        <f>HYPERLINK("http://www.jccm.es/sede/tramite/LAL","COMUNICACION DE MODIFICACION DE LAS CONDICIONES DE LAS AYUDAS AL ARRENDAMIENTO DE VIVIENDAS DIRIGIDAS A VICTIMAS DE VIOLENCIA DE GENERO.")</f>
        <v>COMUNICACION DE MODIFICACION DE LAS CONDICIONES DE LAS AYUDAS AL ARRENDAMIENTO DE VIVIENDAS DIRIGIDAS A VICTIMAS DE VIOLENCIA DE GENERO.</v>
      </c>
      <c r="I74" s="3" t="s">
        <v>42</v>
      </c>
      <c r="J74" s="3" t="s">
        <v>41</v>
      </c>
      <c r="K74" s="3" t="s">
        <v>42</v>
      </c>
      <c r="L74" s="3" t="s">
        <v>41</v>
      </c>
    </row>
    <row r="75" spans="1:12" ht="45.95">
      <c r="A75" s="3" t="s">
        <v>5531</v>
      </c>
      <c r="B75" s="3" t="s">
        <v>5532</v>
      </c>
      <c r="C75" s="3" t="s">
        <v>5529</v>
      </c>
      <c r="D75" s="3" t="s">
        <v>46</v>
      </c>
      <c r="E75" s="3" t="s">
        <v>5297</v>
      </c>
      <c r="F75" s="3" t="s">
        <v>5314</v>
      </c>
      <c r="G75" s="3" t="s">
        <v>5533</v>
      </c>
      <c r="H75" s="3" t="str">
        <f>HYPERLINK("http://www.jccm.es/sede/tramite/LAN","ABONO DE LAS AYUDAS AL ARRENDAMIENTO DE VIVIENDAS DIRIGIDAS A VICTIMAS DE VIOLENCIA DE GENERO")</f>
        <v>ABONO DE LAS AYUDAS AL ARRENDAMIENTO DE VIVIENDAS DIRIGIDAS A VICTIMAS DE VIOLENCIA DE GENERO</v>
      </c>
      <c r="I75" s="3" t="s">
        <v>42</v>
      </c>
      <c r="J75" s="3" t="s">
        <v>41</v>
      </c>
      <c r="K75" s="3" t="s">
        <v>42</v>
      </c>
      <c r="L75" s="3" t="s">
        <v>41</v>
      </c>
    </row>
    <row r="76" spans="1:12" ht="45.95">
      <c r="A76" s="3" t="s">
        <v>5534</v>
      </c>
      <c r="B76" s="3" t="s">
        <v>5535</v>
      </c>
      <c r="C76" s="3" t="s">
        <v>5529</v>
      </c>
      <c r="D76" s="3" t="s">
        <v>46</v>
      </c>
      <c r="E76" s="3" t="s">
        <v>5297</v>
      </c>
      <c r="F76" s="3" t="s">
        <v>5314</v>
      </c>
      <c r="G76" s="3" t="s">
        <v>5536</v>
      </c>
      <c r="H76" s="3" t="str">
        <f>HYPERLINK("http://www.jccm.es/sede/tramite/LAM","SOLICITUD DE AYUDAS AL ARRENDAMIENTO DE VIVIENDAS DIRIGIDAS A VICTIMAS DE VIOLENCIA DE GENERO.")</f>
        <v>SOLICITUD DE AYUDAS AL ARRENDAMIENTO DE VIVIENDAS DIRIGIDAS A VICTIMAS DE VIOLENCIA DE GENERO.</v>
      </c>
      <c r="I76" s="3" t="s">
        <v>42</v>
      </c>
      <c r="J76" s="3" t="s">
        <v>41</v>
      </c>
      <c r="K76" s="3" t="s">
        <v>42</v>
      </c>
      <c r="L76" s="3" t="s">
        <v>41</v>
      </c>
    </row>
    <row r="77" spans="1:12" ht="45.95">
      <c r="A77" s="3" t="s">
        <v>5537</v>
      </c>
      <c r="B77" s="3" t="s">
        <v>5538</v>
      </c>
      <c r="C77" s="3" t="s">
        <v>327</v>
      </c>
      <c r="D77" s="3" t="s">
        <v>46</v>
      </c>
      <c r="E77" s="3" t="s">
        <v>5297</v>
      </c>
      <c r="F77" s="3" t="s">
        <v>5314</v>
      </c>
      <c r="G77" s="3" t="s">
        <v>5539</v>
      </c>
      <c r="H77" s="3" t="str">
        <f>HYPERLINK("http://www.jccm.es/sede/tramite/LGX","SOLICITUD DE AYUDA PARA ACTUACIONES DE REHABILITACION ENERGETICA EN VIVIENDAS EXISTENTES.")</f>
        <v>SOLICITUD DE AYUDA PARA ACTUACIONES DE REHABILITACION ENERGETICA EN VIVIENDAS EXISTENTES.</v>
      </c>
      <c r="I77" s="3" t="s">
        <v>42</v>
      </c>
      <c r="J77" s="3" t="s">
        <v>41</v>
      </c>
      <c r="K77" s="3" t="s">
        <v>42</v>
      </c>
      <c r="L77" s="3" t="s">
        <v>41</v>
      </c>
    </row>
    <row r="78" spans="1:12" ht="45.95">
      <c r="A78" s="3" t="s">
        <v>5540</v>
      </c>
      <c r="B78" s="3" t="s">
        <v>5541</v>
      </c>
      <c r="C78" s="3" t="s">
        <v>327</v>
      </c>
      <c r="D78" s="3" t="s">
        <v>46</v>
      </c>
      <c r="E78" s="3" t="s">
        <v>5297</v>
      </c>
      <c r="F78" s="3" t="s">
        <v>5314</v>
      </c>
      <c r="G78" s="3" t="s">
        <v>5542</v>
      </c>
      <c r="H78" s="3" t="str">
        <f>HYPERLINK("http://www.jccm.es/sede/tramite/LGZ","ABONO DE LA AYUDA PARA LA REHABILITACION ENERGETICA EN EDIFICIOS EXISTENTES")</f>
        <v>ABONO DE LA AYUDA PARA LA REHABILITACION ENERGETICA EN EDIFICIOS EXISTENTES</v>
      </c>
      <c r="I78" s="3" t="s">
        <v>42</v>
      </c>
      <c r="J78" s="3" t="s">
        <v>41</v>
      </c>
      <c r="K78" s="3" t="s">
        <v>42</v>
      </c>
      <c r="L78" s="3" t="s">
        <v>41</v>
      </c>
    </row>
    <row r="79" spans="1:12" ht="45.95">
      <c r="A79" s="3" t="s">
        <v>5543</v>
      </c>
      <c r="B79" s="3" t="s">
        <v>5544</v>
      </c>
      <c r="C79" s="3" t="s">
        <v>232</v>
      </c>
      <c r="D79" s="3" t="s">
        <v>46</v>
      </c>
      <c r="E79" s="3" t="s">
        <v>5297</v>
      </c>
      <c r="F79" s="3" t="s">
        <v>5314</v>
      </c>
      <c r="G79" s="3" t="s">
        <v>5545</v>
      </c>
      <c r="H79" s="3" t="str">
        <f>HYPERLINK("http://www.jccm.es/sede/tramite/LPQ","AYUDA PARA LA REHABILITACION ENERGETICA EN VIVIENDAS EXISTENTES EN MUNICIPIOS DE RETO DEMOGRAFICO.")</f>
        <v>AYUDA PARA LA REHABILITACION ENERGETICA EN VIVIENDAS EXISTENTES EN MUNICIPIOS DE RETO DEMOGRAFICO.</v>
      </c>
      <c r="I79" s="3" t="s">
        <v>42</v>
      </c>
      <c r="J79" s="3" t="s">
        <v>41</v>
      </c>
      <c r="K79" s="3" t="s">
        <v>42</v>
      </c>
      <c r="L79" s="3" t="s">
        <v>41</v>
      </c>
    </row>
    <row r="80" spans="1:12" ht="45.95">
      <c r="A80" s="3" t="s">
        <v>5546</v>
      </c>
      <c r="B80" s="3" t="s">
        <v>5547</v>
      </c>
      <c r="C80" s="3" t="s">
        <v>45</v>
      </c>
      <c r="D80" s="3" t="s">
        <v>37</v>
      </c>
      <c r="E80" s="3" t="s">
        <v>5297</v>
      </c>
      <c r="F80" s="3" t="s">
        <v>5314</v>
      </c>
      <c r="G80" s="3" t="s">
        <v>5548</v>
      </c>
      <c r="H80" s="3" t="str">
        <f>HYPERLINK("http://www.jccm.es/sede/tramite/JA6","CALIFICACION/DECLARACION PROVISIONAL DE VIVIENDA DE PROTECCION PUBLICA")</f>
        <v>CALIFICACION/DECLARACION PROVISIONAL DE VIVIENDA DE PROTECCION PUBLICA</v>
      </c>
      <c r="I80" s="3" t="s">
        <v>42</v>
      </c>
      <c r="J80" s="3" t="s">
        <v>41</v>
      </c>
      <c r="K80" s="3" t="s">
        <v>42</v>
      </c>
      <c r="L80" s="3" t="s">
        <v>41</v>
      </c>
    </row>
    <row r="81" spans="1:12" ht="45.95">
      <c r="A81" s="3" t="s">
        <v>5549</v>
      </c>
      <c r="B81" s="3" t="s">
        <v>5550</v>
      </c>
      <c r="C81" s="3" t="s">
        <v>45</v>
      </c>
      <c r="D81" s="3" t="s">
        <v>37</v>
      </c>
      <c r="E81" s="3" t="s">
        <v>5297</v>
      </c>
      <c r="F81" s="3" t="s">
        <v>5314</v>
      </c>
      <c r="G81" s="3" t="s">
        <v>5551</v>
      </c>
      <c r="H81" s="3" t="str">
        <f>HYPERLINK("http://www.jccm.es/sede/tramite/JA7","CALIFICACION/DECLARACION DEFINITIVA DE VIVIENDA DE PROTECCION PUBLICA")</f>
        <v>CALIFICACION/DECLARACION DEFINITIVA DE VIVIENDA DE PROTECCION PUBLICA</v>
      </c>
      <c r="I81" s="3" t="s">
        <v>42</v>
      </c>
      <c r="J81" s="3" t="s">
        <v>41</v>
      </c>
      <c r="K81" s="3" t="s">
        <v>42</v>
      </c>
      <c r="L81" s="3" t="s">
        <v>41</v>
      </c>
    </row>
    <row r="82" spans="1:12" ht="69">
      <c r="A82" s="3" t="s">
        <v>5552</v>
      </c>
      <c r="B82" s="3" t="s">
        <v>5553</v>
      </c>
      <c r="C82" s="3" t="s">
        <v>51</v>
      </c>
      <c r="D82" s="3" t="s">
        <v>46</v>
      </c>
      <c r="E82" s="3" t="s">
        <v>5297</v>
      </c>
      <c r="F82" s="3" t="s">
        <v>5408</v>
      </c>
      <c r="G82" s="3" t="s">
        <v>5554</v>
      </c>
      <c r="H82" s="3" t="str">
        <f>HYPERLINK("http://www.jccm.es/sede/tramite/J7N","DECLARACION DE INTERES REGIONAL DE LOS PROYECTOS DE SINGULAR INTERES PROMOVIDOS POR PERSONAS O ENTIDADES PARTICULARES")</f>
        <v>DECLARACION DE INTERES REGIONAL DE LOS PROYECTOS DE SINGULAR INTERES PROMOVIDOS POR PERSONAS O ENTIDADES PARTICULARES</v>
      </c>
      <c r="I82" s="3" t="s">
        <v>42</v>
      </c>
      <c r="J82" s="3" t="s">
        <v>41</v>
      </c>
      <c r="K82" s="3" t="s">
        <v>42</v>
      </c>
      <c r="L82" s="3" t="s">
        <v>41</v>
      </c>
    </row>
    <row r="83" spans="1:12" ht="45.95">
      <c r="A83" s="3" t="s">
        <v>5555</v>
      </c>
      <c r="B83" s="3" t="s">
        <v>5556</v>
      </c>
      <c r="C83" s="3" t="s">
        <v>45</v>
      </c>
      <c r="D83" s="3" t="s">
        <v>37</v>
      </c>
      <c r="E83" s="3" t="s">
        <v>5297</v>
      </c>
      <c r="F83" s="3" t="s">
        <v>5314</v>
      </c>
      <c r="G83" s="3" t="s">
        <v>5557</v>
      </c>
      <c r="H83" s="3" t="str">
        <f>HYPERLINK("http://www.jccm.es/sede/tramite/JQR","VISADOS DE CONTRATOS DE VIVIENDA")</f>
        <v>VISADOS DE CONTRATOS DE VIVIENDA</v>
      </c>
      <c r="I83" s="3" t="s">
        <v>42</v>
      </c>
      <c r="J83" s="3" t="s">
        <v>41</v>
      </c>
      <c r="K83" s="3" t="s">
        <v>42</v>
      </c>
      <c r="L83" s="3" t="s">
        <v>41</v>
      </c>
    </row>
    <row r="84" spans="1:12" ht="57.6">
      <c r="A84" s="3" t="s">
        <v>5558</v>
      </c>
      <c r="B84" s="3" t="s">
        <v>5559</v>
      </c>
      <c r="C84" s="3" t="s">
        <v>95</v>
      </c>
      <c r="D84" s="3" t="s">
        <v>95</v>
      </c>
      <c r="E84" s="3" t="s">
        <v>5297</v>
      </c>
      <c r="F84" s="3" t="s">
        <v>5321</v>
      </c>
      <c r="G84" s="3" t="s">
        <v>5560</v>
      </c>
      <c r="H84" s="3" t="str">
        <f>HYPERLINK("http://www.jccm.es/sede/tramite/H30","PRUEBAS DE COMPETENCIA PROFESIONAL PARA LA REALIZACION DE TRANSPORTE PUBLICO INTERIOR E INTERNACIONAL DE VIAJEROS Y MERCANCIAS.")</f>
        <v>PRUEBAS DE COMPETENCIA PROFESIONAL PARA LA REALIZACION DE TRANSPORTE PUBLICO INTERIOR E INTERNACIONAL DE VIAJEROS Y MERCANCIAS.</v>
      </c>
      <c r="I84" s="3" t="s">
        <v>41</v>
      </c>
      <c r="J84" s="3" t="s">
        <v>41</v>
      </c>
      <c r="K84" s="3" t="s">
        <v>42</v>
      </c>
      <c r="L84" s="3" t="s">
        <v>42</v>
      </c>
    </row>
    <row r="85" spans="1:12" ht="57.6">
      <c r="A85" s="3" t="s">
        <v>5561</v>
      </c>
      <c r="B85" s="3" t="s">
        <v>5562</v>
      </c>
      <c r="C85" s="3" t="s">
        <v>95</v>
      </c>
      <c r="D85" s="3" t="s">
        <v>95</v>
      </c>
      <c r="E85" s="3" t="s">
        <v>5297</v>
      </c>
      <c r="F85" s="3" t="s">
        <v>5321</v>
      </c>
      <c r="G85" s="3" t="s">
        <v>5563</v>
      </c>
      <c r="H85" s="3" t="str">
        <f>HYPERLINK("http://www.jccm.es/sede/tramite/H50","PRUEBAS DE CONSEJEROS DE SEGURIDAD PARA EL TRANSPORTE")</f>
        <v>PRUEBAS DE CONSEJEROS DE SEGURIDAD PARA EL TRANSPORTE</v>
      </c>
      <c r="I85" s="3" t="s">
        <v>42</v>
      </c>
      <c r="J85" s="3" t="s">
        <v>41</v>
      </c>
      <c r="K85" s="3" t="s">
        <v>42</v>
      </c>
      <c r="L85" s="3" t="s">
        <v>41</v>
      </c>
    </row>
    <row r="86" spans="1:12" ht="80.45">
      <c r="A86" s="3" t="s">
        <v>5564</v>
      </c>
      <c r="B86" s="3" t="s">
        <v>5565</v>
      </c>
      <c r="C86" s="3" t="s">
        <v>95</v>
      </c>
      <c r="D86" s="3" t="s">
        <v>95</v>
      </c>
      <c r="E86" s="3" t="s">
        <v>5297</v>
      </c>
      <c r="F86" s="3" t="s">
        <v>5321</v>
      </c>
      <c r="G86" s="3" t="s">
        <v>5566</v>
      </c>
      <c r="H86" s="3" t="str">
        <f>HYPERLINK("http://www.jccm.es/sede/tramite/J3K","PRUEBAS PARA LA OBTENCION DEL CERTIFICADO DE APTITUD PROFESIONAL ACREDITATIVO DE LA CUALIFICACION INICIAL DE LOS CONDUCTORES DE DETERMINADOS VEHICULOS DESTINADOS AL TRANSPORTE POR CARRETERA.")</f>
        <v>PRUEBAS PARA LA OBTENCION DEL CERTIFICADO DE APTITUD PROFESIONAL ACREDITATIVO DE LA CUALIFICACION INICIAL DE LOS CONDUCTORES DE DETERMINADOS VEHICULOS DESTINADOS AL TRANSPORTE POR CARRETERA.</v>
      </c>
      <c r="I86" s="3" t="s">
        <v>41</v>
      </c>
      <c r="J86" s="3" t="s">
        <v>41</v>
      </c>
      <c r="K86" s="3" t="s">
        <v>42</v>
      </c>
      <c r="L86" s="3" t="s">
        <v>42</v>
      </c>
    </row>
    <row r="87" spans="1:12" ht="57.6">
      <c r="A87" s="3" t="s">
        <v>5567</v>
      </c>
      <c r="B87" s="3" t="s">
        <v>5568</v>
      </c>
      <c r="C87" s="3" t="s">
        <v>70</v>
      </c>
      <c r="D87" s="3" t="s">
        <v>37</v>
      </c>
      <c r="E87" s="3" t="s">
        <v>5297</v>
      </c>
      <c r="F87" s="3" t="s">
        <v>5321</v>
      </c>
      <c r="G87" s="3" t="s">
        <v>5569</v>
      </c>
      <c r="H87" s="3" t="str">
        <f>HYPERLINK("http://www.jccm.es/sede/tramite/JAK","HOMOLOGACION DE CURSOS DE FORMACION DE CONDUCTORES (CAP).")</f>
        <v>HOMOLOGACION DE CURSOS DE FORMACION DE CONDUCTORES (CAP).</v>
      </c>
      <c r="I87" s="3" t="s">
        <v>41</v>
      </c>
      <c r="J87" s="3" t="s">
        <v>41</v>
      </c>
      <c r="K87" s="3" t="s">
        <v>42</v>
      </c>
      <c r="L87" s="3" t="s">
        <v>42</v>
      </c>
    </row>
    <row r="88" spans="1:12" ht="69">
      <c r="A88" s="3" t="s">
        <v>5570</v>
      </c>
      <c r="B88" s="3" t="s">
        <v>5571</v>
      </c>
      <c r="C88" s="3" t="s">
        <v>51</v>
      </c>
      <c r="D88" s="3" t="s">
        <v>46</v>
      </c>
      <c r="E88" s="3" t="s">
        <v>5297</v>
      </c>
      <c r="F88" s="3" t="s">
        <v>5408</v>
      </c>
      <c r="G88" s="3" t="s">
        <v>5572</v>
      </c>
      <c r="H88" s="3" t="str">
        <f>HYPERLINK("http://www.jccm.es/sede/tramite/JA2","APROBACION DE PROYECTO DE SINGULAR INTERES PROMOVIDO POR PERSONAS O ENTIDADES PARTICULARES.")</f>
        <v>APROBACION DE PROYECTO DE SINGULAR INTERES PROMOVIDO POR PERSONAS O ENTIDADES PARTICULARES.</v>
      </c>
      <c r="I88" s="3" t="s">
        <v>42</v>
      </c>
      <c r="J88" s="3" t="s">
        <v>41</v>
      </c>
      <c r="K88" s="3" t="s">
        <v>42</v>
      </c>
      <c r="L88" s="3" t="s">
        <v>41</v>
      </c>
    </row>
    <row r="89" spans="1:12" ht="57.6">
      <c r="A89" s="3" t="s">
        <v>5573</v>
      </c>
      <c r="B89" s="3" t="s">
        <v>5574</v>
      </c>
      <c r="C89" s="3" t="s">
        <v>45</v>
      </c>
      <c r="D89" s="3" t="s">
        <v>37</v>
      </c>
      <c r="E89" s="3" t="s">
        <v>5297</v>
      </c>
      <c r="F89" s="3" t="s">
        <v>5321</v>
      </c>
      <c r="G89" s="3" t="s">
        <v>5575</v>
      </c>
      <c r="H89" s="3" t="str">
        <f>HYPERLINK("http://www.jccm.es/sede/tramite/KZZ","SOLICITUD POR AYUNTAMIENTOS A LA CONSEJERIA DE FOMENTO PARA EMISION INFORME VINCULANTE EN MATERIA DE AUTORIZACIONES INTERURBANAS DE TAXI.")</f>
        <v>SOLICITUD POR AYUNTAMIENTOS A LA CONSEJERIA DE FOMENTO PARA EMISION INFORME VINCULANTE EN MATERIA DE AUTORIZACIONES INTERURBANAS DE TAXI.</v>
      </c>
      <c r="I89" s="3" t="s">
        <v>41</v>
      </c>
      <c r="J89" s="3" t="s">
        <v>41</v>
      </c>
      <c r="K89" s="3" t="s">
        <v>42</v>
      </c>
      <c r="L89" s="3" t="s">
        <v>41</v>
      </c>
    </row>
    <row r="90" spans="1:12" ht="57.6">
      <c r="A90" s="3" t="s">
        <v>5576</v>
      </c>
      <c r="B90" s="3" t="s">
        <v>5577</v>
      </c>
      <c r="C90" s="3" t="s">
        <v>700</v>
      </c>
      <c r="D90" s="3" t="s">
        <v>46</v>
      </c>
      <c r="E90" s="3" t="s">
        <v>5297</v>
      </c>
      <c r="F90" s="3" t="s">
        <v>5314</v>
      </c>
      <c r="G90" s="3" t="s">
        <v>5578</v>
      </c>
      <c r="H90" s="3" t="str">
        <f>HYPERLINK("http://www.jccm.es/sede/tramite/LQ9","SOLICITUD DE AYUDAS AL ARRENDAMIENTO DE VIVIENDA LIBRE A TRAVES DEL PROGRAMA DE ALQUILER CON GARANTIAS ESPECIALES.")</f>
        <v>SOLICITUD DE AYUDAS AL ARRENDAMIENTO DE VIVIENDA LIBRE A TRAVES DEL PROGRAMA DE ALQUILER CON GARANTIAS ESPECIALES.</v>
      </c>
      <c r="I90" s="3" t="s">
        <v>41</v>
      </c>
      <c r="J90" s="3" t="s">
        <v>41</v>
      </c>
      <c r="K90" s="3" t="s">
        <v>42</v>
      </c>
      <c r="L90" s="3" t="s">
        <v>41</v>
      </c>
    </row>
    <row r="91" spans="1:12" ht="57.6">
      <c r="A91" s="3" t="s">
        <v>5579</v>
      </c>
      <c r="B91" s="3" t="s">
        <v>5580</v>
      </c>
      <c r="C91" s="3" t="s">
        <v>45</v>
      </c>
      <c r="D91" s="3" t="s">
        <v>46</v>
      </c>
      <c r="E91" s="3" t="s">
        <v>5297</v>
      </c>
      <c r="F91" s="3" t="s">
        <v>5321</v>
      </c>
      <c r="G91" s="3" t="s">
        <v>5581</v>
      </c>
      <c r="H91" s="3" t="str">
        <f>HYPERLINK("http://www.jccm.es/sede/tramite/JAL","EXPEDICION (PRIMERA EMISION), RENOVACION, MODIFICACION DE DATOS O SUSTITUCION DE LA TARJETA DE TACOGRAFO DIGITAL DE EMPRESA.")</f>
        <v>EXPEDICION (PRIMERA EMISION), RENOVACION, MODIFICACION DE DATOS O SUSTITUCION DE LA TARJETA DE TACOGRAFO DIGITAL DE EMPRESA.</v>
      </c>
      <c r="I91" s="3" t="s">
        <v>41</v>
      </c>
      <c r="J91" s="3" t="s">
        <v>41</v>
      </c>
      <c r="K91" s="3" t="s">
        <v>42</v>
      </c>
      <c r="L91" s="3" t="s">
        <v>41</v>
      </c>
    </row>
    <row r="92" spans="1:12" ht="57.6">
      <c r="A92" s="3" t="s">
        <v>5582</v>
      </c>
      <c r="B92" s="3" t="s">
        <v>5583</v>
      </c>
      <c r="C92" s="3" t="s">
        <v>45</v>
      </c>
      <c r="D92" s="3" t="s">
        <v>46</v>
      </c>
      <c r="E92" s="3" t="s">
        <v>5297</v>
      </c>
      <c r="F92" s="3" t="s">
        <v>5321</v>
      </c>
      <c r="G92" s="3" t="s">
        <v>5584</v>
      </c>
      <c r="H92" s="3" t="str">
        <f>HYPERLINK("http://www.jccm.es/sede/tramite/KZE","EXPEDICION (PRIMERA EMISION), RENOVACION, MODIFICACION DE DATOS O SUSTITUCION DE TARJETA DE TACOGRAFO DIGITAL DE CENTRO DE ENSAYO.")</f>
        <v>EXPEDICION (PRIMERA EMISION), RENOVACION, MODIFICACION DE DATOS O SUSTITUCION DE TARJETA DE TACOGRAFO DIGITAL DE CENTRO DE ENSAYO.</v>
      </c>
      <c r="I92" s="3" t="s">
        <v>41</v>
      </c>
      <c r="J92" s="3" t="s">
        <v>41</v>
      </c>
      <c r="K92" s="3" t="s">
        <v>42</v>
      </c>
      <c r="L92" s="3" t="s">
        <v>41</v>
      </c>
    </row>
    <row r="93" spans="1:12" ht="57.6">
      <c r="A93" s="3" t="s">
        <v>5585</v>
      </c>
      <c r="B93" s="3" t="s">
        <v>5586</v>
      </c>
      <c r="C93" s="3" t="s">
        <v>45</v>
      </c>
      <c r="D93" s="3" t="s">
        <v>46</v>
      </c>
      <c r="E93" s="3" t="s">
        <v>5297</v>
      </c>
      <c r="F93" s="3" t="s">
        <v>5321</v>
      </c>
      <c r="G93" s="3" t="s">
        <v>5587</v>
      </c>
      <c r="H93" s="3" t="str">
        <f>HYPERLINK("http://www.jccm.es/sede/tramite/JAE","EXPEDICION (PRIMERA EMISION), RENOVACION, MODIFICACION DE DATOS, SUSTITUCION O CANJE DE TARJETA DE TACOGRAFO DIGITAL DE CONDUCTOR.")</f>
        <v>EXPEDICION (PRIMERA EMISION), RENOVACION, MODIFICACION DE DATOS, SUSTITUCION O CANJE DE TARJETA DE TACOGRAFO DIGITAL DE CONDUCTOR.</v>
      </c>
      <c r="I93" s="3" t="s">
        <v>41</v>
      </c>
      <c r="J93" s="3" t="s">
        <v>41</v>
      </c>
      <c r="K93" s="3" t="s">
        <v>42</v>
      </c>
      <c r="L93" s="3" t="s">
        <v>41</v>
      </c>
    </row>
    <row r="94" spans="1:12" ht="45.95">
      <c r="A94" s="3" t="s">
        <v>5588</v>
      </c>
      <c r="B94" s="3" t="s">
        <v>5589</v>
      </c>
      <c r="C94" s="3" t="s">
        <v>45</v>
      </c>
      <c r="D94" s="3" t="s">
        <v>46</v>
      </c>
      <c r="E94" s="3" t="s">
        <v>5297</v>
      </c>
      <c r="F94" s="3" t="s">
        <v>5359</v>
      </c>
      <c r="G94" s="3" t="s">
        <v>5590</v>
      </c>
      <c r="H94" s="3" t="str">
        <f>HYPERLINK("http://www.jccm.es/sede/tramite/J7Q","REVERSION DE BIENES Y/O DERECHOS EXPROPIADOS POR LA CONSEJERIA DE FOMENTO.")</f>
        <v>REVERSION DE BIENES Y/O DERECHOS EXPROPIADOS POR LA CONSEJERIA DE FOMENTO.</v>
      </c>
      <c r="I94" s="3" t="s">
        <v>42</v>
      </c>
      <c r="J94" s="3" t="s">
        <v>41</v>
      </c>
      <c r="K94" s="3" t="s">
        <v>42</v>
      </c>
      <c r="L94" s="3" t="s">
        <v>41</v>
      </c>
    </row>
    <row r="95" spans="1:12" ht="45.95">
      <c r="A95" s="3" t="s">
        <v>5591</v>
      </c>
      <c r="B95" s="3" t="s">
        <v>5592</v>
      </c>
      <c r="C95" s="3" t="s">
        <v>95</v>
      </c>
      <c r="D95" s="3" t="s">
        <v>95</v>
      </c>
      <c r="E95" s="3" t="s">
        <v>5297</v>
      </c>
      <c r="F95" s="3" t="s">
        <v>5359</v>
      </c>
      <c r="G95" s="3" t="s">
        <v>5593</v>
      </c>
      <c r="H95" s="3" t="str">
        <f>HYPERLINK("http://www.jccm.es/sede/tramite/LSZ","ALEGACIONES AL TRAMITE DE INFORMACION PUBLICA EN EL PROCEDIMIENTO DE EXPROPIACION FORZOSA")</f>
        <v>ALEGACIONES AL TRAMITE DE INFORMACION PUBLICA EN EL PROCEDIMIENTO DE EXPROPIACION FORZOSA</v>
      </c>
      <c r="I95" s="3" t="s">
        <v>42</v>
      </c>
      <c r="J95" s="3" t="s">
        <v>41</v>
      </c>
      <c r="K95" s="3" t="s">
        <v>42</v>
      </c>
      <c r="L95" s="3" t="s">
        <v>41</v>
      </c>
    </row>
    <row r="96" spans="1:12" ht="45.95">
      <c r="A96" s="3" t="s">
        <v>5594</v>
      </c>
      <c r="B96" s="3" t="s">
        <v>5595</v>
      </c>
      <c r="C96" s="3" t="s">
        <v>95</v>
      </c>
      <c r="D96" s="3" t="s">
        <v>95</v>
      </c>
      <c r="E96" s="3" t="s">
        <v>5297</v>
      </c>
      <c r="F96" s="3" t="s">
        <v>5359</v>
      </c>
      <c r="G96" s="3" t="s">
        <v>5596</v>
      </c>
      <c r="H96" s="3" t="str">
        <f>HYPERLINK("http://www.jccm.es/sede/tramite/L53","HOJA DE APRECIO PARA LA FIJACION DEL JUSTIPRECIO")</f>
        <v>HOJA DE APRECIO PARA LA FIJACION DEL JUSTIPRECIO</v>
      </c>
      <c r="I96" s="3" t="s">
        <v>42</v>
      </c>
      <c r="J96" s="3" t="s">
        <v>41</v>
      </c>
      <c r="K96" s="3" t="s">
        <v>42</v>
      </c>
      <c r="L96" s="3" t="s">
        <v>41</v>
      </c>
    </row>
    <row r="97" spans="1:12" ht="57.6">
      <c r="A97" s="3" t="s">
        <v>5597</v>
      </c>
      <c r="B97" s="3" t="s">
        <v>5598</v>
      </c>
      <c r="C97" s="3" t="s">
        <v>5599</v>
      </c>
      <c r="D97" s="3" t="s">
        <v>1368</v>
      </c>
      <c r="E97" s="3" t="s">
        <v>5297</v>
      </c>
      <c r="F97" s="3" t="s">
        <v>5321</v>
      </c>
      <c r="G97" s="3" t="s">
        <v>5600</v>
      </c>
      <c r="H97" s="3" t="str">
        <f>HYPERLINK("http://www.jccm.es/sede/tramite/KPF","ALEGACIONES EXPEDIENTES SANCIONADORES EN MATERIA DE TRANSPORTES")</f>
        <v>ALEGACIONES EXPEDIENTES SANCIONADORES EN MATERIA DE TRANSPORTES</v>
      </c>
      <c r="I97" s="3" t="s">
        <v>42</v>
      </c>
      <c r="J97" s="3" t="s">
        <v>41</v>
      </c>
      <c r="K97" s="3" t="s">
        <v>42</v>
      </c>
      <c r="L97" s="3" t="s">
        <v>41</v>
      </c>
    </row>
    <row r="98" spans="1:12" ht="45.95">
      <c r="A98" s="3" t="s">
        <v>5601</v>
      </c>
      <c r="B98" s="3" t="s">
        <v>5602</v>
      </c>
      <c r="C98" s="3" t="s">
        <v>45</v>
      </c>
      <c r="D98" s="3" t="s">
        <v>37</v>
      </c>
      <c r="E98" s="3" t="s">
        <v>5297</v>
      </c>
      <c r="F98" s="3" t="s">
        <v>5314</v>
      </c>
      <c r="G98" s="3" t="s">
        <v>5603</v>
      </c>
      <c r="H98" s="3" t="str">
        <f>HYPERLINK("http://www.jccm.es/sede/tramite/KK2","PROGRAMA DE ASISTENCIA, ASESORAMIENTO E INTERMEDIACION HIPOTECARIA")</f>
        <v>PROGRAMA DE ASISTENCIA, ASESORAMIENTO E INTERMEDIACION HIPOTECARIA</v>
      </c>
      <c r="I98" s="3" t="s">
        <v>42</v>
      </c>
      <c r="J98" s="3" t="s">
        <v>41</v>
      </c>
      <c r="K98" s="3" t="s">
        <v>42</v>
      </c>
      <c r="L98" s="3" t="s">
        <v>41</v>
      </c>
    </row>
    <row r="99" spans="1:12" ht="57.6">
      <c r="A99" s="3" t="s">
        <v>5604</v>
      </c>
      <c r="B99" s="3" t="s">
        <v>5605</v>
      </c>
      <c r="C99" s="3" t="s">
        <v>327</v>
      </c>
      <c r="D99" s="3" t="s">
        <v>46</v>
      </c>
      <c r="E99" s="3" t="s">
        <v>5297</v>
      </c>
      <c r="F99" s="3" t="s">
        <v>5297</v>
      </c>
      <c r="G99" s="3" t="s">
        <v>5606</v>
      </c>
      <c r="H99" s="3" t="str">
        <f>HYPERLINK("http://www.jccm.es/sede/tramite/KXA","PROCESO SELECTIVO PARA LA AMPLIACION DE LA BOLSA DE TRABAJO DEL CUERPO TECNICO, ESPECIALIDAD ARQUITECTURA TECNICA.")</f>
        <v>PROCESO SELECTIVO PARA LA AMPLIACION DE LA BOLSA DE TRABAJO DEL CUERPO TECNICO, ESPECIALIDAD ARQUITECTURA TECNICA.</v>
      </c>
      <c r="I99" s="3" t="s">
        <v>41</v>
      </c>
      <c r="J99" s="3" t="s">
        <v>41</v>
      </c>
      <c r="K99" s="3" t="s">
        <v>42</v>
      </c>
      <c r="L99" s="3" t="s">
        <v>41</v>
      </c>
    </row>
    <row r="100" spans="1:12" ht="57.6">
      <c r="A100" s="3" t="s">
        <v>5607</v>
      </c>
      <c r="B100" s="3" t="s">
        <v>5608</v>
      </c>
      <c r="C100" s="3" t="s">
        <v>327</v>
      </c>
      <c r="D100" s="3" t="s">
        <v>46</v>
      </c>
      <c r="E100" s="3" t="s">
        <v>5297</v>
      </c>
      <c r="F100" s="3" t="s">
        <v>5297</v>
      </c>
      <c r="G100" s="3" t="s">
        <v>5609</v>
      </c>
      <c r="H100" s="3" t="str">
        <f>HYPERLINK("http://www.jccm.es/sede/tramite/LWX","PROCESO SELECTIVO PARA LA AMPLIACION DE LA BOLSA DE TRABAJO DEL CUERPO SUPERIOR, ESPECIALIDAD ARQUITECTURA SUPERIOR.")</f>
        <v>PROCESO SELECTIVO PARA LA AMPLIACION DE LA BOLSA DE TRABAJO DEL CUERPO SUPERIOR, ESPECIALIDAD ARQUITECTURA SUPERIOR.</v>
      </c>
      <c r="I100" s="3" t="s">
        <v>41</v>
      </c>
      <c r="J100" s="3" t="s">
        <v>41</v>
      </c>
      <c r="K100" s="3" t="s">
        <v>42</v>
      </c>
      <c r="L100" s="3" t="s">
        <v>41</v>
      </c>
    </row>
    <row r="101" spans="1:12" ht="149.44999999999999">
      <c r="A101" s="3" t="s">
        <v>5610</v>
      </c>
      <c r="B101" s="3" t="s">
        <v>5611</v>
      </c>
      <c r="C101" s="3" t="s">
        <v>5612</v>
      </c>
      <c r="D101" s="3" t="s">
        <v>46</v>
      </c>
      <c r="E101" s="3" t="s">
        <v>5297</v>
      </c>
      <c r="F101" s="3" t="s">
        <v>5359</v>
      </c>
      <c r="G101" s="3" t="s">
        <v>5613</v>
      </c>
      <c r="H101" s="3" t="str">
        <f>HYPERLINK("http://www.jccm.es/sede/tramite/J7R","RESPONSABILIDAD PATRIMONIAL.")</f>
        <v>RESPONSABILIDAD PATRIMONIAL.</v>
      </c>
      <c r="I101" s="3" t="s">
        <v>42</v>
      </c>
      <c r="J101" s="3" t="s">
        <v>41</v>
      </c>
      <c r="K101" s="3" t="s">
        <v>42</v>
      </c>
      <c r="L101" s="3" t="s">
        <v>41</v>
      </c>
    </row>
    <row r="102" spans="1:12" ht="69">
      <c r="A102" s="3" t="s">
        <v>5614</v>
      </c>
      <c r="B102" s="3" t="s">
        <v>5615</v>
      </c>
      <c r="C102" s="3" t="s">
        <v>5616</v>
      </c>
      <c r="D102" s="3" t="s">
        <v>46</v>
      </c>
      <c r="E102" s="3" t="s">
        <v>5297</v>
      </c>
      <c r="F102" s="3" t="s">
        <v>5314</v>
      </c>
      <c r="G102" s="3" t="s">
        <v>5617</v>
      </c>
      <c r="H102" s="3" t="str">
        <f>HYPERLINK("http://www.jccm.es/sede/tramite/LD1","MORATORIA EXTRAORDINARIA EN EL PAGO DE LA RENTA, PARA PERSONAS EN SITUACION DE VULNERABILIDAD ECONOMICA A CAUSA DEL COVID-19. VIVIENDAS PERTENECIENTES AL PARQUE PUBLICO DE VIVIENDA JCCM")</f>
        <v>MORATORIA EXTRAORDINARIA EN EL PAGO DE LA RENTA, PARA PERSONAS EN SITUACION DE VULNERABILIDAD ECONOMICA A CAUSA DEL COVID-19. VIVIENDAS PERTENECIENTES AL PARQUE PUBLICO DE VIVIENDA JCCM</v>
      </c>
      <c r="I102" s="3" t="s">
        <v>41</v>
      </c>
      <c r="J102" s="3" t="s">
        <v>41</v>
      </c>
      <c r="K102" s="3" t="s">
        <v>42</v>
      </c>
      <c r="L102" s="3" t="s">
        <v>41</v>
      </c>
    </row>
    <row r="103" spans="1:12" ht="69">
      <c r="A103" s="3" t="s">
        <v>5618</v>
      </c>
      <c r="B103" s="3" t="s">
        <v>5619</v>
      </c>
      <c r="C103" s="3" t="s">
        <v>5616</v>
      </c>
      <c r="D103" s="3" t="s">
        <v>46</v>
      </c>
      <c r="E103" s="3" t="s">
        <v>5297</v>
      </c>
      <c r="F103" s="3" t="s">
        <v>5314</v>
      </c>
      <c r="G103" s="3" t="s">
        <v>5620</v>
      </c>
      <c r="H103" s="3" t="str">
        <f>HYPERLINK("http://www.jccm.es/sede/tramite/LD2","MORATORIA EXTRAORDINARIA EN EL PAGO DE LA RENTA, PARA PERSONAS EN SITUACION DE VULNERABILIDAD ECONOMICA A CAUSA DEL COVID-19. VIVIENDAS PERTENECIENTES A LA EMPRESA PUBLICA GICAMAN")</f>
        <v>MORATORIA EXTRAORDINARIA EN EL PAGO DE LA RENTA, PARA PERSONAS EN SITUACION DE VULNERABILIDAD ECONOMICA A CAUSA DEL COVID-19. VIVIENDAS PERTENECIENTES A LA EMPRESA PUBLICA GICAMAN</v>
      </c>
      <c r="I103" s="3" t="s">
        <v>41</v>
      </c>
      <c r="J103" s="3" t="s">
        <v>41</v>
      </c>
      <c r="K103" s="3" t="s">
        <v>42</v>
      </c>
      <c r="L103" s="3" t="s">
        <v>41</v>
      </c>
    </row>
    <row r="104" spans="1:12" ht="45.95">
      <c r="A104" s="3" t="s">
        <v>5621</v>
      </c>
      <c r="B104" s="3" t="s">
        <v>5622</v>
      </c>
      <c r="C104" s="3" t="s">
        <v>95</v>
      </c>
      <c r="D104" s="3" t="s">
        <v>95</v>
      </c>
      <c r="E104" s="3" t="s">
        <v>5297</v>
      </c>
      <c r="F104" s="3" t="s">
        <v>5314</v>
      </c>
      <c r="G104" s="3" t="s">
        <v>5623</v>
      </c>
      <c r="H104" s="3" t="str">
        <f>HYPERLINK("http://www.jccm.es/sede/tramite/LGK","MODIFICACION DEL DEPOSITO DE FIANZA DE ARRENDAMIENTOS URBANOS.")</f>
        <v>MODIFICACION DEL DEPOSITO DE FIANZA DE ARRENDAMIENTOS URBANOS.</v>
      </c>
      <c r="I104" s="3" t="s">
        <v>42</v>
      </c>
      <c r="J104" s="3" t="s">
        <v>41</v>
      </c>
      <c r="K104" s="3" t="s">
        <v>42</v>
      </c>
      <c r="L104" s="3" t="s">
        <v>41</v>
      </c>
    </row>
    <row r="105" spans="1:12" ht="45.95">
      <c r="A105" s="3" t="s">
        <v>5624</v>
      </c>
      <c r="B105" s="3" t="s">
        <v>5625</v>
      </c>
      <c r="C105" s="3" t="s">
        <v>95</v>
      </c>
      <c r="D105" s="3" t="s">
        <v>95</v>
      </c>
      <c r="E105" s="3" t="s">
        <v>5297</v>
      </c>
      <c r="F105" s="3" t="s">
        <v>5314</v>
      </c>
      <c r="G105" s="3" t="s">
        <v>5626</v>
      </c>
      <c r="H105" s="3" t="str">
        <f>HYPERLINK("http://www.jccm.es/sede/tramite/LGL","SOLICITUD DE CERTIFICACION DE CONSTITUCION DEL DEPOSITO DE FIANZAS DE ARRENDAMIENTOS URBANOS.")</f>
        <v>SOLICITUD DE CERTIFICACION DE CONSTITUCION DEL DEPOSITO DE FIANZAS DE ARRENDAMIENTOS URBANOS.</v>
      </c>
      <c r="I105" s="3" t="s">
        <v>42</v>
      </c>
      <c r="J105" s="3" t="s">
        <v>41</v>
      </c>
      <c r="K105" s="3" t="s">
        <v>42</v>
      </c>
      <c r="L105" s="3" t="s">
        <v>41</v>
      </c>
    </row>
    <row r="106" spans="1:12" ht="45.95">
      <c r="A106" s="3" t="s">
        <v>5627</v>
      </c>
      <c r="B106" s="3" t="s">
        <v>5628</v>
      </c>
      <c r="C106" s="3" t="s">
        <v>95</v>
      </c>
      <c r="D106" s="3" t="s">
        <v>95</v>
      </c>
      <c r="E106" s="3" t="s">
        <v>5297</v>
      </c>
      <c r="F106" s="3" t="s">
        <v>5314</v>
      </c>
      <c r="G106" s="3" t="s">
        <v>5629</v>
      </c>
      <c r="H106" s="3" t="str">
        <f>HYPERLINK("http://www.jccm.es/sede/tramite/L7X","DEVOLUCION DEL DEPOSITO DE FIANZA DE ARRENDAMIENTOS URBANOS.")</f>
        <v>DEVOLUCION DEL DEPOSITO DE FIANZA DE ARRENDAMIENTOS URBANOS.</v>
      </c>
      <c r="I106" s="3" t="s">
        <v>42</v>
      </c>
      <c r="J106" s="3" t="s">
        <v>41</v>
      </c>
      <c r="K106" s="3" t="s">
        <v>42</v>
      </c>
      <c r="L106" s="3" t="s">
        <v>41</v>
      </c>
    </row>
    <row r="107" spans="1:12" ht="45.95">
      <c r="A107" s="3" t="s">
        <v>5630</v>
      </c>
      <c r="B107" s="3" t="s">
        <v>5631</v>
      </c>
      <c r="C107" s="3" t="s">
        <v>45</v>
      </c>
      <c r="D107" s="3" t="s">
        <v>37</v>
      </c>
      <c r="E107" s="3" t="s">
        <v>5297</v>
      </c>
      <c r="F107" s="3" t="s">
        <v>5314</v>
      </c>
      <c r="G107" s="3" t="s">
        <v>5632</v>
      </c>
      <c r="H107" s="3" t="str">
        <f>HYPERLINK("http://www.jccm.es/sede/tramite/LGN","LIQUIDACION ORDINARIA/EXTRAORDINARIA.")</f>
        <v>LIQUIDACION ORDINARIA/EXTRAORDINARIA.</v>
      </c>
      <c r="I107" s="3" t="s">
        <v>42</v>
      </c>
      <c r="J107" s="3" t="s">
        <v>41</v>
      </c>
      <c r="K107" s="3" t="s">
        <v>42</v>
      </c>
      <c r="L107" s="3" t="s">
        <v>41</v>
      </c>
    </row>
    <row r="108" spans="1:12" ht="45.95">
      <c r="A108" s="3" t="s">
        <v>5633</v>
      </c>
      <c r="B108" s="3" t="s">
        <v>5634</v>
      </c>
      <c r="C108" s="3" t="s">
        <v>45</v>
      </c>
      <c r="D108" s="3" t="s">
        <v>37</v>
      </c>
      <c r="E108" s="3" t="s">
        <v>5297</v>
      </c>
      <c r="F108" s="3" t="s">
        <v>5314</v>
      </c>
      <c r="G108" s="3" t="s">
        <v>5635</v>
      </c>
      <c r="H108" s="3" t="str">
        <f>HYPERLINK("http://www.jccm.es/sede/tramite/LGO","MODIFICACION DEL CONCIERTO")</f>
        <v>MODIFICACION DEL CONCIERTO</v>
      </c>
      <c r="I108" s="3" t="s">
        <v>42</v>
      </c>
      <c r="J108" s="3" t="s">
        <v>41</v>
      </c>
      <c r="K108" s="3" t="s">
        <v>42</v>
      </c>
      <c r="L108" s="3" t="s">
        <v>41</v>
      </c>
    </row>
    <row r="109" spans="1:12" ht="45.95">
      <c r="A109" s="3" t="s">
        <v>5636</v>
      </c>
      <c r="B109" s="3" t="s">
        <v>5637</v>
      </c>
      <c r="C109" s="3" t="s">
        <v>45</v>
      </c>
      <c r="D109" s="3" t="s">
        <v>37</v>
      </c>
      <c r="E109" s="3" t="s">
        <v>5297</v>
      </c>
      <c r="F109" s="3" t="s">
        <v>5314</v>
      </c>
      <c r="G109" s="3" t="s">
        <v>5638</v>
      </c>
      <c r="H109" s="3" t="str">
        <f>HYPERLINK("http://www.jccm.es/sede/tramite/LGP","CESE DEL CONCIERTO.")</f>
        <v>CESE DEL CONCIERTO.</v>
      </c>
      <c r="I109" s="3" t="s">
        <v>42</v>
      </c>
      <c r="J109" s="3" t="s">
        <v>41</v>
      </c>
      <c r="K109" s="3" t="s">
        <v>42</v>
      </c>
      <c r="L109" s="3" t="s">
        <v>41</v>
      </c>
    </row>
    <row r="110" spans="1:12" ht="45.95">
      <c r="A110" s="3" t="s">
        <v>5639</v>
      </c>
      <c r="B110" s="3" t="s">
        <v>5640</v>
      </c>
      <c r="C110" s="3" t="s">
        <v>45</v>
      </c>
      <c r="D110" s="3" t="s">
        <v>37</v>
      </c>
      <c r="E110" s="3" t="s">
        <v>5297</v>
      </c>
      <c r="F110" s="3" t="s">
        <v>5314</v>
      </c>
      <c r="G110" s="3" t="s">
        <v>5641</v>
      </c>
      <c r="H110" s="3" t="str">
        <f>HYPERLINK("http://www.jccm.es/sede/tramite/LGM","ACCESO AL REGIMEN ESPECIAL DE CONCIERTO.")</f>
        <v>ACCESO AL REGIMEN ESPECIAL DE CONCIERTO.</v>
      </c>
      <c r="I110" s="3" t="s">
        <v>41</v>
      </c>
      <c r="J110" s="3" t="s">
        <v>41</v>
      </c>
      <c r="K110" s="3" t="s">
        <v>42</v>
      </c>
      <c r="L110" s="3" t="s">
        <v>41</v>
      </c>
    </row>
    <row r="111" spans="1:12" ht="45.95">
      <c r="A111" s="3" t="s">
        <v>5642</v>
      </c>
      <c r="B111" s="3" t="s">
        <v>5643</v>
      </c>
      <c r="C111" s="3" t="s">
        <v>442</v>
      </c>
      <c r="D111" s="3" t="s">
        <v>46</v>
      </c>
      <c r="E111" s="3" t="s">
        <v>5297</v>
      </c>
      <c r="F111" s="3" t="s">
        <v>5359</v>
      </c>
      <c r="G111" s="3" t="s">
        <v>5644</v>
      </c>
      <c r="H111" s="3" t="str">
        <f>HYPERLINK("http://www.jccm.es/sede/tramite/K1K","PROVISION DE PUESTOS DE TRABAJO POR EL PROCEDIMIENTO DE LIBRE DESIGNACION (FOMENTO)")</f>
        <v>PROVISION DE PUESTOS DE TRABAJO POR EL PROCEDIMIENTO DE LIBRE DESIGNACION (FOMENTO)</v>
      </c>
      <c r="I111" s="3" t="s">
        <v>41</v>
      </c>
      <c r="J111" s="3" t="s">
        <v>41</v>
      </c>
      <c r="K111" s="3" t="s">
        <v>42</v>
      </c>
      <c r="L111" s="3" t="s">
        <v>41</v>
      </c>
    </row>
    <row r="112" spans="1:12" ht="69">
      <c r="A112" s="3" t="s">
        <v>5645</v>
      </c>
      <c r="B112" s="3" t="s">
        <v>5646</v>
      </c>
      <c r="C112" s="3" t="s">
        <v>36</v>
      </c>
      <c r="D112" s="3" t="s">
        <v>46</v>
      </c>
      <c r="E112" s="3" t="s">
        <v>5297</v>
      </c>
      <c r="F112" s="3" t="s">
        <v>5359</v>
      </c>
      <c r="G112" s="3" t="s">
        <v>5647</v>
      </c>
      <c r="H112" s="3" t="str">
        <f>HYPERLINK("http://www.jccm.es/sede/tramite/LU5","CONVOCATORIA DE CONCURSO SINGULARIZADO DE MERITOS PARA LA PROVISION DE PUESTOS DE TRABAJO VACANTES EN LA ADMINISTRACION DE LA JUNTA DE COMUNIDADES DE CASTILLA-LA MANCHA.")</f>
        <v>CONVOCATORIA DE CONCURSO SINGULARIZADO DE MERITOS PARA LA PROVISION DE PUESTOS DE TRABAJO VACANTES EN LA ADMINISTRACION DE LA JUNTA DE COMUNIDADES DE CASTILLA-LA MANCHA.</v>
      </c>
      <c r="I112" s="3" t="s">
        <v>41</v>
      </c>
      <c r="J112" s="3" t="s">
        <v>41</v>
      </c>
      <c r="K112" s="3" t="s">
        <v>42</v>
      </c>
      <c r="L112" s="3" t="s">
        <v>41</v>
      </c>
    </row>
    <row r="113" spans="1:13" ht="80.45">
      <c r="A113" s="3" t="s">
        <v>5648</v>
      </c>
      <c r="B113" s="3" t="s">
        <v>5649</v>
      </c>
      <c r="C113" s="3" t="s">
        <v>5650</v>
      </c>
      <c r="D113" s="3" t="s">
        <v>46</v>
      </c>
      <c r="E113" s="3" t="s">
        <v>5297</v>
      </c>
      <c r="F113" s="3" t="s">
        <v>5359</v>
      </c>
      <c r="G113" s="3" t="s">
        <v>5651</v>
      </c>
      <c r="H113" s="3" t="str">
        <f>HYPERLINK("http://www.jccm.es/sede/tramite/J7S","CONCESION SOBRE BIENES DE DOMINIO PUBLICO.")</f>
        <v>CONCESION SOBRE BIENES DE DOMINIO PUBLICO.</v>
      </c>
      <c r="I113" s="3" t="s">
        <v>42</v>
      </c>
      <c r="J113" s="3" t="s">
        <v>41</v>
      </c>
      <c r="K113" s="3" t="s">
        <v>42</v>
      </c>
      <c r="L113" s="3" t="s">
        <v>41</v>
      </c>
    </row>
    <row r="114" spans="1:13" ht="69">
      <c r="A114" s="1" t="s">
        <v>5652</v>
      </c>
      <c r="B114" s="13" t="s">
        <v>5653</v>
      </c>
      <c r="C114" s="13" t="s">
        <v>5654</v>
      </c>
      <c r="D114" s="13" t="s">
        <v>46</v>
      </c>
      <c r="E114" s="13" t="s">
        <v>5297</v>
      </c>
      <c r="F114" s="13" t="s">
        <v>5359</v>
      </c>
      <c r="G114" s="13" t="s">
        <v>5655</v>
      </c>
      <c r="H114" s="13" t="str">
        <f>HYPERLINK("http://www.jccm.es/sede/tramite/J7V","ENAJENACION DE BIENES")</f>
        <v>ENAJENACION DE BIENES</v>
      </c>
      <c r="I114" s="13" t="s">
        <v>42</v>
      </c>
      <c r="J114" s="13" t="s">
        <v>41</v>
      </c>
      <c r="K114" s="13" t="s">
        <v>42</v>
      </c>
      <c r="L114" s="13" t="s">
        <v>41</v>
      </c>
      <c r="M114" s="13"/>
    </row>
    <row r="115" spans="1:13" ht="57.6">
      <c r="A115" s="1" t="s">
        <v>5656</v>
      </c>
      <c r="B115" s="3" t="s">
        <v>5657</v>
      </c>
      <c r="C115" s="3" t="s">
        <v>70</v>
      </c>
      <c r="D115" s="3" t="s">
        <v>46</v>
      </c>
      <c r="E115" s="3" t="s">
        <v>5297</v>
      </c>
      <c r="F115" s="3" t="s">
        <v>5359</v>
      </c>
      <c r="G115" s="3" t="s">
        <v>5658</v>
      </c>
      <c r="H115" s="3" t="str">
        <f>HYPERLINK("http://www.jccm.es/sede/tramite/J7W","CESION GRATUITA DE BIENES DE TITULARIDAD DE LA JUNTA DE COMUNIDADES DE CASTILLA-LA MANCHA ADSCRITOS A LA CONSEJERIA DE FOMENTO.")</f>
        <v>CESION GRATUITA DE BIENES DE TITULARIDAD DE LA JUNTA DE COMUNIDADES DE CASTILLA-LA MANCHA ADSCRITOS A LA CONSEJERIA DE FOMENTO.</v>
      </c>
      <c r="I115" s="3" t="s">
        <v>41</v>
      </c>
      <c r="J115" s="3" t="s">
        <v>41</v>
      </c>
      <c r="K115" s="3" t="s">
        <v>42</v>
      </c>
      <c r="L115" s="3" t="s">
        <v>41</v>
      </c>
      <c r="M115" s="3"/>
    </row>
    <row r="116" spans="1:13" ht="57.6">
      <c r="A116" s="1" t="s">
        <v>5659</v>
      </c>
      <c r="B116" s="3" t="s">
        <v>5660</v>
      </c>
      <c r="C116" s="3" t="s">
        <v>45</v>
      </c>
      <c r="D116" s="3" t="s">
        <v>46</v>
      </c>
      <c r="E116" s="3" t="s">
        <v>5297</v>
      </c>
      <c r="F116" s="3" t="s">
        <v>5298</v>
      </c>
      <c r="G116" s="3" t="s">
        <v>5661</v>
      </c>
      <c r="H116" s="3" t="str">
        <f>HYPERLINK("http://www.jccm.es/sede/tramite/L0Q","PRESENTACION DE ALEGACIONES DURANTE EL PERIODO DE INFORMACION PUBLICA DE EXPEDIENTES DE PROYECTOS Y ESTUDIOS DE CARRETERAS.")</f>
        <v>PRESENTACION DE ALEGACIONES DURANTE EL PERIODO DE INFORMACION PUBLICA DE EXPEDIENTES DE PROYECTOS Y ESTUDIOS DE CARRETERAS.</v>
      </c>
      <c r="I116" s="3" t="s">
        <v>42</v>
      </c>
      <c r="J116" s="3" t="s">
        <v>41</v>
      </c>
      <c r="K116" s="3" t="s">
        <v>42</v>
      </c>
      <c r="L116" s="3" t="s">
        <v>41</v>
      </c>
      <c r="M116" s="3"/>
    </row>
  </sheetData>
  <phoneticPr fontId="0" type="noConversion"/>
  <printOptions horizontalCentered="1"/>
  <pageMargins left="0.27559055118110237" right="0.15748031496062992" top="0.59055118110236227" bottom="0.35433070866141736" header="0.27559055118110237" footer="0.19685039370078741"/>
  <pageSetup paperSize="9" scale="70" orientation="landscape" r:id="rId1"/>
  <headerFooter alignWithMargins="0">
    <oddHeader>&amp;C&amp;9Consejería de Fomento</oddHeader>
    <oddFooter>&amp;CPágina &amp;P</oddFooter>
  </headerFooter>
  <legacyDrawing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L37"/>
  <sheetViews>
    <sheetView zoomScaleNormal="100" workbookViewId="0"/>
  </sheetViews>
  <sheetFormatPr defaultColWidth="11.42578125" defaultRowHeight="11.45"/>
  <cols>
    <col min="1" max="1" width="15" style="1" customWidth="1"/>
    <col min="2" max="2" width="32.28515625" style="1" customWidth="1"/>
    <col min="3" max="3" width="17" style="1" customWidth="1"/>
    <col min="4" max="4" width="14.85546875" style="1" customWidth="1"/>
    <col min="5" max="5" width="19.42578125" style="1" customWidth="1"/>
    <col min="6" max="6" width="18.140625" style="1" customWidth="1"/>
    <col min="7" max="7" width="11.140625" style="1" bestFit="1" customWidth="1"/>
    <col min="8" max="8" width="29" style="1" customWidth="1"/>
    <col min="9" max="9" width="11.28515625" style="1" bestFit="1" customWidth="1"/>
    <col min="10" max="10" width="4" style="1" bestFit="1" customWidth="1"/>
    <col min="11" max="11" width="7" style="1" bestFit="1" customWidth="1"/>
    <col min="12" max="12" width="5.5703125" style="1" bestFit="1" customWidth="1"/>
    <col min="13" max="16384" width="11.42578125" style="1"/>
  </cols>
  <sheetData>
    <row r="1" spans="1:12" ht="23.1">
      <c r="A1" s="2" t="s">
        <v>25</v>
      </c>
      <c r="B1" s="2" t="s">
        <v>26</v>
      </c>
      <c r="C1" s="2" t="s">
        <v>27</v>
      </c>
      <c r="D1" s="2" t="s">
        <v>2</v>
      </c>
      <c r="E1" s="2" t="s">
        <v>6694</v>
      </c>
      <c r="F1" s="2" t="s">
        <v>3</v>
      </c>
      <c r="G1" s="2" t="s">
        <v>28</v>
      </c>
      <c r="H1" s="2" t="s">
        <v>29</v>
      </c>
      <c r="I1" s="2" t="s">
        <v>30</v>
      </c>
      <c r="J1" s="4" t="s">
        <v>31</v>
      </c>
      <c r="K1" s="2" t="s">
        <v>32</v>
      </c>
      <c r="L1" s="2" t="s">
        <v>33</v>
      </c>
    </row>
    <row r="2" spans="1:12" ht="73.5" customHeight="1">
      <c r="A2" s="3" t="s">
        <v>5662</v>
      </c>
      <c r="B2" s="3" t="s">
        <v>5663</v>
      </c>
      <c r="C2" s="3" t="s">
        <v>45</v>
      </c>
      <c r="D2" s="3" t="s">
        <v>46</v>
      </c>
      <c r="E2" s="3" t="s">
        <v>5664</v>
      </c>
      <c r="F2" s="3" t="s">
        <v>5664</v>
      </c>
      <c r="G2" s="3" t="s">
        <v>5665</v>
      </c>
      <c r="H2" s="3" t="str">
        <f>HYPERLINK("http://www.jccm.es/sede/tramite/IV5","AYUDAS SOCIALES DIRIGIDAS A MUJERES VICTIMAS DE VIOLENCIA DE GENERO CON ESPECIALES DIFICULTADES PARA OBTENER UN EMPLEO")</f>
        <v>AYUDAS SOCIALES DIRIGIDAS A MUJERES VICTIMAS DE VIOLENCIA DE GENERO CON ESPECIALES DIFICULTADES PARA OBTENER UN EMPLEO</v>
      </c>
      <c r="I2" s="3" t="s">
        <v>42</v>
      </c>
      <c r="J2" s="3" t="s">
        <v>41</v>
      </c>
      <c r="K2" s="3" t="s">
        <v>42</v>
      </c>
      <c r="L2" s="3" t="s">
        <v>41</v>
      </c>
    </row>
    <row r="3" spans="1:12" ht="57" customHeight="1">
      <c r="A3" s="3" t="s">
        <v>5666</v>
      </c>
      <c r="B3" s="3" t="s">
        <v>5667</v>
      </c>
      <c r="C3" s="3" t="s">
        <v>45</v>
      </c>
      <c r="D3" s="3" t="s">
        <v>46</v>
      </c>
      <c r="E3" s="3" t="s">
        <v>5664</v>
      </c>
      <c r="F3" s="3" t="s">
        <v>5664</v>
      </c>
      <c r="G3" s="3" t="s">
        <v>5668</v>
      </c>
      <c r="H3" s="3" t="str">
        <f>HYPERLINK("http://www.jccm.es/sede/tramite/IMG","AYUDAS DE SOLIDARIDAD A LAS MUJERES VICTIMAS DE VIOLENCIA DOMESTICA")</f>
        <v>AYUDAS DE SOLIDARIDAD A LAS MUJERES VICTIMAS DE VIOLENCIA DOMESTICA</v>
      </c>
      <c r="I3" s="3" t="s">
        <v>42</v>
      </c>
      <c r="J3" s="3" t="s">
        <v>41</v>
      </c>
      <c r="K3" s="3" t="s">
        <v>42</v>
      </c>
      <c r="L3" s="3" t="s">
        <v>41</v>
      </c>
    </row>
    <row r="4" spans="1:12" ht="34.5">
      <c r="A4" s="3" t="s">
        <v>5669</v>
      </c>
      <c r="B4" s="3" t="s">
        <v>5670</v>
      </c>
      <c r="C4" s="3" t="s">
        <v>327</v>
      </c>
      <c r="D4" s="3" t="s">
        <v>46</v>
      </c>
      <c r="E4" s="3" t="s">
        <v>5664</v>
      </c>
      <c r="F4" s="3" t="s">
        <v>5664</v>
      </c>
      <c r="G4" s="3" t="s">
        <v>5671</v>
      </c>
      <c r="H4" s="3" t="str">
        <f>HYPERLINK("http://www.jccm.es/sede/tramite/JZU","CONCESION DEL DISTINTIVO DE EXCELENCIA EN IGUALDAD DE GENERO.")</f>
        <v>CONCESION DEL DISTINTIVO DE EXCELENCIA EN IGUALDAD DE GENERO.</v>
      </c>
      <c r="I4" s="3" t="s">
        <v>41</v>
      </c>
      <c r="J4" s="3" t="s">
        <v>41</v>
      </c>
      <c r="K4" s="3" t="s">
        <v>42</v>
      </c>
      <c r="L4" s="3" t="s">
        <v>41</v>
      </c>
    </row>
    <row r="5" spans="1:12" ht="80.45">
      <c r="A5" s="3" t="s">
        <v>5672</v>
      </c>
      <c r="B5" s="3" t="s">
        <v>5673</v>
      </c>
      <c r="C5" s="3" t="s">
        <v>62</v>
      </c>
      <c r="D5" s="3" t="s">
        <v>46</v>
      </c>
      <c r="E5" s="3" t="s">
        <v>5664</v>
      </c>
      <c r="F5" s="3" t="s">
        <v>5664</v>
      </c>
      <c r="G5" s="3" t="s">
        <v>5674</v>
      </c>
      <c r="H5" s="3" t="str">
        <f>HYPERLINK("http://www.jccm.es/sede/tramite/KAF","CONVOCATORIA DE SUBVENCIONES PARA EL ACCESO A PISOS TUTELADOS DESTINADOS A MUJERES VICTIMAS DE VIOLENCIA DE GENERO, MEDIANTE LA MODALIDAD DE SUBVENCION EN ESPECIE EN 2022")</f>
        <v>CONVOCATORIA DE SUBVENCIONES PARA EL ACCESO A PISOS TUTELADOS DESTINADOS A MUJERES VICTIMAS DE VIOLENCIA DE GENERO, MEDIANTE LA MODALIDAD DE SUBVENCION EN ESPECIE EN 2022</v>
      </c>
      <c r="I5" s="3" t="s">
        <v>42</v>
      </c>
      <c r="J5" s="3" t="s">
        <v>41</v>
      </c>
      <c r="K5" s="3" t="s">
        <v>42</v>
      </c>
      <c r="L5" s="3" t="s">
        <v>41</v>
      </c>
    </row>
    <row r="6" spans="1:12" ht="34.5">
      <c r="A6" s="3" t="s">
        <v>5675</v>
      </c>
      <c r="B6" s="3" t="s">
        <v>5676</v>
      </c>
      <c r="C6" s="3" t="s">
        <v>45</v>
      </c>
      <c r="D6" s="3" t="s">
        <v>46</v>
      </c>
      <c r="E6" s="3" t="s">
        <v>5664</v>
      </c>
      <c r="F6" s="3" t="s">
        <v>5664</v>
      </c>
      <c r="G6" s="3" t="s">
        <v>5677</v>
      </c>
      <c r="H6" s="3" t="str">
        <f>HYPERLINK("http://www.jccm.es/sede/tramite/KAL","CONVOCATORIA DE AYUDAS PARA PLANES DE IGUALDAD EN EL AÑO 2022.")</f>
        <v>CONVOCATORIA DE AYUDAS PARA PLANES DE IGUALDAD EN EL AÑO 2022.</v>
      </c>
      <c r="I6" s="3" t="s">
        <v>41</v>
      </c>
      <c r="J6" s="3" t="s">
        <v>41</v>
      </c>
      <c r="K6" s="3" t="s">
        <v>42</v>
      </c>
      <c r="L6" s="3" t="s">
        <v>41</v>
      </c>
    </row>
    <row r="7" spans="1:12" ht="34.5">
      <c r="A7" s="3" t="s">
        <v>5678</v>
      </c>
      <c r="B7" s="3" t="s">
        <v>5679</v>
      </c>
      <c r="C7" s="3" t="s">
        <v>45</v>
      </c>
      <c r="D7" s="3" t="s">
        <v>46</v>
      </c>
      <c r="E7" s="3" t="s">
        <v>5664</v>
      </c>
      <c r="F7" s="3" t="s">
        <v>5664</v>
      </c>
      <c r="G7" s="3" t="s">
        <v>5680</v>
      </c>
      <c r="H7" s="3" t="str">
        <f>HYPERLINK("http://www.jccm.es/sede/tramite/KBI","CONVOCATORIA DE AYUDAS PARA LA REDUCCION DE BRECHAS DE GENERO EN EL AMBITO LABORAL")</f>
        <v>CONVOCATORIA DE AYUDAS PARA LA REDUCCION DE BRECHAS DE GENERO EN EL AMBITO LABORAL</v>
      </c>
      <c r="I7" s="3" t="s">
        <v>41</v>
      </c>
      <c r="J7" s="3" t="s">
        <v>41</v>
      </c>
      <c r="K7" s="3" t="s">
        <v>42</v>
      </c>
      <c r="L7" s="3" t="s">
        <v>41</v>
      </c>
    </row>
    <row r="8" spans="1:12" ht="45.95">
      <c r="A8" s="3" t="s">
        <v>5681</v>
      </c>
      <c r="B8" s="3" t="s">
        <v>5682</v>
      </c>
      <c r="C8" s="3" t="s">
        <v>327</v>
      </c>
      <c r="D8" s="3" t="s">
        <v>46</v>
      </c>
      <c r="E8" s="3" t="s">
        <v>5664</v>
      </c>
      <c r="F8" s="3" t="s">
        <v>5664</v>
      </c>
      <c r="G8" s="3" t="s">
        <v>5683</v>
      </c>
      <c r="H8" s="3" t="str">
        <f>HYPERLINK("http://www.jccm.es/sede/tramite/KMC","CONVOCAR EL VI PREMIO INTERNACIONAL DE CASTILLA-LA MANCHA A LA IGUALDAD DE GENERO LUISA DE MEDRANO.")</f>
        <v>CONVOCAR EL VI PREMIO INTERNACIONAL DE CASTILLA-LA MANCHA A LA IGUALDAD DE GENERO LUISA DE MEDRANO.</v>
      </c>
      <c r="I8" s="3" t="s">
        <v>41</v>
      </c>
      <c r="J8" s="3" t="s">
        <v>41</v>
      </c>
      <c r="K8" s="3" t="s">
        <v>42</v>
      </c>
      <c r="L8" s="3" t="s">
        <v>41</v>
      </c>
    </row>
    <row r="9" spans="1:12" ht="34.5">
      <c r="A9" s="3" t="s">
        <v>5684</v>
      </c>
      <c r="B9" s="3" t="s">
        <v>5685</v>
      </c>
      <c r="C9" s="3" t="s">
        <v>45</v>
      </c>
      <c r="D9" s="3" t="s">
        <v>46</v>
      </c>
      <c r="E9" s="3" t="s">
        <v>5664</v>
      </c>
      <c r="F9" s="3" t="s">
        <v>5664</v>
      </c>
      <c r="G9" s="3" t="s">
        <v>5686</v>
      </c>
      <c r="H9" s="3" t="str">
        <f>HYPERLINK("http://www.jccm.es/sede/tramite/KMS","AYUDAS A LA INVESTIGACION")</f>
        <v>AYUDAS A LA INVESTIGACION</v>
      </c>
      <c r="I9" s="3" t="s">
        <v>42</v>
      </c>
      <c r="J9" s="3" t="s">
        <v>41</v>
      </c>
      <c r="K9" s="3" t="s">
        <v>42</v>
      </c>
      <c r="L9" s="3" t="s">
        <v>41</v>
      </c>
    </row>
    <row r="10" spans="1:12" ht="34.5">
      <c r="A10" s="3" t="s">
        <v>5687</v>
      </c>
      <c r="B10" s="3" t="s">
        <v>5688</v>
      </c>
      <c r="C10" s="3" t="s">
        <v>45</v>
      </c>
      <c r="D10" s="3" t="s">
        <v>46</v>
      </c>
      <c r="E10" s="3" t="s">
        <v>5664</v>
      </c>
      <c r="F10" s="3" t="s">
        <v>5664</v>
      </c>
      <c r="G10" s="3" t="s">
        <v>5689</v>
      </c>
      <c r="H10" s="3" t="str">
        <f>HYPERLINK("http://www.jccm.es/sede/tramite/KMU","CONVOCATORIA DE AYUDAS PARA LOS CONSEJOS LOCALES DE LA MUJER O DE IGUALDAD")</f>
        <v>CONVOCATORIA DE AYUDAS PARA LOS CONSEJOS LOCALES DE LA MUJER O DE IGUALDAD</v>
      </c>
      <c r="I10" s="3" t="s">
        <v>41</v>
      </c>
      <c r="J10" s="3" t="s">
        <v>41</v>
      </c>
      <c r="K10" s="3" t="s">
        <v>42</v>
      </c>
      <c r="L10" s="3" t="s">
        <v>41</v>
      </c>
    </row>
    <row r="11" spans="1:12" ht="92.1">
      <c r="A11" s="3" t="s">
        <v>5690</v>
      </c>
      <c r="B11" s="3" t="s">
        <v>5691</v>
      </c>
      <c r="C11" s="3" t="s">
        <v>5692</v>
      </c>
      <c r="D11" s="3" t="s">
        <v>46</v>
      </c>
      <c r="E11" s="3" t="s">
        <v>5664</v>
      </c>
      <c r="F11" s="3" t="s">
        <v>5664</v>
      </c>
      <c r="G11" s="3" t="s">
        <v>5693</v>
      </c>
      <c r="H11" s="3" t="str">
        <f>HYPERLINK("http://www.jccm.es/sede/tramite/KNQ","CONVOCATORIA DE LOS PREMIOS Y MUESTRA MUJERES EN EL ARTE DEL INSTITUTO DE LA MUJER DE CASTILLA-LA MANCHA  AMALIA AVIA  EN EL AÑO 2022")</f>
        <v>CONVOCATORIA DE LOS PREMIOS Y MUESTRA MUJERES EN EL ARTE DEL INSTITUTO DE LA MUJER DE CASTILLA-LA MANCHA  AMALIA AVIA  EN EL AÑO 2022</v>
      </c>
      <c r="I11" s="3" t="s">
        <v>42</v>
      </c>
      <c r="J11" s="3" t="s">
        <v>41</v>
      </c>
      <c r="K11" s="3" t="s">
        <v>42</v>
      </c>
      <c r="L11" s="3" t="s">
        <v>41</v>
      </c>
    </row>
    <row r="12" spans="1:12" ht="80.45">
      <c r="A12" s="3" t="s">
        <v>5694</v>
      </c>
      <c r="B12" s="3" t="s">
        <v>5695</v>
      </c>
      <c r="C12" s="3" t="s">
        <v>5696</v>
      </c>
      <c r="D12" s="3" t="s">
        <v>46</v>
      </c>
      <c r="E12" s="3" t="s">
        <v>5664</v>
      </c>
      <c r="F12" s="3" t="s">
        <v>5664</v>
      </c>
      <c r="G12" s="3" t="s">
        <v>5697</v>
      </c>
      <c r="H12" s="3" t="str">
        <f>HYPERLINK("http://www.jccm.es/sede/tramite/KO2","BECAS LEONOR SERRANO PABLO DE ESTUDIOS UNIVERSITARIOS A MUJERES VICTIMAS DE VIOLENCIA DE GENERO Y A SUS HIJAS E HIJOS EN 2022.")</f>
        <v>BECAS LEONOR SERRANO PABLO DE ESTUDIOS UNIVERSITARIOS A MUJERES VICTIMAS DE VIOLENCIA DE GENERO Y A SUS HIJAS E HIJOS EN 2022.</v>
      </c>
      <c r="I12" s="3" t="s">
        <v>42</v>
      </c>
      <c r="J12" s="3" t="s">
        <v>41</v>
      </c>
      <c r="K12" s="3" t="s">
        <v>42</v>
      </c>
      <c r="L12" s="3" t="s">
        <v>41</v>
      </c>
    </row>
    <row r="13" spans="1:12" ht="45.95">
      <c r="A13" s="3" t="s">
        <v>5698</v>
      </c>
      <c r="B13" s="3" t="s">
        <v>5699</v>
      </c>
      <c r="C13" s="3" t="s">
        <v>1535</v>
      </c>
      <c r="D13" s="3" t="s">
        <v>1368</v>
      </c>
      <c r="E13" s="3" t="s">
        <v>5664</v>
      </c>
      <c r="F13" s="3" t="s">
        <v>5664</v>
      </c>
      <c r="G13" s="3" t="s">
        <v>5700</v>
      </c>
      <c r="H13" s="3" t="str">
        <f>HYPERLINK("http://www.jccm.es/sede/tramite/KRI","REINTEGRO DE SUBVENCIONES EN EL AMBITO DEL INSTITUTO DE LA MUJER DE CASTILLA-LA MANCHA")</f>
        <v>REINTEGRO DE SUBVENCIONES EN EL AMBITO DEL INSTITUTO DE LA MUJER DE CASTILLA-LA MANCHA</v>
      </c>
      <c r="I13" s="3" t="s">
        <v>42</v>
      </c>
      <c r="J13" s="3" t="s">
        <v>41</v>
      </c>
      <c r="K13" s="3" t="s">
        <v>42</v>
      </c>
      <c r="L13" s="3" t="s">
        <v>41</v>
      </c>
    </row>
    <row r="14" spans="1:12" ht="57.6">
      <c r="A14" s="3" t="s">
        <v>5701</v>
      </c>
      <c r="B14" s="3" t="s">
        <v>5702</v>
      </c>
      <c r="C14" s="3" t="s">
        <v>95</v>
      </c>
      <c r="D14" s="3" t="s">
        <v>95</v>
      </c>
      <c r="E14" s="3" t="s">
        <v>5664</v>
      </c>
      <c r="F14" s="3" t="s">
        <v>5664</v>
      </c>
      <c r="G14" s="3" t="s">
        <v>5703</v>
      </c>
      <c r="H14" s="3" t="str">
        <f>HYPERLINK("http://www.jccm.es/sede/tramite/KWB","PRESENTACION DE ALEGACIONES Y/O DOCUMENTACION EN PROCEDIMIENTOS DEL INSTITUTO DE LA MUJER DE CASTILLA-LA MANCHA")</f>
        <v>PRESENTACION DE ALEGACIONES Y/O DOCUMENTACION EN PROCEDIMIENTOS DEL INSTITUTO DE LA MUJER DE CASTILLA-LA MANCHA</v>
      </c>
      <c r="I14" s="3" t="s">
        <v>42</v>
      </c>
      <c r="J14" s="3" t="s">
        <v>41</v>
      </c>
      <c r="K14" s="3" t="s">
        <v>42</v>
      </c>
      <c r="L14" s="3" t="s">
        <v>41</v>
      </c>
    </row>
    <row r="15" spans="1:12" ht="103.5">
      <c r="A15" s="3" t="s">
        <v>5704</v>
      </c>
      <c r="B15" s="3" t="s">
        <v>5705</v>
      </c>
      <c r="C15" s="3" t="s">
        <v>5706</v>
      </c>
      <c r="D15" s="3" t="s">
        <v>46</v>
      </c>
      <c r="E15" s="3" t="s">
        <v>5664</v>
      </c>
      <c r="F15" s="3" t="s">
        <v>5664</v>
      </c>
      <c r="G15" s="3" t="s">
        <v>5707</v>
      </c>
      <c r="H15" s="3" t="str">
        <f>HYPERLINK("http://www.jccm.es/sede/tramite/KYT","CONVOCATORIA DE AYUDAS PARA PLANES ESTRATEGICOS DE IGUALDAD MUNICIPALES")</f>
        <v>CONVOCATORIA DE AYUDAS PARA PLANES ESTRATEGICOS DE IGUALDAD MUNICIPALES</v>
      </c>
      <c r="I15" s="3" t="s">
        <v>41</v>
      </c>
      <c r="J15" s="3" t="s">
        <v>41</v>
      </c>
      <c r="K15" s="3" t="s">
        <v>42</v>
      </c>
      <c r="L15" s="3" t="s">
        <v>41</v>
      </c>
    </row>
    <row r="16" spans="1:12" ht="92.1">
      <c r="A16" s="3" t="s">
        <v>5708</v>
      </c>
      <c r="B16" s="3" t="s">
        <v>5709</v>
      </c>
      <c r="C16" s="3" t="s">
        <v>5710</v>
      </c>
      <c r="D16" s="3" t="s">
        <v>46</v>
      </c>
      <c r="E16" s="3" t="s">
        <v>5664</v>
      </c>
      <c r="F16" s="3" t="s">
        <v>5664</v>
      </c>
      <c r="G16" s="3" t="s">
        <v>5711</v>
      </c>
      <c r="H16" s="3" t="str">
        <f>HYPERLINK("http://www.jccm.es/sede/tramite/KYU","AYUDAS PARA FAVORECER LA NO DISCRIMINACION DE LAS PERSONAS PERTENECIENTES AL COLECTIVO LGTBI EN 2022.")</f>
        <v>AYUDAS PARA FAVORECER LA NO DISCRIMINACION DE LAS PERSONAS PERTENECIENTES AL COLECTIVO LGTBI EN 2022.</v>
      </c>
      <c r="I16" s="3" t="s">
        <v>41</v>
      </c>
      <c r="J16" s="3" t="s">
        <v>41</v>
      </c>
      <c r="K16" s="3" t="s">
        <v>42</v>
      </c>
      <c r="L16" s="3" t="s">
        <v>41</v>
      </c>
    </row>
    <row r="17" spans="1:12" ht="92.1">
      <c r="A17" s="3" t="s">
        <v>5712</v>
      </c>
      <c r="B17" s="3" t="s">
        <v>5713</v>
      </c>
      <c r="C17" s="3" t="s">
        <v>5714</v>
      </c>
      <c r="D17" s="3" t="s">
        <v>46</v>
      </c>
      <c r="E17" s="3" t="s">
        <v>5664</v>
      </c>
      <c r="F17" s="3" t="s">
        <v>5664</v>
      </c>
      <c r="G17" s="3" t="s">
        <v>5715</v>
      </c>
      <c r="H17" s="3" t="str">
        <f>HYPERLINK("http://www.jccm.es/sede/tramite/KZT","CONVOCATORIA DE AYUDAS PARA LA PROMOCION DE LA IGUALDAD DE GENERO")</f>
        <v>CONVOCATORIA DE AYUDAS PARA LA PROMOCION DE LA IGUALDAD DE GENERO</v>
      </c>
      <c r="I17" s="3" t="s">
        <v>41</v>
      </c>
      <c r="J17" s="3" t="s">
        <v>41</v>
      </c>
      <c r="K17" s="3" t="s">
        <v>42</v>
      </c>
      <c r="L17" s="3" t="s">
        <v>41</v>
      </c>
    </row>
    <row r="18" spans="1:12" ht="45.95">
      <c r="A18" s="3" t="s">
        <v>5716</v>
      </c>
      <c r="B18" s="3" t="s">
        <v>5717</v>
      </c>
      <c r="C18" s="3" t="s">
        <v>70</v>
      </c>
      <c r="D18" s="3" t="s">
        <v>46</v>
      </c>
      <c r="E18" s="3" t="s">
        <v>5664</v>
      </c>
      <c r="F18" s="3" t="s">
        <v>5664</v>
      </c>
      <c r="G18" s="3" t="s">
        <v>5718</v>
      </c>
      <c r="H18" s="3" t="str">
        <f>HYPERLINK("http://www.jccm.es/sede/tramite/KZY","CONVOCATORIA DE AYUDAS PARA LA PREVENCION DE LA MUTILACION GENITAL FEMENINA (MGF)")</f>
        <v>CONVOCATORIA DE AYUDAS PARA LA PREVENCION DE LA MUTILACION GENITAL FEMENINA (MGF)</v>
      </c>
      <c r="I18" s="3" t="s">
        <v>41</v>
      </c>
      <c r="J18" s="3" t="s">
        <v>41</v>
      </c>
      <c r="K18" s="3" t="s">
        <v>42</v>
      </c>
      <c r="L18" s="3" t="s">
        <v>41</v>
      </c>
    </row>
    <row r="19" spans="1:12" ht="80.45">
      <c r="A19" s="3" t="s">
        <v>5719</v>
      </c>
      <c r="B19" s="3" t="s">
        <v>5720</v>
      </c>
      <c r="C19" s="3" t="s">
        <v>45</v>
      </c>
      <c r="D19" s="3" t="s">
        <v>46</v>
      </c>
      <c r="E19" s="3" t="s">
        <v>5664</v>
      </c>
      <c r="F19" s="3" t="s">
        <v>5664</v>
      </c>
      <c r="G19" s="3" t="s">
        <v>5721</v>
      </c>
      <c r="H19" s="3" t="str">
        <f>HYPERLINK("http://www.jccm.es/sede/tramite/L1K","CONVOCATORIA DE AYUDAS PARA LA PROMOCION DE LOS FINES Y VALORES DEL INSTITUTO DE LA MUJER EN 2022.")</f>
        <v>CONVOCATORIA DE AYUDAS PARA LA PROMOCION DE LOS FINES Y VALORES DEL INSTITUTO DE LA MUJER EN 2022.</v>
      </c>
      <c r="I19" s="3" t="s">
        <v>41</v>
      </c>
      <c r="J19" s="3" t="s">
        <v>41</v>
      </c>
      <c r="K19" s="3" t="s">
        <v>42</v>
      </c>
      <c r="L19" s="3" t="s">
        <v>41</v>
      </c>
    </row>
    <row r="20" spans="1:12" ht="34.5">
      <c r="A20" s="3" t="s">
        <v>5722</v>
      </c>
      <c r="B20" s="3" t="s">
        <v>5723</v>
      </c>
      <c r="C20" s="3" t="s">
        <v>45</v>
      </c>
      <c r="D20" s="3" t="s">
        <v>46</v>
      </c>
      <c r="E20" s="3" t="s">
        <v>5664</v>
      </c>
      <c r="F20" s="3" t="s">
        <v>5664</v>
      </c>
      <c r="G20" s="3" t="s">
        <v>5724</v>
      </c>
      <c r="H20" s="3" t="str">
        <f>HYPERLINK("http://www.jccm.es/sede/tramite/LE4","AYUDAS PARA FOMENTAR EL ASOCIACIONISMO DE MUJERES")</f>
        <v>AYUDAS PARA FOMENTAR EL ASOCIACIONISMO DE MUJERES</v>
      </c>
      <c r="I20" s="3" t="s">
        <v>41</v>
      </c>
      <c r="J20" s="3" t="s">
        <v>41</v>
      </c>
      <c r="K20" s="3" t="s">
        <v>42</v>
      </c>
      <c r="L20" s="3" t="s">
        <v>41</v>
      </c>
    </row>
    <row r="21" spans="1:12" ht="80.45">
      <c r="A21" s="3" t="s">
        <v>5725</v>
      </c>
      <c r="B21" s="3" t="s">
        <v>5726</v>
      </c>
      <c r="C21" s="3" t="s">
        <v>95</v>
      </c>
      <c r="D21" s="3" t="s">
        <v>95</v>
      </c>
      <c r="E21" s="3" t="s">
        <v>5664</v>
      </c>
      <c r="F21" s="3" t="s">
        <v>5664</v>
      </c>
      <c r="G21" s="3" t="s">
        <v>5727</v>
      </c>
      <c r="H21" s="3" t="str">
        <f>HYPERLINK("http://www.jccm.es/sede/tramite/LGW","JUSTIFICACION DE UNA SUBVENCION A LA FUNDACION SECRETARIADO GITANO PARA LA PROMOCION DE LA IGUALDAD DE LAS MUJERES GITANAS Y ATENCION A LA MULTIPLE DISCRIMINACION: CALI")</f>
        <v>JUSTIFICACION DE UNA SUBVENCION A LA FUNDACION SECRETARIADO GITANO PARA LA PROMOCION DE LA IGUALDAD DE LAS MUJERES GITANAS Y ATENCION A LA MULTIPLE DISCRIMINACION: CALI</v>
      </c>
      <c r="I21" s="3" t="s">
        <v>42</v>
      </c>
      <c r="J21" s="3" t="s">
        <v>41</v>
      </c>
      <c r="K21" s="3" t="s">
        <v>42</v>
      </c>
      <c r="L21" s="3" t="s">
        <v>41</v>
      </c>
    </row>
    <row r="22" spans="1:12" ht="92.1">
      <c r="A22" s="3" t="s">
        <v>5728</v>
      </c>
      <c r="B22" s="3" t="s">
        <v>5729</v>
      </c>
      <c r="C22" s="3" t="s">
        <v>5730</v>
      </c>
      <c r="D22" s="3" t="s">
        <v>46</v>
      </c>
      <c r="E22" s="3" t="s">
        <v>5664</v>
      </c>
      <c r="F22" s="3" t="s">
        <v>5664</v>
      </c>
      <c r="G22" s="3" t="s">
        <v>5731</v>
      </c>
      <c r="H22" s="3" t="str">
        <f>HYPERLINK("http://www.jccm.es/sede/tramite/LHO","CONVOCATORIA PREMIO PERIODISTICO LUISA ALBERCA LORENTE POR LA IGUALDAD DE GENERO EN C-LM")</f>
        <v>CONVOCATORIA PREMIO PERIODISTICO LUISA ALBERCA LORENTE POR LA IGUALDAD DE GENERO EN C-LM</v>
      </c>
      <c r="I22" s="3" t="s">
        <v>41</v>
      </c>
      <c r="J22" s="3" t="s">
        <v>41</v>
      </c>
      <c r="K22" s="3" t="s">
        <v>42</v>
      </c>
      <c r="L22" s="3" t="s">
        <v>41</v>
      </c>
    </row>
    <row r="23" spans="1:12" ht="58.5" customHeight="1">
      <c r="A23" s="3" t="s">
        <v>5732</v>
      </c>
      <c r="B23" s="3" t="s">
        <v>5733</v>
      </c>
      <c r="C23" s="3" t="s">
        <v>95</v>
      </c>
      <c r="D23" s="3" t="s">
        <v>95</v>
      </c>
      <c r="E23" s="3" t="s">
        <v>5664</v>
      </c>
      <c r="F23" s="3" t="s">
        <v>5664</v>
      </c>
      <c r="G23" s="3" t="s">
        <v>5734</v>
      </c>
      <c r="H23" s="3" t="str">
        <f>HYPERLINK("http://www.jccm.es/sede/tramite/LHZ","JUSTIFICACION DE CONCESION DIRECTA DE UNA SUBVENCION A LA FUNDACION MUJERES PARA FINANCIAR EL PROYECTO DANA + EN CASTILLA-LA MANCHA.")</f>
        <v>JUSTIFICACION DE CONCESION DIRECTA DE UNA SUBVENCION A LA FUNDACION MUJERES PARA FINANCIAR EL PROYECTO DANA + EN CASTILLA-LA MANCHA.</v>
      </c>
      <c r="I23" s="3" t="s">
        <v>41</v>
      </c>
      <c r="J23" s="3" t="s">
        <v>41</v>
      </c>
      <c r="K23" s="3" t="s">
        <v>42</v>
      </c>
      <c r="L23" s="3" t="s">
        <v>41</v>
      </c>
    </row>
    <row r="24" spans="1:12" ht="93.75" customHeight="1">
      <c r="A24" s="3" t="s">
        <v>5735</v>
      </c>
      <c r="B24" s="3" t="s">
        <v>5736</v>
      </c>
      <c r="C24" s="3" t="s">
        <v>95</v>
      </c>
      <c r="D24" s="3" t="s">
        <v>95</v>
      </c>
      <c r="E24" s="3" t="s">
        <v>5664</v>
      </c>
      <c r="F24" s="3" t="s">
        <v>5664</v>
      </c>
      <c r="G24" s="3" t="s">
        <v>5737</v>
      </c>
      <c r="H24" s="3" t="str">
        <f>HYPERLINK("http://www.jccm.es/sede/tramite/LMK","JUSTIFICACION DE CONCESION DIRECTA DE SUBVENCIONES A MUNICIPIOS Y EATIM, A UGT Y CCOO PARA EL DESARROLLO DE ACTUACIONES INCLUIDAS EN EL PLAN CORRESPONSABLES.")</f>
        <v>JUSTIFICACION DE CONCESION DIRECTA DE SUBVENCIONES A MUNICIPIOS Y EATIM, A UGT Y CCOO PARA EL DESARROLLO DE ACTUACIONES INCLUIDAS EN EL PLAN CORRESPONSABLES.</v>
      </c>
      <c r="I24" s="3" t="s">
        <v>41</v>
      </c>
      <c r="J24" s="3" t="s">
        <v>41</v>
      </c>
      <c r="K24" s="3" t="s">
        <v>42</v>
      </c>
      <c r="L24" s="3" t="s">
        <v>41</v>
      </c>
    </row>
    <row r="25" spans="1:12" ht="84.75" customHeight="1">
      <c r="A25" s="3" t="s">
        <v>5738</v>
      </c>
      <c r="B25" s="3" t="s">
        <v>5739</v>
      </c>
      <c r="C25" s="3" t="s">
        <v>45</v>
      </c>
      <c r="D25" s="3" t="s">
        <v>46</v>
      </c>
      <c r="E25" s="3" t="s">
        <v>5664</v>
      </c>
      <c r="F25" s="3" t="s">
        <v>5664</v>
      </c>
      <c r="G25" s="3" t="s">
        <v>5740</v>
      </c>
      <c r="H25" s="3" t="str">
        <f>HYPERLINK("http://www.jccm.es/sede/tramite/LPL","CONVOCATORIA DE SUBVENCIONES DESTINADAS A ACTUACIONES DE INVERSION EN LOS CENTROS DE LA MUJER Y RECURSOS DE ACOGIDA DE CASTILLA-LA MANCHA EN EL AÑO 2021.")</f>
        <v>CONVOCATORIA DE SUBVENCIONES DESTINADAS A ACTUACIONES DE INVERSION EN LOS CENTROS DE LA MUJER Y RECURSOS DE ACOGIDA DE CASTILLA-LA MANCHA EN EL AÑO 2021.</v>
      </c>
      <c r="I25" s="3" t="s">
        <v>41</v>
      </c>
      <c r="J25" s="3" t="s">
        <v>41</v>
      </c>
      <c r="K25" s="3" t="s">
        <v>42</v>
      </c>
      <c r="L25" s="3" t="s">
        <v>41</v>
      </c>
    </row>
    <row r="26" spans="1:12" ht="69">
      <c r="A26" s="3" t="s">
        <v>5741</v>
      </c>
      <c r="B26" s="3" t="s">
        <v>5742</v>
      </c>
      <c r="C26" s="3" t="s">
        <v>232</v>
      </c>
      <c r="D26" s="3" t="s">
        <v>46</v>
      </c>
      <c r="E26" s="3" t="s">
        <v>5664</v>
      </c>
      <c r="F26" s="3" t="s">
        <v>5664</v>
      </c>
      <c r="G26" s="3" t="s">
        <v>5743</v>
      </c>
      <c r="H26" s="3" t="str">
        <f>HYPERLINK("http://www.jccm.es/sede/tramite/LRP","PREMIO A LAS BUENAS PRACTICAS EN IGUALDAD DE GENERO Y CONTRA LA VIOLENCIA MACHISTA QUE SE IMPULSEN DESDE LOS CENTROS DE LA MUJER DE CASTILLA-LA MANCHA")</f>
        <v>PREMIO A LAS BUENAS PRACTICAS EN IGUALDAD DE GENERO Y CONTRA LA VIOLENCIA MACHISTA QUE SE IMPULSEN DESDE LOS CENTROS DE LA MUJER DE CASTILLA-LA MANCHA</v>
      </c>
      <c r="I26" s="3" t="s">
        <v>41</v>
      </c>
      <c r="J26" s="3" t="s">
        <v>41</v>
      </c>
      <c r="K26" s="3" t="s">
        <v>42</v>
      </c>
      <c r="L26" s="3" t="s">
        <v>41</v>
      </c>
    </row>
    <row r="27" spans="1:12" ht="92.1">
      <c r="A27" s="3" t="s">
        <v>5744</v>
      </c>
      <c r="B27" s="3" t="s">
        <v>5745</v>
      </c>
      <c r="C27" s="3" t="s">
        <v>95</v>
      </c>
      <c r="D27" s="3" t="s">
        <v>95</v>
      </c>
      <c r="E27" s="3" t="s">
        <v>5664</v>
      </c>
      <c r="F27" s="3" t="s">
        <v>5664</v>
      </c>
      <c r="G27" s="3" t="s">
        <v>5746</v>
      </c>
      <c r="H27" s="3" t="str">
        <f>HYPERLINK("http://www.jccm.es/sede/tramite/LUZ","CONCESION DIRECTA DE SUBVENCIONES A MUNICIPIOS Y EATIM, PARA EL DESARROLLO DE ACTUACIONES INCLUIDAS EN EL PLAN CORRESPONSABLES.")</f>
        <v>CONCESION DIRECTA DE SUBVENCIONES A MUNICIPIOS Y EATIM, PARA EL DESARROLLO DE ACTUACIONES INCLUIDAS EN EL PLAN CORRESPONSABLES.</v>
      </c>
      <c r="I27" s="3" t="s">
        <v>41</v>
      </c>
      <c r="J27" s="3" t="s">
        <v>41</v>
      </c>
      <c r="K27" s="3" t="s">
        <v>42</v>
      </c>
      <c r="L27" s="3" t="s">
        <v>41</v>
      </c>
    </row>
    <row r="28" spans="1:12" ht="92.1">
      <c r="A28" s="3" t="s">
        <v>5747</v>
      </c>
      <c r="B28" s="3" t="s">
        <v>5748</v>
      </c>
      <c r="C28" s="3" t="s">
        <v>5692</v>
      </c>
      <c r="D28" s="3" t="s">
        <v>46</v>
      </c>
      <c r="E28" s="3" t="s">
        <v>5664</v>
      </c>
      <c r="F28" s="3" t="s">
        <v>5664</v>
      </c>
      <c r="G28" s="3" t="s">
        <v>5749</v>
      </c>
      <c r="H28" s="3" t="str">
        <f>HYPERLINK("http://www.jccm.es/sede/tramite/LZ9","CONVOCATORIA DE LOS PREMIOS DE CASTILLA-LA MANCHA MUJERES EN EL CINE ALICE GUY")</f>
        <v>CONVOCATORIA DE LOS PREMIOS DE CASTILLA-LA MANCHA MUJERES EN EL CINE ALICE GUY</v>
      </c>
      <c r="I28" s="3" t="s">
        <v>41</v>
      </c>
      <c r="J28" s="3" t="s">
        <v>41</v>
      </c>
      <c r="K28" s="3" t="s">
        <v>42</v>
      </c>
      <c r="L28" s="3" t="s">
        <v>41</v>
      </c>
    </row>
    <row r="29" spans="1:12" ht="34.5">
      <c r="A29" s="3" t="s">
        <v>5750</v>
      </c>
      <c r="B29" s="3" t="s">
        <v>5751</v>
      </c>
      <c r="C29" s="3" t="s">
        <v>5752</v>
      </c>
      <c r="D29" s="3" t="s">
        <v>46</v>
      </c>
      <c r="E29" s="3" t="s">
        <v>5664</v>
      </c>
      <c r="F29" s="3" t="s">
        <v>5664</v>
      </c>
      <c r="G29" s="3" t="s">
        <v>5753</v>
      </c>
      <c r="H29" s="3" t="str">
        <f>HYPERLINK("http://www.jccm.es/sede/tramite/K31","AYUDAS PARA LA PREVENCION DE LA TRATA Y LA EXPLOTACION SEXUAL")</f>
        <v>AYUDAS PARA LA PREVENCION DE LA TRATA Y LA EXPLOTACION SEXUAL</v>
      </c>
      <c r="I29" s="3" t="s">
        <v>41</v>
      </c>
      <c r="J29" s="3" t="s">
        <v>41</v>
      </c>
      <c r="K29" s="3" t="s">
        <v>42</v>
      </c>
      <c r="L29" s="3" t="s">
        <v>41</v>
      </c>
    </row>
    <row r="30" spans="1:12" ht="34.5">
      <c r="A30" s="3" t="s">
        <v>5754</v>
      </c>
      <c r="B30" s="3" t="s">
        <v>5755</v>
      </c>
      <c r="C30" s="3" t="s">
        <v>5752</v>
      </c>
      <c r="D30" s="3" t="s">
        <v>46</v>
      </c>
      <c r="E30" s="3" t="s">
        <v>5664</v>
      </c>
      <c r="F30" s="3" t="s">
        <v>5664</v>
      </c>
      <c r="G30" s="3" t="s">
        <v>5756</v>
      </c>
      <c r="H30" s="3" t="str">
        <f>HYPERLINK("http://www.jccm.es/sede/tramite/K30","AYUDAS PARA LA PREVENCION DE LA DISCRIMINACION MULTIPLE")</f>
        <v>AYUDAS PARA LA PREVENCION DE LA DISCRIMINACION MULTIPLE</v>
      </c>
      <c r="I30" s="3" t="s">
        <v>41</v>
      </c>
      <c r="J30" s="3" t="s">
        <v>41</v>
      </c>
      <c r="K30" s="3" t="s">
        <v>42</v>
      </c>
      <c r="L30" s="3" t="s">
        <v>41</v>
      </c>
    </row>
    <row r="31" spans="1:12" ht="98.25" customHeight="1">
      <c r="A31" s="3" t="s">
        <v>5757</v>
      </c>
      <c r="B31" s="3" t="s">
        <v>5758</v>
      </c>
      <c r="C31" s="3" t="s">
        <v>5759</v>
      </c>
      <c r="D31" s="3" t="s">
        <v>46</v>
      </c>
      <c r="E31" s="3" t="s">
        <v>5664</v>
      </c>
      <c r="F31" s="3" t="s">
        <v>5664</v>
      </c>
      <c r="G31" s="3" t="s">
        <v>5760</v>
      </c>
      <c r="H31" s="3" t="str">
        <f>HYPERLINK("http://www.jccm.es/sede/tramite/K5K","CONVOCATORIA DE SUBVENCIONES PARA LA GESTION DEL FUNCIONAMIENTO DE CENTROS DE LA MUJER PARA VICTIMAS DE VIOLENCIA DE GENERO EN CASTILLA- LA MANCHA, PARA 2023-2024")</f>
        <v>CONVOCATORIA DE SUBVENCIONES PARA LA GESTION DEL FUNCIONAMIENTO DE CENTROS DE LA MUJER PARA VICTIMAS DE VIOLENCIA DE GENERO EN CASTILLA- LA MANCHA, PARA 2023-2024</v>
      </c>
      <c r="I31" s="3" t="s">
        <v>41</v>
      </c>
      <c r="J31" s="3" t="s">
        <v>41</v>
      </c>
      <c r="K31" s="3" t="s">
        <v>42</v>
      </c>
      <c r="L31" s="3" t="s">
        <v>41</v>
      </c>
    </row>
    <row r="32" spans="1:12" ht="103.5" customHeight="1">
      <c r="A32" s="3" t="s">
        <v>5761</v>
      </c>
      <c r="B32" s="3" t="s">
        <v>5762</v>
      </c>
      <c r="C32" s="3" t="s">
        <v>5759</v>
      </c>
      <c r="D32" s="3" t="s">
        <v>46</v>
      </c>
      <c r="E32" s="3" t="s">
        <v>5664</v>
      </c>
      <c r="F32" s="3" t="s">
        <v>5664</v>
      </c>
      <c r="G32" s="3" t="s">
        <v>5763</v>
      </c>
      <c r="H32" s="3" t="str">
        <f>HYPERLINK("http://www.jccm.es/sede/tramite/KJH","CONVOCATORIA DE SUBVENCIONES PARA LA GESTION DEL FUNCIONAMIENTO DE RECURSOS DE ACOGIDA PARA VICTIMAS DE VIOLENCIA DE GENERO EN CASTILLA- LA MANCHA, PARA 2023-2024")</f>
        <v>CONVOCATORIA DE SUBVENCIONES PARA LA GESTION DEL FUNCIONAMIENTO DE RECURSOS DE ACOGIDA PARA VICTIMAS DE VIOLENCIA DE GENERO EN CASTILLA- LA MANCHA, PARA 2023-2024</v>
      </c>
      <c r="I32" s="3" t="s">
        <v>41</v>
      </c>
      <c r="J32" s="3" t="s">
        <v>41</v>
      </c>
      <c r="K32" s="3" t="s">
        <v>42</v>
      </c>
      <c r="L32" s="3" t="s">
        <v>41</v>
      </c>
    </row>
    <row r="33" spans="1:12" ht="72.75" customHeight="1">
      <c r="A33" s="3" t="s">
        <v>5764</v>
      </c>
      <c r="B33" s="3" t="s">
        <v>5765</v>
      </c>
      <c r="C33" s="3" t="s">
        <v>45</v>
      </c>
      <c r="D33" s="3" t="s">
        <v>46</v>
      </c>
      <c r="E33" s="3" t="s">
        <v>5664</v>
      </c>
      <c r="F33" s="3" t="s">
        <v>5664</v>
      </c>
      <c r="G33" s="3" t="s">
        <v>5766</v>
      </c>
      <c r="H33" s="3" t="str">
        <f>HYPERLINK("http://www.jccm.es/sede/tramite/L52","AYUDAS A FAMILIARES EN SITUACION DE DEPENDENCIA DE LA MUJER VICTIMA MORTAL POR VIOLENCIA DE GENERO")</f>
        <v>AYUDAS A FAMILIARES EN SITUACION DE DEPENDENCIA DE LA MUJER VICTIMA MORTAL POR VIOLENCIA DE GENERO</v>
      </c>
      <c r="I33" s="3" t="s">
        <v>42</v>
      </c>
      <c r="J33" s="3" t="s">
        <v>41</v>
      </c>
      <c r="K33" s="3" t="s">
        <v>42</v>
      </c>
      <c r="L33" s="3" t="s">
        <v>41</v>
      </c>
    </row>
    <row r="34" spans="1:12" ht="45.95">
      <c r="A34" s="3" t="s">
        <v>5767</v>
      </c>
      <c r="B34" s="3" t="s">
        <v>5768</v>
      </c>
      <c r="C34" s="3" t="s">
        <v>45</v>
      </c>
      <c r="D34" s="3" t="s">
        <v>46</v>
      </c>
      <c r="E34" s="3" t="s">
        <v>5664</v>
      </c>
      <c r="F34" s="3" t="s">
        <v>5664</v>
      </c>
      <c r="G34" s="3" t="s">
        <v>5769</v>
      </c>
      <c r="H34" s="3" t="str">
        <f>HYPERLINK("http://www.jccm.es/sede/tramite/L4I","AYUDAS A MENORES DE EDAD EN SITUACION DE ORFANDAD COMO CONSECUENCIA DE LA VIOLENCIA DE GENERO")</f>
        <v>AYUDAS A MENORES DE EDAD EN SITUACION DE ORFANDAD COMO CONSECUENCIA DE LA VIOLENCIA DE GENERO</v>
      </c>
      <c r="I34" s="3" t="s">
        <v>42</v>
      </c>
      <c r="J34" s="3" t="s">
        <v>41</v>
      </c>
      <c r="K34" s="3" t="s">
        <v>42</v>
      </c>
      <c r="L34" s="3" t="s">
        <v>41</v>
      </c>
    </row>
    <row r="35" spans="1:12" ht="80.45">
      <c r="A35" s="3" t="s">
        <v>5770</v>
      </c>
      <c r="B35" s="3" t="s">
        <v>5771</v>
      </c>
      <c r="C35" s="3" t="s">
        <v>95</v>
      </c>
      <c r="D35" s="3" t="s">
        <v>95</v>
      </c>
      <c r="E35" s="3" t="s">
        <v>5664</v>
      </c>
      <c r="F35" s="3" t="s">
        <v>5664</v>
      </c>
      <c r="G35" s="3" t="s">
        <v>5772</v>
      </c>
      <c r="H35" s="3" t="str">
        <f>HYPERLINK("http://www.jccm.es/sede/tramite/LOO","PROCEDIMIENTO PARA EL RECONOCIMIENTO DE LA EXPERIENCIA LABORAL FORMAL O NO FORMAL EN EL SECTOR DE LOS CUIDADOS DE MENORES HASTA 14 AÑOS EN EL AMBITO DEL PLAN CORRESPONSABLES.")</f>
        <v>PROCEDIMIENTO PARA EL RECONOCIMIENTO DE LA EXPERIENCIA LABORAL FORMAL O NO FORMAL EN EL SECTOR DE LOS CUIDADOS DE MENORES HASTA 14 AÑOS EN EL AMBITO DEL PLAN CORRESPONSABLES.</v>
      </c>
      <c r="I35" s="3" t="s">
        <v>42</v>
      </c>
      <c r="J35" s="3" t="s">
        <v>41</v>
      </c>
      <c r="K35" s="3" t="s">
        <v>42</v>
      </c>
      <c r="L35" s="3" t="s">
        <v>41</v>
      </c>
    </row>
    <row r="36" spans="1:12" ht="34.5">
      <c r="A36" s="3" t="s">
        <v>5773</v>
      </c>
      <c r="B36" s="3" t="s">
        <v>5774</v>
      </c>
      <c r="C36" s="3" t="s">
        <v>62</v>
      </c>
      <c r="D36" s="3" t="s">
        <v>46</v>
      </c>
      <c r="E36" s="3" t="s">
        <v>5664</v>
      </c>
      <c r="F36" s="3" t="s">
        <v>5664</v>
      </c>
      <c r="G36" s="3" t="s">
        <v>5775</v>
      </c>
      <c r="H36" s="3" t="str">
        <f>HYPERLINK("http://www.jccm.es/sede/tramite/LVW","ACREDITACION ADMINISTRATIVA DE LA CONDICION DE VICTIMA DE VIOLENCIA DE GENERO")</f>
        <v>ACREDITACION ADMINISTRATIVA DE LA CONDICION DE VICTIMA DE VIOLENCIA DE GENERO</v>
      </c>
      <c r="I36" s="3" t="s">
        <v>42</v>
      </c>
      <c r="J36" s="3" t="s">
        <v>41</v>
      </c>
      <c r="K36" s="3" t="s">
        <v>42</v>
      </c>
      <c r="L36" s="3" t="s">
        <v>41</v>
      </c>
    </row>
    <row r="37" spans="1:12" ht="34.5">
      <c r="A37" s="3" t="s">
        <v>5776</v>
      </c>
      <c r="B37" s="3" t="s">
        <v>5777</v>
      </c>
      <c r="C37" s="3" t="s">
        <v>51</v>
      </c>
      <c r="D37" s="3" t="s">
        <v>46</v>
      </c>
      <c r="E37" s="3" t="s">
        <v>5664</v>
      </c>
      <c r="F37" s="3" t="s">
        <v>5664</v>
      </c>
      <c r="G37" s="3" t="s">
        <v>5778</v>
      </c>
      <c r="H37" s="3" t="str">
        <f>HYPERLINK("http://www.jccm.es/sede/tramite/JUJ","PROVISION DE PUESTOS DE TRABAJO DE PERSONAL FUNCIONARIO LD. IM F1/2022")</f>
        <v>PROVISION DE PUESTOS DE TRABAJO DE PERSONAL FUNCIONARIO LD. IM F1/2022</v>
      </c>
      <c r="I37" s="3" t="s">
        <v>41</v>
      </c>
      <c r="J37" s="3" t="s">
        <v>41</v>
      </c>
      <c r="K37" s="3" t="s">
        <v>42</v>
      </c>
      <c r="L37" s="3" t="s">
        <v>41</v>
      </c>
    </row>
  </sheetData>
  <phoneticPr fontId="0" type="noConversion"/>
  <printOptions horizontalCentered="1"/>
  <pageMargins left="0.39370078740157483" right="0.19685039370078741" top="0.51181102362204722" bottom="0.43307086614173229" header="0.27559055118110237" footer="0.19685039370078741"/>
  <pageSetup paperSize="9" scale="75" orientation="landscape" r:id="rId1"/>
  <headerFooter alignWithMargins="0">
    <oddHeader>&amp;C&amp;9Instituto de la Mujer de Castilla-La Mancha</oddHeader>
    <oddFooter>&amp;CPágina &amp;P</oddFooter>
  </headerFooter>
  <legacyDrawing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L100"/>
  <sheetViews>
    <sheetView topLeftCell="B1" zoomScaleNormal="100" workbookViewId="0">
      <selection activeCell="C1" sqref="C1:C65536"/>
    </sheetView>
  </sheetViews>
  <sheetFormatPr defaultColWidth="11.42578125" defaultRowHeight="11.45"/>
  <cols>
    <col min="1" max="1" width="15.140625" style="1" customWidth="1"/>
    <col min="2" max="2" width="27.42578125" style="1" customWidth="1"/>
    <col min="3" max="3" width="16.5703125" style="1" customWidth="1"/>
    <col min="4" max="4" width="14.85546875" style="1" customWidth="1"/>
    <col min="5" max="5" width="19.42578125" style="1" customWidth="1"/>
    <col min="6" max="6" width="18.140625" style="1" customWidth="1"/>
    <col min="7" max="7" width="11.140625" style="1" bestFit="1" customWidth="1"/>
    <col min="8" max="8" width="29" style="1" customWidth="1"/>
    <col min="9" max="9" width="11.28515625" style="1" bestFit="1" customWidth="1"/>
    <col min="10" max="10" width="4" style="1" bestFit="1" customWidth="1"/>
    <col min="11" max="11" width="7" style="1" bestFit="1" customWidth="1"/>
    <col min="12" max="12" width="5.5703125" style="1" bestFit="1" customWidth="1"/>
    <col min="13" max="16384" width="11.42578125" style="1"/>
  </cols>
  <sheetData>
    <row r="1" spans="1:12" ht="23.1">
      <c r="A1" s="2" t="s">
        <v>25</v>
      </c>
      <c r="B1" s="2" t="s">
        <v>26</v>
      </c>
      <c r="C1" s="2" t="s">
        <v>27</v>
      </c>
      <c r="D1" s="2" t="s">
        <v>2</v>
      </c>
      <c r="E1" s="2" t="s">
        <v>6694</v>
      </c>
      <c r="F1" s="2" t="s">
        <v>3</v>
      </c>
      <c r="G1" s="2" t="s">
        <v>28</v>
      </c>
      <c r="H1" s="2" t="s">
        <v>29</v>
      </c>
      <c r="I1" s="2" t="s">
        <v>30</v>
      </c>
      <c r="J1" s="4" t="s">
        <v>31</v>
      </c>
      <c r="K1" s="2" t="s">
        <v>32</v>
      </c>
      <c r="L1" s="2" t="s">
        <v>33</v>
      </c>
    </row>
    <row r="2" spans="1:12" ht="57.6">
      <c r="A2" s="3" t="s">
        <v>5779</v>
      </c>
      <c r="B2" s="3" t="s">
        <v>5780</v>
      </c>
      <c r="C2" s="3" t="s">
        <v>45</v>
      </c>
      <c r="D2" s="3" t="s">
        <v>46</v>
      </c>
      <c r="E2" s="3" t="s">
        <v>5781</v>
      </c>
      <c r="F2" s="3" t="s">
        <v>5781</v>
      </c>
      <c r="G2" s="3" t="s">
        <v>5782</v>
      </c>
      <c r="H2" s="3" t="str">
        <f>HYPERLINK("http://www.jccm.es/sede/tramite/LF0","CASTILLA-LA MANCHA OPEN DAY DE CHINA 2022")</f>
        <v>CASTILLA-LA MANCHA OPEN DAY DE CHINA 2022</v>
      </c>
      <c r="I2" s="3" t="s">
        <v>41</v>
      </c>
      <c r="J2" s="3" t="s">
        <v>41</v>
      </c>
      <c r="K2" s="3" t="s">
        <v>42</v>
      </c>
      <c r="L2" s="3" t="s">
        <v>41</v>
      </c>
    </row>
    <row r="3" spans="1:12" ht="102.75" customHeight="1">
      <c r="A3" s="3" t="s">
        <v>5783</v>
      </c>
      <c r="B3" s="3" t="s">
        <v>5784</v>
      </c>
      <c r="C3" s="3" t="s">
        <v>2406</v>
      </c>
      <c r="D3" s="3" t="s">
        <v>46</v>
      </c>
      <c r="E3" s="3" t="s">
        <v>5781</v>
      </c>
      <c r="F3" s="3" t="s">
        <v>5781</v>
      </c>
      <c r="G3" s="3" t="s">
        <v>5785</v>
      </c>
      <c r="H3" s="3" t="str">
        <f>HYPERLINK("http://www.jccm.es/sede/tramite/LF7","MISION COMERCIAL VIRTUAL A PAISES NORDICOS")</f>
        <v>MISION COMERCIAL VIRTUAL A PAISES NORDICOS</v>
      </c>
      <c r="I3" s="3" t="s">
        <v>41</v>
      </c>
      <c r="J3" s="3" t="s">
        <v>41</v>
      </c>
      <c r="K3" s="3" t="s">
        <v>42</v>
      </c>
      <c r="L3" s="3" t="s">
        <v>41</v>
      </c>
    </row>
    <row r="4" spans="1:12" ht="57.6">
      <c r="A4" s="3" t="s">
        <v>5786</v>
      </c>
      <c r="B4" s="3" t="s">
        <v>5787</v>
      </c>
      <c r="C4" s="3" t="s">
        <v>45</v>
      </c>
      <c r="D4" s="3" t="s">
        <v>46</v>
      </c>
      <c r="E4" s="3" t="s">
        <v>5781</v>
      </c>
      <c r="F4" s="3" t="s">
        <v>5781</v>
      </c>
      <c r="G4" s="3" t="s">
        <v>5788</v>
      </c>
      <c r="H4" s="3" t="str">
        <f>HYPERLINK("http://www.jccm.es/sede/tramite/LFR","V2B WINE MEETING PEKIN")</f>
        <v>V2B WINE MEETING PEKIN</v>
      </c>
      <c r="I4" s="3" t="s">
        <v>41</v>
      </c>
      <c r="J4" s="3" t="s">
        <v>41</v>
      </c>
      <c r="K4" s="3" t="s">
        <v>42</v>
      </c>
      <c r="L4" s="3" t="s">
        <v>41</v>
      </c>
    </row>
    <row r="5" spans="1:12" ht="57.6">
      <c r="A5" s="3" t="s">
        <v>5789</v>
      </c>
      <c r="B5" s="3" t="s">
        <v>5790</v>
      </c>
      <c r="C5" s="3" t="s">
        <v>45</v>
      </c>
      <c r="D5" s="3" t="s">
        <v>46</v>
      </c>
      <c r="E5" s="3" t="s">
        <v>5781</v>
      </c>
      <c r="F5" s="3" t="s">
        <v>5781</v>
      </c>
      <c r="G5" s="3" t="s">
        <v>5791</v>
      </c>
      <c r="H5" s="3" t="str">
        <f>HYPERLINK("http://www.jccm.es/sede/tramite/LFX","V2B WINE MEETING GUANGZHOU")</f>
        <v>V2B WINE MEETING GUANGZHOU</v>
      </c>
      <c r="I5" s="3" t="s">
        <v>41</v>
      </c>
      <c r="J5" s="3" t="s">
        <v>41</v>
      </c>
      <c r="K5" s="3" t="s">
        <v>42</v>
      </c>
      <c r="L5" s="3" t="s">
        <v>41</v>
      </c>
    </row>
    <row r="6" spans="1:12" ht="57.6">
      <c r="A6" s="3" t="s">
        <v>5792</v>
      </c>
      <c r="B6" s="3" t="s">
        <v>5793</v>
      </c>
      <c r="C6" s="3" t="s">
        <v>45</v>
      </c>
      <c r="D6" s="3" t="s">
        <v>46</v>
      </c>
      <c r="E6" s="3" t="s">
        <v>5781</v>
      </c>
      <c r="F6" s="3" t="s">
        <v>5781</v>
      </c>
      <c r="G6" s="3" t="s">
        <v>5794</v>
      </c>
      <c r="H6" s="3" t="str">
        <f>HYPERLINK("http://www.jccm.es/sede/tramite/LG2","V2B WINE MEETING TAILANDIA.")</f>
        <v>V2B WINE MEETING TAILANDIA.</v>
      </c>
      <c r="I6" s="3" t="s">
        <v>41</v>
      </c>
      <c r="J6" s="3" t="s">
        <v>41</v>
      </c>
      <c r="K6" s="3" t="s">
        <v>42</v>
      </c>
      <c r="L6" s="3" t="s">
        <v>41</v>
      </c>
    </row>
    <row r="7" spans="1:12" ht="57.6">
      <c r="A7" s="3" t="s">
        <v>5795</v>
      </c>
      <c r="B7" s="3" t="s">
        <v>5796</v>
      </c>
      <c r="C7" s="3" t="s">
        <v>45</v>
      </c>
      <c r="D7" s="3" t="s">
        <v>46</v>
      </c>
      <c r="E7" s="3" t="s">
        <v>5781</v>
      </c>
      <c r="F7" s="3" t="s">
        <v>5781</v>
      </c>
      <c r="G7" s="3" t="s">
        <v>5797</v>
      </c>
      <c r="H7" s="3" t="str">
        <f>HYPERLINK("http://www.jccm.es/sede/tramite/LGE","FERIA WBWE")</f>
        <v>FERIA WBWE</v>
      </c>
      <c r="I7" s="3" t="s">
        <v>41</v>
      </c>
      <c r="J7" s="3" t="s">
        <v>41</v>
      </c>
      <c r="K7" s="3" t="s">
        <v>42</v>
      </c>
      <c r="L7" s="3" t="s">
        <v>41</v>
      </c>
    </row>
    <row r="8" spans="1:12" ht="57.6">
      <c r="A8" s="3" t="s">
        <v>5798</v>
      </c>
      <c r="B8" s="3" t="s">
        <v>5799</v>
      </c>
      <c r="C8" s="3" t="s">
        <v>45</v>
      </c>
      <c r="D8" s="3" t="s">
        <v>46</v>
      </c>
      <c r="E8" s="3" t="s">
        <v>5781</v>
      </c>
      <c r="F8" s="3" t="s">
        <v>5781</v>
      </c>
      <c r="G8" s="3" t="s">
        <v>5800</v>
      </c>
      <c r="H8" s="3" t="str">
        <f>HYPERLINK("http://www.jccm.es/sede/tramite/LH7","PROMOCION EN MARKETPLACES INTERNACIONALES DE MODA B2B  JOOR Y WE WANT SHOES")</f>
        <v>PROMOCION EN MARKETPLACES INTERNACIONALES DE MODA B2B  JOOR Y WE WANT SHOES</v>
      </c>
      <c r="I8" s="3" t="s">
        <v>41</v>
      </c>
      <c r="J8" s="3" t="s">
        <v>41</v>
      </c>
      <c r="K8" s="3" t="s">
        <v>42</v>
      </c>
      <c r="L8" s="3" t="s">
        <v>41</v>
      </c>
    </row>
    <row r="9" spans="1:12" ht="57.6">
      <c r="A9" s="3" t="s">
        <v>5801</v>
      </c>
      <c r="B9" s="3" t="s">
        <v>5802</v>
      </c>
      <c r="C9" s="3" t="s">
        <v>45</v>
      </c>
      <c r="D9" s="3" t="s">
        <v>46</v>
      </c>
      <c r="E9" s="3" t="s">
        <v>5781</v>
      </c>
      <c r="F9" s="3" t="s">
        <v>5781</v>
      </c>
      <c r="G9" s="3" t="s">
        <v>5803</v>
      </c>
      <c r="H9" s="3" t="str">
        <f>HYPERLINK("http://www.jccm.es/sede/tramite/LH9","FERIAS INTERNACIONALES AGROALIMENTARIAS")</f>
        <v>FERIAS INTERNACIONALES AGROALIMENTARIAS</v>
      </c>
      <c r="I9" s="3" t="s">
        <v>41</v>
      </c>
      <c r="J9" s="3" t="s">
        <v>41</v>
      </c>
      <c r="K9" s="3" t="s">
        <v>42</v>
      </c>
      <c r="L9" s="3" t="s">
        <v>41</v>
      </c>
    </row>
    <row r="10" spans="1:12" ht="57.6">
      <c r="A10" s="3" t="s">
        <v>5804</v>
      </c>
      <c r="B10" s="3" t="s">
        <v>5805</v>
      </c>
      <c r="C10" s="3" t="s">
        <v>45</v>
      </c>
      <c r="D10" s="3" t="s">
        <v>46</v>
      </c>
      <c r="E10" s="3" t="s">
        <v>5781</v>
      </c>
      <c r="F10" s="3" t="s">
        <v>5781</v>
      </c>
      <c r="G10" s="3" t="s">
        <v>5806</v>
      </c>
      <c r="H10" s="3" t="str">
        <f>HYPERLINK("http://www.jccm.es/sede/tramite/LHX","IMPULSA TU EMPRESA  EN CHINA")</f>
        <v>IMPULSA TU EMPRESA  EN CHINA</v>
      </c>
      <c r="I10" s="3" t="s">
        <v>41</v>
      </c>
      <c r="J10" s="3" t="s">
        <v>41</v>
      </c>
      <c r="K10" s="3" t="s">
        <v>42</v>
      </c>
      <c r="L10" s="3" t="s">
        <v>41</v>
      </c>
    </row>
    <row r="11" spans="1:12" ht="57.6">
      <c r="A11" s="3" t="s">
        <v>5807</v>
      </c>
      <c r="B11" s="3" t="s">
        <v>5808</v>
      </c>
      <c r="C11" s="3" t="s">
        <v>45</v>
      </c>
      <c r="D11" s="3" t="s">
        <v>46</v>
      </c>
      <c r="E11" s="3" t="s">
        <v>5781</v>
      </c>
      <c r="F11" s="3" t="s">
        <v>5781</v>
      </c>
      <c r="G11" s="3" t="s">
        <v>5809</v>
      </c>
      <c r="H11" s="3" t="str">
        <f>HYPERLINK("http://www.jccm.es/sede/tramite/LI9","FERIA DE HOTELES DE CHENGDU")</f>
        <v>FERIA DE HOTELES DE CHENGDU</v>
      </c>
      <c r="I11" s="3" t="s">
        <v>41</v>
      </c>
      <c r="J11" s="3" t="s">
        <v>41</v>
      </c>
      <c r="K11" s="3" t="s">
        <v>42</v>
      </c>
      <c r="L11" s="3" t="s">
        <v>41</v>
      </c>
    </row>
    <row r="12" spans="1:12" ht="57.6">
      <c r="A12" s="3" t="s">
        <v>5810</v>
      </c>
      <c r="B12" s="3" t="s">
        <v>5811</v>
      </c>
      <c r="C12" s="3" t="s">
        <v>45</v>
      </c>
      <c r="D12" s="3" t="s">
        <v>46</v>
      </c>
      <c r="E12" s="3" t="s">
        <v>5781</v>
      </c>
      <c r="F12" s="3" t="s">
        <v>5781</v>
      </c>
      <c r="G12" s="3" t="s">
        <v>5812</v>
      </c>
      <c r="H12" s="3" t="str">
        <f>HYPERLINK("http://www.jccm.es/sede/tramite/LIG","ANTAD RETAIL CONNECT: INTERNATIONAL WEEK 2021")</f>
        <v>ANTAD RETAIL CONNECT: INTERNATIONAL WEEK 2021</v>
      </c>
      <c r="I12" s="3" t="s">
        <v>41</v>
      </c>
      <c r="J12" s="3" t="s">
        <v>41</v>
      </c>
      <c r="K12" s="3" t="s">
        <v>42</v>
      </c>
      <c r="L12" s="3" t="s">
        <v>41</v>
      </c>
    </row>
    <row r="13" spans="1:12" ht="57.6">
      <c r="A13" s="3" t="s">
        <v>5813</v>
      </c>
      <c r="B13" s="3" t="s">
        <v>5814</v>
      </c>
      <c r="C13" s="3" t="s">
        <v>70</v>
      </c>
      <c r="D13" s="3" t="s">
        <v>46</v>
      </c>
      <c r="E13" s="3" t="s">
        <v>5781</v>
      </c>
      <c r="F13" s="3" t="s">
        <v>5781</v>
      </c>
      <c r="G13" s="3" t="s">
        <v>5815</v>
      </c>
      <c r="H13" s="3" t="str">
        <f>HYPERLINK("http://www.jccm.es/sede/tramite/LIT","FERIAS INTERNACIONALES AGROALIMENTARIAS SEGUNDO TRIMESTRE.")</f>
        <v>FERIAS INTERNACIONALES AGROALIMENTARIAS SEGUNDO TRIMESTRE.</v>
      </c>
      <c r="I13" s="3" t="s">
        <v>41</v>
      </c>
      <c r="J13" s="3" t="s">
        <v>41</v>
      </c>
      <c r="K13" s="3" t="s">
        <v>42</v>
      </c>
      <c r="L13" s="3" t="s">
        <v>41</v>
      </c>
    </row>
    <row r="14" spans="1:12" ht="57.6">
      <c r="A14" s="3" t="s">
        <v>5816</v>
      </c>
      <c r="B14" s="3" t="s">
        <v>5817</v>
      </c>
      <c r="C14" s="3" t="s">
        <v>70</v>
      </c>
      <c r="D14" s="3" t="s">
        <v>46</v>
      </c>
      <c r="E14" s="3" t="s">
        <v>5781</v>
      </c>
      <c r="F14" s="3" t="s">
        <v>5781</v>
      </c>
      <c r="G14" s="3" t="s">
        <v>5818</v>
      </c>
      <c r="H14" s="3" t="str">
        <f>HYPERLINK("http://www.jccm.es/sede/tramite/LIU","FERIAS INTERNACIONALES SECTORES INDUSTRIALES CUARTO TRIMESTRE")</f>
        <v>FERIAS INTERNACIONALES SECTORES INDUSTRIALES CUARTO TRIMESTRE</v>
      </c>
      <c r="I14" s="3" t="s">
        <v>41</v>
      </c>
      <c r="J14" s="3" t="s">
        <v>41</v>
      </c>
      <c r="K14" s="3" t="s">
        <v>42</v>
      </c>
      <c r="L14" s="3" t="s">
        <v>41</v>
      </c>
    </row>
    <row r="15" spans="1:12" ht="57.6">
      <c r="A15" s="3" t="s">
        <v>5819</v>
      </c>
      <c r="B15" s="3" t="s">
        <v>5820</v>
      </c>
      <c r="C15" s="3" t="s">
        <v>45</v>
      </c>
      <c r="D15" s="3" t="s">
        <v>46</v>
      </c>
      <c r="E15" s="3" t="s">
        <v>5781</v>
      </c>
      <c r="F15" s="3" t="s">
        <v>5781</v>
      </c>
      <c r="G15" s="3" t="s">
        <v>5821</v>
      </c>
      <c r="H15" s="3" t="str">
        <f>HYPERLINK("http://www.jccm.es/sede/tramite/LIV","FERIAS INTERNACIONALES BIENES DE CONSUMO CUARTO TRIMESTRE 2022, (2ª CONVOCATORIA).")</f>
        <v>FERIAS INTERNACIONALES BIENES DE CONSUMO CUARTO TRIMESTRE 2022, (2ª CONVOCATORIA).</v>
      </c>
      <c r="I15" s="3" t="s">
        <v>41</v>
      </c>
      <c r="J15" s="3" t="s">
        <v>41</v>
      </c>
      <c r="K15" s="3" t="s">
        <v>42</v>
      </c>
      <c r="L15" s="3" t="s">
        <v>41</v>
      </c>
    </row>
    <row r="16" spans="1:12" ht="57.6">
      <c r="A16" s="3" t="s">
        <v>5822</v>
      </c>
      <c r="B16" s="3" t="s">
        <v>5823</v>
      </c>
      <c r="C16" s="3" t="s">
        <v>70</v>
      </c>
      <c r="D16" s="3" t="s">
        <v>46</v>
      </c>
      <c r="E16" s="3" t="s">
        <v>5781</v>
      </c>
      <c r="F16" s="3" t="s">
        <v>5781</v>
      </c>
      <c r="G16" s="3" t="s">
        <v>5824</v>
      </c>
      <c r="H16" s="3" t="str">
        <f>HYPERLINK("http://www.jccm.es/sede/tramite/LIW","FERIAS INTERNACIONALES SECTOR MODA TERCER TRIMESTRE")</f>
        <v>FERIAS INTERNACIONALES SECTOR MODA TERCER TRIMESTRE</v>
      </c>
      <c r="I16" s="3" t="s">
        <v>41</v>
      </c>
      <c r="J16" s="3" t="s">
        <v>41</v>
      </c>
      <c r="K16" s="3" t="s">
        <v>42</v>
      </c>
      <c r="L16" s="3" t="s">
        <v>41</v>
      </c>
    </row>
    <row r="17" spans="1:12" ht="57.6">
      <c r="A17" s="3" t="s">
        <v>5825</v>
      </c>
      <c r="B17" s="3" t="s">
        <v>5826</v>
      </c>
      <c r="C17" s="3" t="s">
        <v>45</v>
      </c>
      <c r="D17" s="3" t="s">
        <v>46</v>
      </c>
      <c r="E17" s="3" t="s">
        <v>5781</v>
      </c>
      <c r="F17" s="3" t="s">
        <v>5781</v>
      </c>
      <c r="G17" s="3" t="s">
        <v>5827</v>
      </c>
      <c r="H17" s="3" t="str">
        <f>HYPERLINK("http://www.jccm.es/sede/tramite/LJ4","V2B WINE MEETING EN SINGAPUR")</f>
        <v>V2B WINE MEETING EN SINGAPUR</v>
      </c>
      <c r="I17" s="3" t="s">
        <v>41</v>
      </c>
      <c r="J17" s="3" t="s">
        <v>41</v>
      </c>
      <c r="K17" s="3" t="s">
        <v>42</v>
      </c>
      <c r="L17" s="3" t="s">
        <v>41</v>
      </c>
    </row>
    <row r="18" spans="1:12" ht="57.6">
      <c r="A18" s="3" t="s">
        <v>5828</v>
      </c>
      <c r="B18" s="3" t="s">
        <v>5829</v>
      </c>
      <c r="C18" s="3" t="s">
        <v>45</v>
      </c>
      <c r="D18" s="3" t="s">
        <v>46</v>
      </c>
      <c r="E18" s="3" t="s">
        <v>5781</v>
      </c>
      <c r="F18" s="3" t="s">
        <v>5781</v>
      </c>
      <c r="G18" s="3" t="s">
        <v>5830</v>
      </c>
      <c r="H18" s="3" t="str">
        <f>HYPERLINK("http://www.jccm.es/sede/tramite/LJ5","V2B WINE MEETING EN TAILANDIA.")</f>
        <v>V2B WINE MEETING EN TAILANDIA.</v>
      </c>
      <c r="I18" s="3" t="s">
        <v>41</v>
      </c>
      <c r="J18" s="3" t="s">
        <v>41</v>
      </c>
      <c r="K18" s="3" t="s">
        <v>42</v>
      </c>
      <c r="L18" s="3" t="s">
        <v>41</v>
      </c>
    </row>
    <row r="19" spans="1:12" ht="57.6">
      <c r="A19" s="3" t="s">
        <v>5831</v>
      </c>
      <c r="B19" s="3" t="s">
        <v>5832</v>
      </c>
      <c r="C19" s="3" t="s">
        <v>45</v>
      </c>
      <c r="D19" s="3" t="s">
        <v>46</v>
      </c>
      <c r="E19" s="3" t="s">
        <v>5781</v>
      </c>
      <c r="F19" s="3" t="s">
        <v>5781</v>
      </c>
      <c r="G19" s="3" t="s">
        <v>5833</v>
      </c>
      <c r="H19" s="3" t="str">
        <f>HYPERLINK("http://www.jccm.es/sede/tramite/LJA","V2B WINE MEETING CHINA: CHENGDU")</f>
        <v>V2B WINE MEETING CHINA: CHENGDU</v>
      </c>
      <c r="I19" s="3" t="s">
        <v>41</v>
      </c>
      <c r="J19" s="3" t="s">
        <v>41</v>
      </c>
      <c r="K19" s="3" t="s">
        <v>42</v>
      </c>
      <c r="L19" s="3" t="s">
        <v>41</v>
      </c>
    </row>
    <row r="20" spans="1:12" ht="57.6">
      <c r="A20" s="3" t="s">
        <v>5834</v>
      </c>
      <c r="B20" s="3" t="s">
        <v>5835</v>
      </c>
      <c r="C20" s="3" t="s">
        <v>45</v>
      </c>
      <c r="D20" s="3" t="s">
        <v>46</v>
      </c>
      <c r="E20" s="3" t="s">
        <v>5781</v>
      </c>
      <c r="F20" s="3" t="s">
        <v>5781</v>
      </c>
      <c r="G20" s="3" t="s">
        <v>5836</v>
      </c>
      <c r="H20" s="3" t="str">
        <f>HYPERLINK("http://www.jccm.es/sede/tramite/LJC","MISION COMERCIAL VIRTUAL DE VINO EN COSTA DE MARFIL")</f>
        <v>MISION COMERCIAL VIRTUAL DE VINO EN COSTA DE MARFIL</v>
      </c>
      <c r="I20" s="3" t="s">
        <v>41</v>
      </c>
      <c r="J20" s="3" t="s">
        <v>41</v>
      </c>
      <c r="K20" s="3" t="s">
        <v>42</v>
      </c>
      <c r="L20" s="3" t="s">
        <v>41</v>
      </c>
    </row>
    <row r="21" spans="1:12" ht="57.6">
      <c r="A21" s="3" t="s">
        <v>5837</v>
      </c>
      <c r="B21" s="3" t="s">
        <v>5838</v>
      </c>
      <c r="C21" s="3" t="s">
        <v>45</v>
      </c>
      <c r="D21" s="3" t="s">
        <v>46</v>
      </c>
      <c r="E21" s="3" t="s">
        <v>5781</v>
      </c>
      <c r="F21" s="3" t="s">
        <v>5781</v>
      </c>
      <c r="G21" s="3" t="s">
        <v>5839</v>
      </c>
      <c r="H21" s="3" t="str">
        <f>HYPERLINK("http://www.jccm.es/sede/tramite/LJD","MISION COMERCIAL DIRECTA DE VINO EN GHANA ( 3ª CONVOCATORIA)")</f>
        <v>MISION COMERCIAL DIRECTA DE VINO EN GHANA ( 3ª CONVOCATORIA)</v>
      </c>
      <c r="I21" s="3" t="s">
        <v>41</v>
      </c>
      <c r="J21" s="3" t="s">
        <v>41</v>
      </c>
      <c r="K21" s="3" t="s">
        <v>42</v>
      </c>
      <c r="L21" s="3" t="s">
        <v>41</v>
      </c>
    </row>
    <row r="22" spans="1:12" ht="57.6">
      <c r="A22" s="3" t="s">
        <v>5840</v>
      </c>
      <c r="B22" s="3" t="s">
        <v>5841</v>
      </c>
      <c r="C22" s="3" t="s">
        <v>45</v>
      </c>
      <c r="D22" s="3" t="s">
        <v>46</v>
      </c>
      <c r="E22" s="3" t="s">
        <v>5781</v>
      </c>
      <c r="F22" s="3" t="s">
        <v>5781</v>
      </c>
      <c r="G22" s="3" t="s">
        <v>5842</v>
      </c>
      <c r="H22" s="3" t="str">
        <f>HYPERLINK("http://www.jccm.es/sede/tramite/LJH","MISION COMERCIAL DIRECTA DE VINO EN CAMERUN (3ª CONVOCATORIA)")</f>
        <v>MISION COMERCIAL DIRECTA DE VINO EN CAMERUN (3ª CONVOCATORIA)</v>
      </c>
      <c r="I22" s="3" t="s">
        <v>41</v>
      </c>
      <c r="J22" s="3" t="s">
        <v>41</v>
      </c>
      <c r="K22" s="3" t="s">
        <v>42</v>
      </c>
      <c r="L22" s="3" t="s">
        <v>41</v>
      </c>
    </row>
    <row r="23" spans="1:12" ht="57.6">
      <c r="A23" s="3" t="s">
        <v>5843</v>
      </c>
      <c r="B23" s="3" t="s">
        <v>5844</v>
      </c>
      <c r="C23" s="3" t="s">
        <v>45</v>
      </c>
      <c r="D23" s="3" t="s">
        <v>46</v>
      </c>
      <c r="E23" s="3" t="s">
        <v>5781</v>
      </c>
      <c r="F23" s="3" t="s">
        <v>5781</v>
      </c>
      <c r="G23" s="3" t="s">
        <v>5845</v>
      </c>
      <c r="H23" s="3" t="str">
        <f>HYPERLINK("http://www.jccm.es/sede/tramite/LK3","VISITA FERIA A TASTE OF TAVOLA Y PLATAFORMA TAVOLA ONLINE")</f>
        <v>VISITA FERIA A TASTE OF TAVOLA Y PLATAFORMA TAVOLA ONLINE</v>
      </c>
      <c r="I23" s="3" t="s">
        <v>41</v>
      </c>
      <c r="J23" s="3" t="s">
        <v>41</v>
      </c>
      <c r="K23" s="3" t="s">
        <v>42</v>
      </c>
      <c r="L23" s="3" t="s">
        <v>41</v>
      </c>
    </row>
    <row r="24" spans="1:12" ht="57.6">
      <c r="A24" s="3" t="s">
        <v>5846</v>
      </c>
      <c r="B24" s="3" t="s">
        <v>5847</v>
      </c>
      <c r="C24" s="3" t="s">
        <v>45</v>
      </c>
      <c r="D24" s="3" t="s">
        <v>46</v>
      </c>
      <c r="E24" s="3" t="s">
        <v>5781</v>
      </c>
      <c r="F24" s="3" t="s">
        <v>5781</v>
      </c>
      <c r="G24" s="3" t="s">
        <v>5848</v>
      </c>
      <c r="H24" s="3" t="str">
        <f>HYPERLINK("http://www.jccm.es/sede/tramite/LLI","VISITA A FERIA YUMMEX")</f>
        <v>VISITA A FERIA YUMMEX</v>
      </c>
      <c r="I24" s="3" t="s">
        <v>41</v>
      </c>
      <c r="J24" s="3" t="s">
        <v>41</v>
      </c>
      <c r="K24" s="3" t="s">
        <v>42</v>
      </c>
      <c r="L24" s="3" t="s">
        <v>41</v>
      </c>
    </row>
    <row r="25" spans="1:12" ht="57.6">
      <c r="A25" s="3" t="s">
        <v>5849</v>
      </c>
      <c r="B25" s="3" t="s">
        <v>5850</v>
      </c>
      <c r="C25" s="3" t="s">
        <v>70</v>
      </c>
      <c r="D25" s="3" t="s">
        <v>46</v>
      </c>
      <c r="E25" s="3" t="s">
        <v>5781</v>
      </c>
      <c r="F25" s="3" t="s">
        <v>5781</v>
      </c>
      <c r="G25" s="3" t="s">
        <v>5851</v>
      </c>
      <c r="H25" s="3" t="str">
        <f>HYPERLINK("http://www.jccm.es/sede/tramite/LM0","VISITA FERIA AMERICAS FOOD&amp;BEVERAGES SHOW")</f>
        <v>VISITA FERIA AMERICAS FOOD&amp;BEVERAGES SHOW</v>
      </c>
      <c r="I25" s="3" t="s">
        <v>41</v>
      </c>
      <c r="J25" s="3" t="s">
        <v>41</v>
      </c>
      <c r="K25" s="3" t="s">
        <v>42</v>
      </c>
      <c r="L25" s="3" t="s">
        <v>41</v>
      </c>
    </row>
    <row r="26" spans="1:12" ht="57.6">
      <c r="A26" s="3" t="s">
        <v>5852</v>
      </c>
      <c r="B26" s="3" t="s">
        <v>5853</v>
      </c>
      <c r="C26" s="3" t="s">
        <v>70</v>
      </c>
      <c r="D26" s="3" t="s">
        <v>46</v>
      </c>
      <c r="E26" s="3" t="s">
        <v>5781</v>
      </c>
      <c r="F26" s="3" t="s">
        <v>5781</v>
      </c>
      <c r="G26" s="3" t="s">
        <v>5854</v>
      </c>
      <c r="H26" s="3" t="str">
        <f>HYPERLINK("http://www.jccm.es/sede/tramite/LMO","MISION COMERCIAL DIRECTA MULTISECTORIAL A MARRUECOS")</f>
        <v>MISION COMERCIAL DIRECTA MULTISECTORIAL A MARRUECOS</v>
      </c>
      <c r="I26" s="3" t="s">
        <v>41</v>
      </c>
      <c r="J26" s="3" t="s">
        <v>41</v>
      </c>
      <c r="K26" s="3" t="s">
        <v>42</v>
      </c>
      <c r="L26" s="3" t="s">
        <v>41</v>
      </c>
    </row>
    <row r="27" spans="1:12" ht="57.6">
      <c r="A27" s="3" t="s">
        <v>5855</v>
      </c>
      <c r="B27" s="3" t="s">
        <v>5856</v>
      </c>
      <c r="C27" s="3" t="s">
        <v>70</v>
      </c>
      <c r="D27" s="3" t="s">
        <v>46</v>
      </c>
      <c r="E27" s="3" t="s">
        <v>5781</v>
      </c>
      <c r="F27" s="3" t="s">
        <v>5781</v>
      </c>
      <c r="G27" s="3" t="s">
        <v>5857</v>
      </c>
      <c r="H27" s="3" t="str">
        <f>HYPERLINK("http://www.jccm.es/sede/tramite/LMZ","MISION COMERCIAL DIRECTA A ETIOPIA")</f>
        <v>MISION COMERCIAL DIRECTA A ETIOPIA</v>
      </c>
      <c r="I27" s="3" t="s">
        <v>41</v>
      </c>
      <c r="J27" s="3" t="s">
        <v>41</v>
      </c>
      <c r="K27" s="3" t="s">
        <v>42</v>
      </c>
      <c r="L27" s="3" t="s">
        <v>41</v>
      </c>
    </row>
    <row r="28" spans="1:12" ht="57.6">
      <c r="A28" s="3" t="s">
        <v>5858</v>
      </c>
      <c r="B28" s="3" t="s">
        <v>5859</v>
      </c>
      <c r="C28" s="3" t="s">
        <v>70</v>
      </c>
      <c r="D28" s="3" t="s">
        <v>46</v>
      </c>
      <c r="E28" s="3" t="s">
        <v>5781</v>
      </c>
      <c r="F28" s="3" t="s">
        <v>5781</v>
      </c>
      <c r="G28" s="3" t="s">
        <v>5860</v>
      </c>
      <c r="H28" s="3" t="str">
        <f>HYPERLINK("http://www.jccm.es/sede/tramite/LN2","SPANISH EXTRAVAGANZA CIUDAD DE MEXICO.")</f>
        <v>SPANISH EXTRAVAGANZA CIUDAD DE MEXICO.</v>
      </c>
      <c r="I28" s="3" t="s">
        <v>41</v>
      </c>
      <c r="J28" s="3" t="s">
        <v>41</v>
      </c>
      <c r="K28" s="3" t="s">
        <v>42</v>
      </c>
      <c r="L28" s="3" t="s">
        <v>41</v>
      </c>
    </row>
    <row r="29" spans="1:12" ht="57.6">
      <c r="A29" s="3" t="s">
        <v>5861</v>
      </c>
      <c r="B29" s="3" t="s">
        <v>5862</v>
      </c>
      <c r="C29" s="3" t="s">
        <v>70</v>
      </c>
      <c r="D29" s="3" t="s">
        <v>46</v>
      </c>
      <c r="E29" s="3" t="s">
        <v>5781</v>
      </c>
      <c r="F29" s="3" t="s">
        <v>5781</v>
      </c>
      <c r="G29" s="3" t="s">
        <v>5863</v>
      </c>
      <c r="H29" s="3" t="str">
        <f>HYPERLINK("http://www.jccm.es/sede/tramite/LNL","MISION COMERCIAL DIRECTA A ESTADOS UNIDOS")</f>
        <v>MISION COMERCIAL DIRECTA A ESTADOS UNIDOS</v>
      </c>
      <c r="I29" s="3" t="s">
        <v>41</v>
      </c>
      <c r="J29" s="3" t="s">
        <v>41</v>
      </c>
      <c r="K29" s="3" t="s">
        <v>42</v>
      </c>
      <c r="L29" s="3" t="s">
        <v>41</v>
      </c>
    </row>
    <row r="30" spans="1:12" ht="57.6">
      <c r="A30" s="3" t="s">
        <v>5864</v>
      </c>
      <c r="B30" s="3" t="s">
        <v>5865</v>
      </c>
      <c r="C30" s="3" t="s">
        <v>70</v>
      </c>
      <c r="D30" s="3" t="s">
        <v>46</v>
      </c>
      <c r="E30" s="3" t="s">
        <v>5781</v>
      </c>
      <c r="F30" s="3" t="s">
        <v>5781</v>
      </c>
      <c r="G30" s="3" t="s">
        <v>5866</v>
      </c>
      <c r="H30" s="3" t="str">
        <f>HYPERLINK("http://www.jccm.es/sede/tramite/LNP","V2B WINE MEETING EN TAIWAN.")</f>
        <v>V2B WINE MEETING EN TAIWAN.</v>
      </c>
      <c r="I30" s="3" t="s">
        <v>41</v>
      </c>
      <c r="J30" s="3" t="s">
        <v>41</v>
      </c>
      <c r="K30" s="3" t="s">
        <v>42</v>
      </c>
      <c r="L30" s="3" t="s">
        <v>41</v>
      </c>
    </row>
    <row r="31" spans="1:12" ht="57.6">
      <c r="A31" s="3" t="s">
        <v>5867</v>
      </c>
      <c r="B31" s="3" t="s">
        <v>5868</v>
      </c>
      <c r="C31" s="3" t="s">
        <v>70</v>
      </c>
      <c r="D31" s="3" t="s">
        <v>46</v>
      </c>
      <c r="E31" s="3" t="s">
        <v>5781</v>
      </c>
      <c r="F31" s="3" t="s">
        <v>5781</v>
      </c>
      <c r="G31" s="3" t="s">
        <v>5869</v>
      </c>
      <c r="H31" s="3" t="str">
        <f>HYPERLINK("http://www.jccm.es/sede/tramite/LNW","MISION COMERCIAL DIRECTA A SENEGAL Y COSTA DE MARFIL")</f>
        <v>MISION COMERCIAL DIRECTA A SENEGAL Y COSTA DE MARFIL</v>
      </c>
      <c r="I31" s="3" t="s">
        <v>41</v>
      </c>
      <c r="J31" s="3" t="s">
        <v>41</v>
      </c>
      <c r="K31" s="3" t="s">
        <v>42</v>
      </c>
      <c r="L31" s="3" t="s">
        <v>41</v>
      </c>
    </row>
    <row r="32" spans="1:12" ht="57.6">
      <c r="A32" s="3" t="s">
        <v>5870</v>
      </c>
      <c r="B32" s="3" t="s">
        <v>5871</v>
      </c>
      <c r="C32" s="3" t="s">
        <v>70</v>
      </c>
      <c r="D32" s="3" t="s">
        <v>46</v>
      </c>
      <c r="E32" s="3" t="s">
        <v>5781</v>
      </c>
      <c r="F32" s="3" t="s">
        <v>5781</v>
      </c>
      <c r="G32" s="3" t="s">
        <v>5872</v>
      </c>
      <c r="H32" s="3" t="str">
        <f>HYPERLINK("http://www.jccm.es/sede/tramite/LNX","V2B WINE MEETING EN COREA 2021.")</f>
        <v>V2B WINE MEETING EN COREA 2021.</v>
      </c>
      <c r="I32" s="3" t="s">
        <v>41</v>
      </c>
      <c r="J32" s="3" t="s">
        <v>41</v>
      </c>
      <c r="K32" s="3" t="s">
        <v>42</v>
      </c>
      <c r="L32" s="3" t="s">
        <v>41</v>
      </c>
    </row>
    <row r="33" spans="1:12" ht="57.6">
      <c r="A33" s="3" t="s">
        <v>5873</v>
      </c>
      <c r="B33" s="3" t="s">
        <v>5874</v>
      </c>
      <c r="C33" s="3" t="s">
        <v>70</v>
      </c>
      <c r="D33" s="3" t="s">
        <v>46</v>
      </c>
      <c r="E33" s="3" t="s">
        <v>5781</v>
      </c>
      <c r="F33" s="3" t="s">
        <v>5781</v>
      </c>
      <c r="G33" s="3" t="s">
        <v>5875</v>
      </c>
      <c r="H33" s="3" t="str">
        <f>HYPERLINK("http://www.jccm.es/sede/tramite/LO5","V2B WINE MEETING EN NINGBO")</f>
        <v>V2B WINE MEETING EN NINGBO</v>
      </c>
      <c r="I33" s="3" t="s">
        <v>41</v>
      </c>
      <c r="J33" s="3" t="s">
        <v>41</v>
      </c>
      <c r="K33" s="3" t="s">
        <v>42</v>
      </c>
      <c r="L33" s="3" t="s">
        <v>41</v>
      </c>
    </row>
    <row r="34" spans="1:12" ht="57.6">
      <c r="A34" s="3" t="s">
        <v>5876</v>
      </c>
      <c r="B34" s="3" t="s">
        <v>5877</v>
      </c>
      <c r="C34" s="3" t="s">
        <v>70</v>
      </c>
      <c r="D34" s="3" t="s">
        <v>46</v>
      </c>
      <c r="E34" s="3" t="s">
        <v>5781</v>
      </c>
      <c r="F34" s="3" t="s">
        <v>5781</v>
      </c>
      <c r="G34" s="3" t="s">
        <v>5878</v>
      </c>
      <c r="H34" s="3" t="str">
        <f>HYPERLINK("http://www.jccm.es/sede/tramite/LO6","V2B WINE MEETING EN QUINGDAO.")</f>
        <v>V2B WINE MEETING EN QUINGDAO.</v>
      </c>
      <c r="I34" s="3" t="s">
        <v>41</v>
      </c>
      <c r="J34" s="3" t="s">
        <v>41</v>
      </c>
      <c r="K34" s="3" t="s">
        <v>42</v>
      </c>
      <c r="L34" s="3" t="s">
        <v>41</v>
      </c>
    </row>
    <row r="35" spans="1:12" ht="57.6">
      <c r="A35" s="3" t="s">
        <v>5879</v>
      </c>
      <c r="B35" s="3" t="s">
        <v>5880</v>
      </c>
      <c r="C35" s="3" t="s">
        <v>926</v>
      </c>
      <c r="D35" s="3" t="s">
        <v>46</v>
      </c>
      <c r="E35" s="3" t="s">
        <v>5781</v>
      </c>
      <c r="F35" s="3" t="s">
        <v>5781</v>
      </c>
      <c r="G35" s="3" t="s">
        <v>5881</v>
      </c>
      <c r="H35" s="3" t="str">
        <f>HYPERLINK("http://www.jccm.es/sede/tramite/LOE","CONVOCATORIA DE AYUDAS DESTINADAS AL DESARROLLO DE PLANES INDIVIDUALES DE INTERNACIONALIZACION")</f>
        <v>CONVOCATORIA DE AYUDAS DESTINADAS AL DESARROLLO DE PLANES INDIVIDUALES DE INTERNACIONALIZACION</v>
      </c>
      <c r="I35" s="3" t="s">
        <v>41</v>
      </c>
      <c r="J35" s="3" t="s">
        <v>41</v>
      </c>
      <c r="K35" s="3" t="s">
        <v>42</v>
      </c>
      <c r="L35" s="3" t="s">
        <v>41</v>
      </c>
    </row>
    <row r="36" spans="1:12" ht="57.6">
      <c r="A36" s="3" t="s">
        <v>5882</v>
      </c>
      <c r="B36" s="3" t="s">
        <v>5883</v>
      </c>
      <c r="C36" s="3" t="s">
        <v>70</v>
      </c>
      <c r="D36" s="3" t="s">
        <v>46</v>
      </c>
      <c r="E36" s="3" t="s">
        <v>5781</v>
      </c>
      <c r="F36" s="3" t="s">
        <v>5781</v>
      </c>
      <c r="G36" s="3" t="s">
        <v>5884</v>
      </c>
      <c r="H36" s="3" t="str">
        <f>HYPERLINK("http://www.jccm.es/sede/tramite/LP0","FERIA WORLD BULK WINE EXHIBITION.")</f>
        <v>FERIA WORLD BULK WINE EXHIBITION.</v>
      </c>
      <c r="I36" s="3" t="s">
        <v>41</v>
      </c>
      <c r="J36" s="3" t="s">
        <v>41</v>
      </c>
      <c r="K36" s="3" t="s">
        <v>42</v>
      </c>
      <c r="L36" s="3" t="s">
        <v>41</v>
      </c>
    </row>
    <row r="37" spans="1:12" ht="57.6">
      <c r="A37" s="3" t="s">
        <v>5885</v>
      </c>
      <c r="B37" s="3" t="s">
        <v>5886</v>
      </c>
      <c r="C37" s="3" t="s">
        <v>45</v>
      </c>
      <c r="D37" s="3" t="s">
        <v>46</v>
      </c>
      <c r="E37" s="3" t="s">
        <v>5781</v>
      </c>
      <c r="F37" s="3" t="s">
        <v>5781</v>
      </c>
      <c r="G37" s="3" t="s">
        <v>5887</v>
      </c>
      <c r="H37" s="3" t="str">
        <f>HYPERLINK("http://www.jccm.es/sede/tramite/LP1","FOOD AND HOTEL PROWINE CHINA.")</f>
        <v>FOOD AND HOTEL PROWINE CHINA.</v>
      </c>
      <c r="I37" s="3" t="s">
        <v>41</v>
      </c>
      <c r="J37" s="3" t="s">
        <v>41</v>
      </c>
      <c r="K37" s="3" t="s">
        <v>42</v>
      </c>
      <c r="L37" s="3" t="s">
        <v>41</v>
      </c>
    </row>
    <row r="38" spans="1:12" ht="57.6">
      <c r="A38" s="3" t="s">
        <v>5888</v>
      </c>
      <c r="B38" s="3" t="s">
        <v>5889</v>
      </c>
      <c r="C38" s="3" t="s">
        <v>70</v>
      </c>
      <c r="D38" s="3" t="s">
        <v>46</v>
      </c>
      <c r="E38" s="3" t="s">
        <v>5781</v>
      </c>
      <c r="F38" s="3" t="s">
        <v>5781</v>
      </c>
      <c r="G38" s="3" t="s">
        <v>5890</v>
      </c>
      <c r="H38" s="3" t="str">
        <f>HYPERLINK("http://www.jccm.es/sede/tramite/LP2","FERIA BATIMATEC ARGELIA.")</f>
        <v>FERIA BATIMATEC ARGELIA.</v>
      </c>
      <c r="I38" s="3" t="s">
        <v>41</v>
      </c>
      <c r="J38" s="3" t="s">
        <v>41</v>
      </c>
      <c r="K38" s="3" t="s">
        <v>42</v>
      </c>
      <c r="L38" s="3" t="s">
        <v>41</v>
      </c>
    </row>
    <row r="39" spans="1:12" ht="57.6">
      <c r="A39" s="3" t="s">
        <v>5891</v>
      </c>
      <c r="B39" s="3" t="s">
        <v>5892</v>
      </c>
      <c r="C39" s="3" t="s">
        <v>70</v>
      </c>
      <c r="D39" s="3" t="s">
        <v>46</v>
      </c>
      <c r="E39" s="3" t="s">
        <v>5781</v>
      </c>
      <c r="F39" s="3" t="s">
        <v>5781</v>
      </c>
      <c r="G39" s="3" t="s">
        <v>5893</v>
      </c>
      <c r="H39" s="3" t="str">
        <f>HYPERLINK("http://www.jccm.es/sede/tramite/LP3","VISITA A LA FERIA WORLD TRAVEL MARKET LONDRES")</f>
        <v>VISITA A LA FERIA WORLD TRAVEL MARKET LONDRES</v>
      </c>
      <c r="I39" s="3" t="s">
        <v>41</v>
      </c>
      <c r="J39" s="3" t="s">
        <v>41</v>
      </c>
      <c r="K39" s="3" t="s">
        <v>42</v>
      </c>
      <c r="L39" s="3" t="s">
        <v>41</v>
      </c>
    </row>
    <row r="40" spans="1:12" ht="57.6">
      <c r="A40" s="3" t="s">
        <v>5894</v>
      </c>
      <c r="B40" s="3" t="s">
        <v>5895</v>
      </c>
      <c r="C40" s="3" t="s">
        <v>70</v>
      </c>
      <c r="D40" s="3" t="s">
        <v>46</v>
      </c>
      <c r="E40" s="3" t="s">
        <v>5781</v>
      </c>
      <c r="F40" s="3" t="s">
        <v>5781</v>
      </c>
      <c r="G40" s="3" t="s">
        <v>5896</v>
      </c>
      <c r="H40" s="3" t="str">
        <f>HYPERLINK("http://www.jccm.es/sede/tramite/LP8","FERIA BIOFACH")</f>
        <v>FERIA BIOFACH</v>
      </c>
      <c r="I40" s="3" t="s">
        <v>41</v>
      </c>
      <c r="J40" s="3" t="s">
        <v>41</v>
      </c>
      <c r="K40" s="3" t="s">
        <v>42</v>
      </c>
      <c r="L40" s="3" t="s">
        <v>41</v>
      </c>
    </row>
    <row r="41" spans="1:12" ht="57.6">
      <c r="A41" s="3" t="s">
        <v>5897</v>
      </c>
      <c r="B41" s="3" t="s">
        <v>5898</v>
      </c>
      <c r="C41" s="3" t="s">
        <v>70</v>
      </c>
      <c r="D41" s="3" t="s">
        <v>46</v>
      </c>
      <c r="E41" s="3" t="s">
        <v>5781</v>
      </c>
      <c r="F41" s="3" t="s">
        <v>5781</v>
      </c>
      <c r="G41" s="3" t="s">
        <v>5899</v>
      </c>
      <c r="H41" s="3" t="str">
        <f>HYPERLINK("http://www.jccm.es/sede/tramite/LP9","FERIA FRUIT LOGISTICA.")</f>
        <v>FERIA FRUIT LOGISTICA.</v>
      </c>
      <c r="I41" s="3" t="s">
        <v>41</v>
      </c>
      <c r="J41" s="3" t="s">
        <v>41</v>
      </c>
      <c r="K41" s="3" t="s">
        <v>42</v>
      </c>
      <c r="L41" s="3" t="s">
        <v>41</v>
      </c>
    </row>
    <row r="42" spans="1:12" ht="57.6">
      <c r="A42" s="3" t="s">
        <v>5900</v>
      </c>
      <c r="B42" s="3" t="s">
        <v>5901</v>
      </c>
      <c r="C42" s="3" t="s">
        <v>70</v>
      </c>
      <c r="D42" s="3" t="s">
        <v>46</v>
      </c>
      <c r="E42" s="3" t="s">
        <v>5781</v>
      </c>
      <c r="F42" s="3" t="s">
        <v>5781</v>
      </c>
      <c r="G42" s="3" t="s">
        <v>5902</v>
      </c>
      <c r="H42" s="3" t="str">
        <f>HYPERLINK("http://www.jccm.es/sede/tramite/LPA","FERIA VINEXPO NUEVA YORK")</f>
        <v>FERIA VINEXPO NUEVA YORK</v>
      </c>
      <c r="I42" s="3" t="s">
        <v>41</v>
      </c>
      <c r="J42" s="3" t="s">
        <v>41</v>
      </c>
      <c r="K42" s="3" t="s">
        <v>42</v>
      </c>
      <c r="L42" s="3" t="s">
        <v>41</v>
      </c>
    </row>
    <row r="43" spans="1:12" ht="57.6">
      <c r="A43" s="3" t="s">
        <v>5903</v>
      </c>
      <c r="B43" s="3" t="s">
        <v>5904</v>
      </c>
      <c r="C43" s="3" t="s">
        <v>70</v>
      </c>
      <c r="D43" s="3" t="s">
        <v>46</v>
      </c>
      <c r="E43" s="3" t="s">
        <v>5781</v>
      </c>
      <c r="F43" s="3" t="s">
        <v>5781</v>
      </c>
      <c r="G43" s="3" t="s">
        <v>5905</v>
      </c>
      <c r="H43" s="3" t="str">
        <f>HYPERLINK("http://www.jccm.es/sede/tramite/LPB","FERIA PROWEIN.")</f>
        <v>FERIA PROWEIN.</v>
      </c>
      <c r="I43" s="3" t="s">
        <v>41</v>
      </c>
      <c r="J43" s="3" t="s">
        <v>41</v>
      </c>
      <c r="K43" s="3" t="s">
        <v>42</v>
      </c>
      <c r="L43" s="3" t="s">
        <v>41</v>
      </c>
    </row>
    <row r="44" spans="1:12" ht="57.6">
      <c r="A44" s="3" t="s">
        <v>5906</v>
      </c>
      <c r="B44" s="3" t="s">
        <v>5907</v>
      </c>
      <c r="C44" s="3" t="s">
        <v>70</v>
      </c>
      <c r="D44" s="3" t="s">
        <v>46</v>
      </c>
      <c r="E44" s="3" t="s">
        <v>5781</v>
      </c>
      <c r="F44" s="3" t="s">
        <v>5781</v>
      </c>
      <c r="G44" s="3" t="s">
        <v>5908</v>
      </c>
      <c r="H44" s="3" t="str">
        <f>HYPERLINK("http://www.jccm.es/sede/tramite/LPC","FERIA MILLESIME BIO")</f>
        <v>FERIA MILLESIME BIO</v>
      </c>
      <c r="I44" s="3" t="s">
        <v>41</v>
      </c>
      <c r="J44" s="3" t="s">
        <v>41</v>
      </c>
      <c r="K44" s="3" t="s">
        <v>42</v>
      </c>
      <c r="L44" s="3" t="s">
        <v>41</v>
      </c>
    </row>
    <row r="45" spans="1:12" ht="57.6">
      <c r="A45" s="3" t="s">
        <v>5909</v>
      </c>
      <c r="B45" s="3" t="s">
        <v>5910</v>
      </c>
      <c r="C45" s="3" t="s">
        <v>45</v>
      </c>
      <c r="D45" s="3" t="s">
        <v>46</v>
      </c>
      <c r="E45" s="3" t="s">
        <v>5781</v>
      </c>
      <c r="F45" s="3" t="s">
        <v>5781</v>
      </c>
      <c r="G45" s="3" t="s">
        <v>5911</v>
      </c>
      <c r="H45" s="3" t="str">
        <f>HYPERLINK("http://www.jccm.es/sede/tramite/LQG","FERIA ISM")</f>
        <v>FERIA ISM</v>
      </c>
      <c r="I45" s="3" t="s">
        <v>41</v>
      </c>
      <c r="J45" s="3" t="s">
        <v>41</v>
      </c>
      <c r="K45" s="3" t="s">
        <v>42</v>
      </c>
      <c r="L45" s="3" t="s">
        <v>41</v>
      </c>
    </row>
    <row r="46" spans="1:12" ht="57.6">
      <c r="A46" s="3" t="s">
        <v>5912</v>
      </c>
      <c r="B46" s="3" t="s">
        <v>5913</v>
      </c>
      <c r="C46" s="3" t="s">
        <v>70</v>
      </c>
      <c r="D46" s="3" t="s">
        <v>46</v>
      </c>
      <c r="E46" s="3" t="s">
        <v>5781</v>
      </c>
      <c r="F46" s="3" t="s">
        <v>5781</v>
      </c>
      <c r="G46" s="3" t="s">
        <v>5914</v>
      </c>
      <c r="H46" s="3" t="str">
        <f>HYPERLINK("http://www.jccm.es/sede/tramite/LQH","SALON DU FROMAGE ET DES PRODUITS LAITIERS")</f>
        <v>SALON DU FROMAGE ET DES PRODUITS LAITIERS</v>
      </c>
      <c r="I46" s="3" t="s">
        <v>41</v>
      </c>
      <c r="J46" s="3" t="s">
        <v>41</v>
      </c>
      <c r="K46" s="3" t="s">
        <v>42</v>
      </c>
      <c r="L46" s="3" t="s">
        <v>41</v>
      </c>
    </row>
    <row r="47" spans="1:12" ht="57.6">
      <c r="A47" s="3" t="s">
        <v>5915</v>
      </c>
      <c r="B47" s="3" t="s">
        <v>5916</v>
      </c>
      <c r="C47" s="3" t="s">
        <v>70</v>
      </c>
      <c r="D47" s="3" t="s">
        <v>46</v>
      </c>
      <c r="E47" s="3" t="s">
        <v>5781</v>
      </c>
      <c r="F47" s="3" t="s">
        <v>5781</v>
      </c>
      <c r="G47" s="3" t="s">
        <v>5917</v>
      </c>
      <c r="H47" s="3" t="str">
        <f>HYPERLINK("http://www.jccm.es/sede/tramite/LQI","MISION COMERCIAL DIRECTA A MEXICO")</f>
        <v>MISION COMERCIAL DIRECTA A MEXICO</v>
      </c>
      <c r="I47" s="3" t="s">
        <v>41</v>
      </c>
      <c r="J47" s="3" t="s">
        <v>41</v>
      </c>
      <c r="K47" s="3" t="s">
        <v>42</v>
      </c>
      <c r="L47" s="3" t="s">
        <v>41</v>
      </c>
    </row>
    <row r="48" spans="1:12" ht="57.6">
      <c r="A48" s="3" t="s">
        <v>5918</v>
      </c>
      <c r="B48" s="3" t="s">
        <v>5919</v>
      </c>
      <c r="C48" s="3" t="s">
        <v>70</v>
      </c>
      <c r="D48" s="3" t="s">
        <v>46</v>
      </c>
      <c r="E48" s="3" t="s">
        <v>5781</v>
      </c>
      <c r="F48" s="3" t="s">
        <v>5781</v>
      </c>
      <c r="G48" s="3" t="s">
        <v>5920</v>
      </c>
      <c r="H48" s="3" t="str">
        <f>HYPERLINK("http://www.jccm.es/sede/tramite/LQP","FERIA TAVOLA 2022.")</f>
        <v>FERIA TAVOLA 2022.</v>
      </c>
      <c r="I48" s="3" t="s">
        <v>41</v>
      </c>
      <c r="J48" s="3" t="s">
        <v>41</v>
      </c>
      <c r="K48" s="3" t="s">
        <v>42</v>
      </c>
      <c r="L48" s="3" t="s">
        <v>41</v>
      </c>
    </row>
    <row r="49" spans="1:12" ht="57.6">
      <c r="A49" s="3" t="s">
        <v>5921</v>
      </c>
      <c r="B49" s="3" t="s">
        <v>5922</v>
      </c>
      <c r="C49" s="3" t="s">
        <v>70</v>
      </c>
      <c r="D49" s="3" t="s">
        <v>46</v>
      </c>
      <c r="E49" s="3" t="s">
        <v>5781</v>
      </c>
      <c r="F49" s="3" t="s">
        <v>5781</v>
      </c>
      <c r="G49" s="3" t="s">
        <v>5923</v>
      </c>
      <c r="H49" s="3" t="str">
        <f>HYPERLINK("http://www.jccm.es/sede/tramite/LR7","FERIA SHANGRI LA CHENGDU")</f>
        <v>FERIA SHANGRI LA CHENGDU</v>
      </c>
      <c r="I49" s="3" t="s">
        <v>41</v>
      </c>
      <c r="J49" s="3" t="s">
        <v>41</v>
      </c>
      <c r="K49" s="3" t="s">
        <v>42</v>
      </c>
      <c r="L49" s="3" t="s">
        <v>41</v>
      </c>
    </row>
    <row r="50" spans="1:12" ht="57.6">
      <c r="A50" s="3" t="s">
        <v>5924</v>
      </c>
      <c r="B50" s="3" t="s">
        <v>5925</v>
      </c>
      <c r="C50" s="3" t="s">
        <v>45</v>
      </c>
      <c r="D50" s="3" t="s">
        <v>46</v>
      </c>
      <c r="E50" s="3" t="s">
        <v>5781</v>
      </c>
      <c r="F50" s="3" t="s">
        <v>5781</v>
      </c>
      <c r="G50" s="3" t="s">
        <v>5926</v>
      </c>
      <c r="H50" s="3" t="str">
        <f>HYPERLINK("http://www.jccm.es/sede/tramite/LRD","B2B MEETINGS BRASIL 2022")</f>
        <v>B2B MEETINGS BRASIL 2022</v>
      </c>
      <c r="I50" s="3" t="s">
        <v>41</v>
      </c>
      <c r="J50" s="3" t="s">
        <v>41</v>
      </c>
      <c r="K50" s="3" t="s">
        <v>42</v>
      </c>
      <c r="L50" s="3" t="s">
        <v>41</v>
      </c>
    </row>
    <row r="51" spans="1:12" ht="57.6">
      <c r="A51" s="3" t="s">
        <v>5927</v>
      </c>
      <c r="B51" s="3" t="s">
        <v>5928</v>
      </c>
      <c r="C51" s="3" t="s">
        <v>70</v>
      </c>
      <c r="D51" s="3" t="s">
        <v>46</v>
      </c>
      <c r="E51" s="3" t="s">
        <v>5781</v>
      </c>
      <c r="F51" s="3" t="s">
        <v>5781</v>
      </c>
      <c r="G51" s="3" t="s">
        <v>5929</v>
      </c>
      <c r="H51" s="3" t="str">
        <f>HYPERLINK("http://www.jccm.es/sede/tramite/LRR","MISION COMERCIAL DIRECTA A SUDAFRICA Y MOZAMBIQUE")</f>
        <v>MISION COMERCIAL DIRECTA A SUDAFRICA Y MOZAMBIQUE</v>
      </c>
      <c r="I51" s="3" t="s">
        <v>41</v>
      </c>
      <c r="J51" s="3" t="s">
        <v>41</v>
      </c>
      <c r="K51" s="3" t="s">
        <v>42</v>
      </c>
      <c r="L51" s="3" t="s">
        <v>41</v>
      </c>
    </row>
    <row r="52" spans="1:12" ht="57.6">
      <c r="A52" s="3" t="s">
        <v>5930</v>
      </c>
      <c r="B52" s="3" t="s">
        <v>5931</v>
      </c>
      <c r="C52" s="3" t="s">
        <v>70</v>
      </c>
      <c r="D52" s="3" t="s">
        <v>46</v>
      </c>
      <c r="E52" s="3" t="s">
        <v>5781</v>
      </c>
      <c r="F52" s="3" t="s">
        <v>5781</v>
      </c>
      <c r="G52" s="3" t="s">
        <v>5932</v>
      </c>
      <c r="H52" s="3" t="str">
        <f>HYPERLINK("http://www.jccm.es/sede/tramite/LRS","PREPARA TU EMPRESA PARA VENDER EN EEUU 2022")</f>
        <v>PREPARA TU EMPRESA PARA VENDER EN EEUU 2022</v>
      </c>
      <c r="I52" s="3" t="s">
        <v>41</v>
      </c>
      <c r="J52" s="3" t="s">
        <v>41</v>
      </c>
      <c r="K52" s="3" t="s">
        <v>42</v>
      </c>
      <c r="L52" s="3" t="s">
        <v>41</v>
      </c>
    </row>
    <row r="53" spans="1:12" ht="57.6">
      <c r="A53" s="3" t="s">
        <v>5933</v>
      </c>
      <c r="B53" s="3" t="s">
        <v>5934</v>
      </c>
      <c r="C53" s="3" t="s">
        <v>45</v>
      </c>
      <c r="D53" s="3" t="s">
        <v>46</v>
      </c>
      <c r="E53" s="3" t="s">
        <v>5781</v>
      </c>
      <c r="F53" s="3" t="s">
        <v>5781</v>
      </c>
      <c r="G53" s="3" t="s">
        <v>5935</v>
      </c>
      <c r="H53" s="3" t="str">
        <f>HYPERLINK("http://www.jccm.es/sede/tramite/LRT","MISION COMERCIAL DIRECTA A COLOMBIA")</f>
        <v>MISION COMERCIAL DIRECTA A COLOMBIA</v>
      </c>
      <c r="I53" s="3" t="s">
        <v>41</v>
      </c>
      <c r="J53" s="3" t="s">
        <v>41</v>
      </c>
      <c r="K53" s="3" t="s">
        <v>42</v>
      </c>
      <c r="L53" s="3" t="s">
        <v>41</v>
      </c>
    </row>
    <row r="54" spans="1:12" ht="57.6">
      <c r="A54" s="3" t="s">
        <v>5936</v>
      </c>
      <c r="B54" s="3" t="s">
        <v>5937</v>
      </c>
      <c r="C54" s="3" t="s">
        <v>45</v>
      </c>
      <c r="D54" s="3" t="s">
        <v>46</v>
      </c>
      <c r="E54" s="3" t="s">
        <v>5781</v>
      </c>
      <c r="F54" s="3" t="s">
        <v>5781</v>
      </c>
      <c r="G54" s="3" t="s">
        <v>5938</v>
      </c>
      <c r="H54" s="3" t="str">
        <f>HYPERLINK("http://www.jccm.es/sede/tramite/LRU","FERIA GULFOOD")</f>
        <v>FERIA GULFOOD</v>
      </c>
      <c r="I54" s="3" t="s">
        <v>41</v>
      </c>
      <c r="J54" s="3" t="s">
        <v>41</v>
      </c>
      <c r="K54" s="3" t="s">
        <v>42</v>
      </c>
      <c r="L54" s="3" t="s">
        <v>41</v>
      </c>
    </row>
    <row r="55" spans="1:12" ht="57.6">
      <c r="A55" s="3" t="s">
        <v>5939</v>
      </c>
      <c r="B55" s="3" t="s">
        <v>5940</v>
      </c>
      <c r="C55" s="3" t="s">
        <v>45</v>
      </c>
      <c r="D55" s="3" t="s">
        <v>46</v>
      </c>
      <c r="E55" s="3" t="s">
        <v>5781</v>
      </c>
      <c r="F55" s="3" t="s">
        <v>5781</v>
      </c>
      <c r="G55" s="3" t="s">
        <v>5941</v>
      </c>
      <c r="H55" s="3" t="str">
        <f>HYPERLINK("http://www.jccm.es/sede/tramite/LRW","FERIA IWA NUREMBERG")</f>
        <v>FERIA IWA NUREMBERG</v>
      </c>
      <c r="I55" s="3" t="s">
        <v>41</v>
      </c>
      <c r="J55" s="3" t="s">
        <v>41</v>
      </c>
      <c r="K55" s="3" t="s">
        <v>42</v>
      </c>
      <c r="L55" s="3" t="s">
        <v>41</v>
      </c>
    </row>
    <row r="56" spans="1:12" ht="80.45">
      <c r="A56" s="3" t="s">
        <v>5942</v>
      </c>
      <c r="B56" s="3" t="s">
        <v>5943</v>
      </c>
      <c r="C56" s="3" t="s">
        <v>5944</v>
      </c>
      <c r="D56" s="3" t="s">
        <v>46</v>
      </c>
      <c r="E56" s="3" t="s">
        <v>5781</v>
      </c>
      <c r="F56" s="3" t="s">
        <v>5781</v>
      </c>
      <c r="G56" s="3" t="s">
        <v>5945</v>
      </c>
      <c r="H56" s="3" t="str">
        <f>HYPERLINK("http://www.jccm.es/sede/tramite/LRX","MISION COMERCIAL DIRECTA A RUSIA")</f>
        <v>MISION COMERCIAL DIRECTA A RUSIA</v>
      </c>
      <c r="I56" s="3" t="s">
        <v>41</v>
      </c>
      <c r="J56" s="3" t="s">
        <v>41</v>
      </c>
      <c r="K56" s="3" t="s">
        <v>42</v>
      </c>
      <c r="L56" s="3" t="s">
        <v>41</v>
      </c>
    </row>
    <row r="57" spans="1:12" ht="57.6">
      <c r="A57" s="3" t="s">
        <v>5946</v>
      </c>
      <c r="B57" s="3" t="s">
        <v>5947</v>
      </c>
      <c r="C57" s="3" t="s">
        <v>45</v>
      </c>
      <c r="D57" s="3" t="s">
        <v>46</v>
      </c>
      <c r="E57" s="3" t="s">
        <v>5781</v>
      </c>
      <c r="F57" s="3" t="s">
        <v>5781</v>
      </c>
      <c r="G57" s="3" t="s">
        <v>5948</v>
      </c>
      <c r="H57" s="3" t="str">
        <f>HYPERLINK("http://www.jccm.es/sede/tramite/LSE","FERIA IBERICA EXPO LONDON 2022")</f>
        <v>FERIA IBERICA EXPO LONDON 2022</v>
      </c>
      <c r="I57" s="3" t="s">
        <v>41</v>
      </c>
      <c r="J57" s="3" t="s">
        <v>41</v>
      </c>
      <c r="K57" s="3" t="s">
        <v>42</v>
      </c>
      <c r="L57" s="3" t="s">
        <v>41</v>
      </c>
    </row>
    <row r="58" spans="1:12" ht="80.45">
      <c r="A58" s="3" t="s">
        <v>5949</v>
      </c>
      <c r="B58" s="3" t="s">
        <v>5950</v>
      </c>
      <c r="C58" s="3" t="s">
        <v>5944</v>
      </c>
      <c r="D58" s="3" t="s">
        <v>46</v>
      </c>
      <c r="E58" s="3" t="s">
        <v>5781</v>
      </c>
      <c r="F58" s="3" t="s">
        <v>5781</v>
      </c>
      <c r="G58" s="3" t="s">
        <v>5951</v>
      </c>
      <c r="H58" s="3" t="str">
        <f>HYPERLINK("http://www.jccm.es/sede/tramite/LSD","ENCUENTRO EMPRESARIAL DE HABITAT B2B EN FRANCIA")</f>
        <v>ENCUENTRO EMPRESARIAL DE HABITAT B2B EN FRANCIA</v>
      </c>
      <c r="I58" s="3" t="s">
        <v>41</v>
      </c>
      <c r="J58" s="3" t="s">
        <v>41</v>
      </c>
      <c r="K58" s="3" t="s">
        <v>42</v>
      </c>
      <c r="L58" s="3" t="s">
        <v>41</v>
      </c>
    </row>
    <row r="59" spans="1:12" ht="57.6">
      <c r="A59" s="3" t="s">
        <v>5952</v>
      </c>
      <c r="B59" s="3" t="s">
        <v>5953</v>
      </c>
      <c r="C59" s="3" t="s">
        <v>45</v>
      </c>
      <c r="D59" s="3" t="s">
        <v>46</v>
      </c>
      <c r="E59" s="3" t="s">
        <v>5781</v>
      </c>
      <c r="F59" s="3" t="s">
        <v>5781</v>
      </c>
      <c r="G59" s="3" t="s">
        <v>5954</v>
      </c>
      <c r="H59" s="3" t="str">
        <f>HYPERLINK("http://www.jccm.es/sede/tramite/LSH","SIAL PARIS 2022")</f>
        <v>SIAL PARIS 2022</v>
      </c>
      <c r="I59" s="3" t="s">
        <v>41</v>
      </c>
      <c r="J59" s="3" t="s">
        <v>41</v>
      </c>
      <c r="K59" s="3" t="s">
        <v>42</v>
      </c>
      <c r="L59" s="3" t="s">
        <v>41</v>
      </c>
    </row>
    <row r="60" spans="1:12" ht="57.6">
      <c r="A60" s="3" t="s">
        <v>5955</v>
      </c>
      <c r="B60" s="3" t="s">
        <v>5956</v>
      </c>
      <c r="C60" s="3" t="s">
        <v>45</v>
      </c>
      <c r="D60" s="3" t="s">
        <v>46</v>
      </c>
      <c r="E60" s="3" t="s">
        <v>5781</v>
      </c>
      <c r="F60" s="3" t="s">
        <v>5781</v>
      </c>
      <c r="G60" s="3" t="s">
        <v>5957</v>
      </c>
      <c r="H60" s="3" t="str">
        <f>HYPERLINK("http://www.jccm.es/sede/tramite/LSI","PROMOCION EN PUNTO DE VENTA EN LA TIENDA ONLINE DE IBERICA FOOD 2022  (2ª CONVOCATORIA).")</f>
        <v>PROMOCION EN PUNTO DE VENTA EN LA TIENDA ONLINE DE IBERICA FOOD 2022  (2ª CONVOCATORIA).</v>
      </c>
      <c r="I60" s="3" t="s">
        <v>41</v>
      </c>
      <c r="J60" s="3" t="s">
        <v>41</v>
      </c>
      <c r="K60" s="3" t="s">
        <v>42</v>
      </c>
      <c r="L60" s="3" t="s">
        <v>41</v>
      </c>
    </row>
    <row r="61" spans="1:12" ht="57.6">
      <c r="A61" s="3" t="s">
        <v>5958</v>
      </c>
      <c r="B61" s="3" t="s">
        <v>5959</v>
      </c>
      <c r="C61" s="3" t="s">
        <v>45</v>
      </c>
      <c r="D61" s="3" t="s">
        <v>46</v>
      </c>
      <c r="E61" s="3" t="s">
        <v>5781</v>
      </c>
      <c r="F61" s="3" t="s">
        <v>5781</v>
      </c>
      <c r="G61" s="3" t="s">
        <v>5960</v>
      </c>
      <c r="H61" s="3" t="str">
        <f>HYPERLINK("http://www.jccm.es/sede/tramite/LTC","MISION COMERCIAL DIRECTA DE VINO EN COSTA DE MARFIL (2ª CONVOCATORIA).")</f>
        <v>MISION COMERCIAL DIRECTA DE VINO EN COSTA DE MARFIL (2ª CONVOCATORIA).</v>
      </c>
      <c r="I61" s="3" t="s">
        <v>41</v>
      </c>
      <c r="J61" s="3" t="s">
        <v>41</v>
      </c>
      <c r="K61" s="3" t="s">
        <v>42</v>
      </c>
      <c r="L61" s="3" t="s">
        <v>41</v>
      </c>
    </row>
    <row r="62" spans="1:12" ht="69">
      <c r="A62" s="3" t="s">
        <v>5961</v>
      </c>
      <c r="B62" s="3" t="s">
        <v>5962</v>
      </c>
      <c r="C62" s="3" t="s">
        <v>5963</v>
      </c>
      <c r="D62" s="3" t="s">
        <v>46</v>
      </c>
      <c r="E62" s="3" t="s">
        <v>5781</v>
      </c>
      <c r="F62" s="3" t="s">
        <v>5781</v>
      </c>
      <c r="G62" s="3" t="s">
        <v>5964</v>
      </c>
      <c r="H62" s="3" t="str">
        <f>HYPERLINK("http://www.jccm.es/sede/tramite/LTY","V2B WINE MEETING HANGZHOU")</f>
        <v>V2B WINE MEETING HANGZHOU</v>
      </c>
      <c r="I62" s="3" t="s">
        <v>41</v>
      </c>
      <c r="J62" s="3" t="s">
        <v>41</v>
      </c>
      <c r="K62" s="3" t="s">
        <v>42</v>
      </c>
      <c r="L62" s="3" t="s">
        <v>41</v>
      </c>
    </row>
    <row r="63" spans="1:12" ht="69">
      <c r="A63" s="3" t="s">
        <v>5965</v>
      </c>
      <c r="B63" s="3" t="s">
        <v>5966</v>
      </c>
      <c r="C63" s="3" t="s">
        <v>5967</v>
      </c>
      <c r="D63" s="3" t="s">
        <v>46</v>
      </c>
      <c r="E63" s="3" t="s">
        <v>5781</v>
      </c>
      <c r="F63" s="3" t="s">
        <v>5781</v>
      </c>
      <c r="G63" s="3" t="s">
        <v>5968</v>
      </c>
      <c r="H63" s="3" t="str">
        <f>HYPERLINK("http://www.jccm.es/sede/tramite/LTZ","V2B WINE MEETING TIANJIN Y XIAMEN")</f>
        <v>V2B WINE MEETING TIANJIN Y XIAMEN</v>
      </c>
      <c r="I63" s="3" t="s">
        <v>41</v>
      </c>
      <c r="J63" s="3" t="s">
        <v>41</v>
      </c>
      <c r="K63" s="3" t="s">
        <v>42</v>
      </c>
      <c r="L63" s="3" t="s">
        <v>41</v>
      </c>
    </row>
    <row r="64" spans="1:12" ht="57.6">
      <c r="A64" s="3" t="s">
        <v>5969</v>
      </c>
      <c r="B64" s="3" t="s">
        <v>5970</v>
      </c>
      <c r="C64" s="3" t="s">
        <v>45</v>
      </c>
      <c r="D64" s="3" t="s">
        <v>46</v>
      </c>
      <c r="E64" s="3" t="s">
        <v>5781</v>
      </c>
      <c r="F64" s="3" t="s">
        <v>5781</v>
      </c>
      <c r="G64" s="3" t="s">
        <v>5971</v>
      </c>
      <c r="H64" s="3" t="str">
        <f>HYPERLINK("http://www.jccm.es/sede/tramite/LU0","MISION COMERCIAL DIRECTA NUEVA DELHI")</f>
        <v>MISION COMERCIAL DIRECTA NUEVA DELHI</v>
      </c>
      <c r="I64" s="3" t="s">
        <v>41</v>
      </c>
      <c r="J64" s="3" t="s">
        <v>41</v>
      </c>
      <c r="K64" s="3" t="s">
        <v>42</v>
      </c>
      <c r="L64" s="3" t="s">
        <v>41</v>
      </c>
    </row>
    <row r="65" spans="1:12" ht="57.6">
      <c r="A65" s="3" t="s">
        <v>5972</v>
      </c>
      <c r="B65" s="3" t="s">
        <v>5973</v>
      </c>
      <c r="C65" s="3" t="s">
        <v>45</v>
      </c>
      <c r="D65" s="3" t="s">
        <v>46</v>
      </c>
      <c r="E65" s="3" t="s">
        <v>5781</v>
      </c>
      <c r="F65" s="3" t="s">
        <v>5781</v>
      </c>
      <c r="G65" s="3" t="s">
        <v>5974</v>
      </c>
      <c r="H65" s="3" t="str">
        <f>HYPERLINK("http://www.jccm.es/sede/tramite/LU1","MISION COMERCIAL DIRECTA A EMIRATOS ARABES UNIDOS Y ARABIA SAUDI")</f>
        <v>MISION COMERCIAL DIRECTA A EMIRATOS ARABES UNIDOS Y ARABIA SAUDI</v>
      </c>
      <c r="I65" s="3" t="s">
        <v>41</v>
      </c>
      <c r="J65" s="3" t="s">
        <v>41</v>
      </c>
      <c r="K65" s="3" t="s">
        <v>42</v>
      </c>
      <c r="L65" s="3" t="s">
        <v>41</v>
      </c>
    </row>
    <row r="66" spans="1:12" ht="80.45">
      <c r="A66" s="3" t="s">
        <v>5975</v>
      </c>
      <c r="B66" s="3" t="s">
        <v>5976</v>
      </c>
      <c r="C66" s="3" t="s">
        <v>5944</v>
      </c>
      <c r="D66" s="3" t="s">
        <v>46</v>
      </c>
      <c r="E66" s="3" t="s">
        <v>5781</v>
      </c>
      <c r="F66" s="3" t="s">
        <v>5781</v>
      </c>
      <c r="G66" s="3" t="s">
        <v>5977</v>
      </c>
      <c r="H66" s="3" t="str">
        <f>HYPERLINK("http://www.jccm.es/sede/tramite/LU3","VISITA FERIA SUMMER FANCY FOOD SHOW")</f>
        <v>VISITA FERIA SUMMER FANCY FOOD SHOW</v>
      </c>
      <c r="I66" s="3" t="s">
        <v>41</v>
      </c>
      <c r="J66" s="3" t="s">
        <v>41</v>
      </c>
      <c r="K66" s="3" t="s">
        <v>42</v>
      </c>
      <c r="L66" s="3" t="s">
        <v>41</v>
      </c>
    </row>
    <row r="67" spans="1:12" ht="114.95">
      <c r="A67" s="3" t="s">
        <v>5978</v>
      </c>
      <c r="B67" s="3" t="s">
        <v>5979</v>
      </c>
      <c r="C67" s="3" t="s">
        <v>5980</v>
      </c>
      <c r="D67" s="3" t="s">
        <v>46</v>
      </c>
      <c r="E67" s="3" t="s">
        <v>5781</v>
      </c>
      <c r="F67" s="3" t="s">
        <v>5781</v>
      </c>
      <c r="G67" s="3" t="s">
        <v>5981</v>
      </c>
      <c r="H67" s="3" t="str">
        <f>HYPERLINK("http://www.jccm.es/sede/tramite/LU6","PROMOCION EN PUNTO DE VENTA EN LA TIENDA ONLINE DE RIVERA WINE AND GOURMET")</f>
        <v>PROMOCION EN PUNTO DE VENTA EN LA TIENDA ONLINE DE RIVERA WINE AND GOURMET</v>
      </c>
      <c r="I67" s="3" t="s">
        <v>41</v>
      </c>
      <c r="J67" s="3" t="s">
        <v>41</v>
      </c>
      <c r="K67" s="3" t="s">
        <v>42</v>
      </c>
      <c r="L67" s="3" t="s">
        <v>41</v>
      </c>
    </row>
    <row r="68" spans="1:12" ht="114.95">
      <c r="A68" s="3" t="s">
        <v>5982</v>
      </c>
      <c r="B68" s="3" t="s">
        <v>5983</v>
      </c>
      <c r="C68" s="3" t="s">
        <v>5980</v>
      </c>
      <c r="D68" s="3" t="s">
        <v>46</v>
      </c>
      <c r="E68" s="3" t="s">
        <v>5781</v>
      </c>
      <c r="F68" s="3" t="s">
        <v>5781</v>
      </c>
      <c r="G68" s="3" t="s">
        <v>5984</v>
      </c>
      <c r="H68" s="3" t="str">
        <f>HYPERLINK("http://www.jccm.es/sede/tramite/LUG","MISION COMERCIAL DIRECTA A ECUADOR ( 2ª CONVOCATORIA)")</f>
        <v>MISION COMERCIAL DIRECTA A ECUADOR ( 2ª CONVOCATORIA)</v>
      </c>
      <c r="I68" s="3" t="s">
        <v>41</v>
      </c>
      <c r="J68" s="3" t="s">
        <v>41</v>
      </c>
      <c r="K68" s="3" t="s">
        <v>42</v>
      </c>
      <c r="L68" s="3" t="s">
        <v>41</v>
      </c>
    </row>
    <row r="69" spans="1:12" ht="80.45">
      <c r="A69" s="3" t="s">
        <v>5985</v>
      </c>
      <c r="B69" s="3" t="s">
        <v>5986</v>
      </c>
      <c r="C69" s="3" t="s">
        <v>5987</v>
      </c>
      <c r="D69" s="3" t="s">
        <v>46</v>
      </c>
      <c r="E69" s="3" t="s">
        <v>5781</v>
      </c>
      <c r="F69" s="3" t="s">
        <v>5781</v>
      </c>
      <c r="G69" s="3" t="s">
        <v>5988</v>
      </c>
      <c r="H69" s="3" t="str">
        <f>HYPERLINK("http://www.jccm.es/sede/tramite/LUY","PROMOCION EN PUNTO DE VENTA EN MERCADOS ELECTRONICOS DE EEUU + PLATAFORMA LOGISTICA")</f>
        <v>PROMOCION EN PUNTO DE VENTA EN MERCADOS ELECTRONICOS DE EEUU + PLATAFORMA LOGISTICA</v>
      </c>
      <c r="I69" s="3" t="s">
        <v>41</v>
      </c>
      <c r="J69" s="3" t="s">
        <v>41</v>
      </c>
      <c r="K69" s="3" t="s">
        <v>42</v>
      </c>
      <c r="L69" s="3" t="s">
        <v>41</v>
      </c>
    </row>
    <row r="70" spans="1:12" ht="57.6">
      <c r="A70" s="3" t="s">
        <v>5989</v>
      </c>
      <c r="B70" s="3" t="s">
        <v>5990</v>
      </c>
      <c r="C70" s="3" t="s">
        <v>459</v>
      </c>
      <c r="D70" s="3" t="s">
        <v>46</v>
      </c>
      <c r="E70" s="3" t="s">
        <v>5781</v>
      </c>
      <c r="F70" s="3" t="s">
        <v>5781</v>
      </c>
      <c r="G70" s="3" t="s">
        <v>5991</v>
      </c>
      <c r="H70" s="3" t="str">
        <f>HYPERLINK("http://www.jccm.es/sede/tramite/LV1","ACCEDE AL MERCADO ESTADOS UNIDOS")</f>
        <v>ACCEDE AL MERCADO ESTADOS UNIDOS</v>
      </c>
      <c r="I70" s="3" t="s">
        <v>41</v>
      </c>
      <c r="J70" s="3" t="s">
        <v>41</v>
      </c>
      <c r="K70" s="3" t="s">
        <v>42</v>
      </c>
      <c r="L70" s="3" t="s">
        <v>41</v>
      </c>
    </row>
    <row r="71" spans="1:12" ht="57.6">
      <c r="A71" s="3" t="s">
        <v>5992</v>
      </c>
      <c r="B71" s="3" t="s">
        <v>5993</v>
      </c>
      <c r="C71" s="3" t="s">
        <v>459</v>
      </c>
      <c r="D71" s="3" t="s">
        <v>46</v>
      </c>
      <c r="E71" s="3" t="s">
        <v>5781</v>
      </c>
      <c r="F71" s="3" t="s">
        <v>5781</v>
      </c>
      <c r="G71" s="3" t="s">
        <v>5994</v>
      </c>
      <c r="H71" s="3" t="str">
        <f>HYPERLINK("http://www.jccm.es/sede/tramite/LV2","VISITA A LA FERIA DEL LIBRO DE FRANFURT")</f>
        <v>VISITA A LA FERIA DEL LIBRO DE FRANFURT</v>
      </c>
      <c r="I71" s="3" t="s">
        <v>41</v>
      </c>
      <c r="J71" s="3" t="s">
        <v>41</v>
      </c>
      <c r="K71" s="3" t="s">
        <v>42</v>
      </c>
      <c r="L71" s="3" t="s">
        <v>41</v>
      </c>
    </row>
    <row r="72" spans="1:12" ht="57.6">
      <c r="A72" s="3" t="s">
        <v>5995</v>
      </c>
      <c r="B72" s="3" t="s">
        <v>5996</v>
      </c>
      <c r="C72" s="3" t="s">
        <v>459</v>
      </c>
      <c r="D72" s="3" t="s">
        <v>46</v>
      </c>
      <c r="E72" s="3" t="s">
        <v>5781</v>
      </c>
      <c r="F72" s="3" t="s">
        <v>5781</v>
      </c>
      <c r="G72" s="3" t="s">
        <v>5997</v>
      </c>
      <c r="H72" s="3" t="str">
        <f>HYPERLINK("http://www.jccm.es/sede/tramite/LV3","MISION COMERCIAL DIRECTA A REPUBLICA DOMINICANA Y PUERTO RICO SEGUNDA CONVOCATORIA")</f>
        <v>MISION COMERCIAL DIRECTA A REPUBLICA DOMINICANA Y PUERTO RICO SEGUNDA CONVOCATORIA</v>
      </c>
      <c r="I72" s="3" t="s">
        <v>41</v>
      </c>
      <c r="J72" s="3" t="s">
        <v>41</v>
      </c>
      <c r="K72" s="3" t="s">
        <v>42</v>
      </c>
      <c r="L72" s="3" t="s">
        <v>41</v>
      </c>
    </row>
    <row r="73" spans="1:12" ht="57.6">
      <c r="A73" s="3" t="s">
        <v>5998</v>
      </c>
      <c r="B73" s="3" t="s">
        <v>5999</v>
      </c>
      <c r="C73" s="3" t="s">
        <v>45</v>
      </c>
      <c r="D73" s="3" t="s">
        <v>46</v>
      </c>
      <c r="E73" s="3" t="s">
        <v>5781</v>
      </c>
      <c r="F73" s="3" t="s">
        <v>5781</v>
      </c>
      <c r="G73" s="3" t="s">
        <v>6000</v>
      </c>
      <c r="H73" s="3" t="str">
        <f>HYPERLINK("http://www.jccm.es/sede/tramite/LVA","FERIA ISM MIDDLE EAST")</f>
        <v>FERIA ISM MIDDLE EAST</v>
      </c>
      <c r="I73" s="3" t="s">
        <v>41</v>
      </c>
      <c r="J73" s="3" t="s">
        <v>41</v>
      </c>
      <c r="K73" s="3" t="s">
        <v>42</v>
      </c>
      <c r="L73" s="3" t="s">
        <v>41</v>
      </c>
    </row>
    <row r="74" spans="1:12" ht="114.95">
      <c r="A74" s="3" t="s">
        <v>6001</v>
      </c>
      <c r="B74" s="3" t="s">
        <v>6002</v>
      </c>
      <c r="C74" s="3" t="s">
        <v>5980</v>
      </c>
      <c r="D74" s="3" t="s">
        <v>46</v>
      </c>
      <c r="E74" s="3" t="s">
        <v>5781</v>
      </c>
      <c r="F74" s="3" t="s">
        <v>5781</v>
      </c>
      <c r="G74" s="3" t="s">
        <v>6003</v>
      </c>
      <c r="H74" s="3" t="str">
        <f>HYPERLINK("http://www.jccm.es/sede/tramite/LVE","MISION COMERCIAL DIRECTA A RUMANIA SEGUNDA CONVOCATORIA")</f>
        <v>MISION COMERCIAL DIRECTA A RUMANIA SEGUNDA CONVOCATORIA</v>
      </c>
      <c r="I74" s="3" t="s">
        <v>41</v>
      </c>
      <c r="J74" s="3" t="s">
        <v>41</v>
      </c>
      <c r="K74" s="3" t="s">
        <v>42</v>
      </c>
      <c r="L74" s="3" t="s">
        <v>41</v>
      </c>
    </row>
    <row r="75" spans="1:12" ht="114.95">
      <c r="A75" s="3" t="s">
        <v>6004</v>
      </c>
      <c r="B75" s="3" t="s">
        <v>6005</v>
      </c>
      <c r="C75" s="3" t="s">
        <v>5980</v>
      </c>
      <c r="D75" s="3" t="s">
        <v>46</v>
      </c>
      <c r="E75" s="3" t="s">
        <v>5781</v>
      </c>
      <c r="F75" s="3" t="s">
        <v>5781</v>
      </c>
      <c r="G75" s="3" t="s">
        <v>6006</v>
      </c>
      <c r="H75" s="3" t="str">
        <f>HYPERLINK("http://www.jccm.es/sede/tramite/LVO","MISION COMERCIAL DIRECTA A PAISES BAJOS")</f>
        <v>MISION COMERCIAL DIRECTA A PAISES BAJOS</v>
      </c>
      <c r="I75" s="3" t="s">
        <v>41</v>
      </c>
      <c r="J75" s="3" t="s">
        <v>41</v>
      </c>
      <c r="K75" s="3" t="s">
        <v>42</v>
      </c>
      <c r="L75" s="3" t="s">
        <v>41</v>
      </c>
    </row>
    <row r="76" spans="1:12" ht="114.95">
      <c r="A76" s="3" t="s">
        <v>6007</v>
      </c>
      <c r="B76" s="3" t="s">
        <v>6008</v>
      </c>
      <c r="C76" s="3" t="s">
        <v>5980</v>
      </c>
      <c r="D76" s="3" t="s">
        <v>46</v>
      </c>
      <c r="E76" s="3" t="s">
        <v>5781</v>
      </c>
      <c r="F76" s="3" t="s">
        <v>5781</v>
      </c>
      <c r="G76" s="3" t="s">
        <v>6009</v>
      </c>
      <c r="H76" s="3" t="str">
        <f>HYPERLINK("http://www.jccm.es/sede/tramite/LVP","MISION COMERCIAL DIRECTA A REINO UNIDO")</f>
        <v>MISION COMERCIAL DIRECTA A REINO UNIDO</v>
      </c>
      <c r="I76" s="3" t="s">
        <v>41</v>
      </c>
      <c r="J76" s="3" t="s">
        <v>41</v>
      </c>
      <c r="K76" s="3" t="s">
        <v>42</v>
      </c>
      <c r="L76" s="3" t="s">
        <v>41</v>
      </c>
    </row>
    <row r="77" spans="1:12" ht="114.95">
      <c r="A77" s="3" t="s">
        <v>6010</v>
      </c>
      <c r="B77" s="3" t="s">
        <v>6011</v>
      </c>
      <c r="C77" s="3" t="s">
        <v>5980</v>
      </c>
      <c r="D77" s="3" t="s">
        <v>46</v>
      </c>
      <c r="E77" s="3" t="s">
        <v>5781</v>
      </c>
      <c r="F77" s="3" t="s">
        <v>5781</v>
      </c>
      <c r="G77" s="3" t="s">
        <v>6012</v>
      </c>
      <c r="H77" s="3" t="str">
        <f>HYPERLINK("http://www.jccm.es/sede/tramite/LVQ","VISITA A LA FERIA SIAL PARIS")</f>
        <v>VISITA A LA FERIA SIAL PARIS</v>
      </c>
      <c r="I77" s="3" t="s">
        <v>41</v>
      </c>
      <c r="J77" s="3" t="s">
        <v>41</v>
      </c>
      <c r="K77" s="3" t="s">
        <v>42</v>
      </c>
      <c r="L77" s="3" t="s">
        <v>41</v>
      </c>
    </row>
    <row r="78" spans="1:12" ht="114.95">
      <c r="A78" s="3" t="s">
        <v>6013</v>
      </c>
      <c r="B78" s="3" t="s">
        <v>6014</v>
      </c>
      <c r="C78" s="3" t="s">
        <v>5980</v>
      </c>
      <c r="D78" s="3" t="s">
        <v>46</v>
      </c>
      <c r="E78" s="3" t="s">
        <v>5781</v>
      </c>
      <c r="F78" s="3" t="s">
        <v>5781</v>
      </c>
      <c r="G78" s="3" t="s">
        <v>6015</v>
      </c>
      <c r="H78" s="3" t="str">
        <f>HYPERLINK("http://www.jccm.es/sede/tramite/LVV","B2B WINE ROAD SHOW JAPON Y COREA DEL SUR")</f>
        <v>B2B WINE ROAD SHOW JAPON Y COREA DEL SUR</v>
      </c>
      <c r="I78" s="3" t="s">
        <v>41</v>
      </c>
      <c r="J78" s="3" t="s">
        <v>41</v>
      </c>
      <c r="K78" s="3" t="s">
        <v>42</v>
      </c>
      <c r="L78" s="3" t="s">
        <v>41</v>
      </c>
    </row>
    <row r="79" spans="1:12" ht="114.95">
      <c r="A79" s="3" t="s">
        <v>6016</v>
      </c>
      <c r="B79" s="3" t="s">
        <v>6017</v>
      </c>
      <c r="C79" s="3" t="s">
        <v>5980</v>
      </c>
      <c r="D79" s="3" t="s">
        <v>46</v>
      </c>
      <c r="E79" s="3" t="s">
        <v>5781</v>
      </c>
      <c r="F79" s="3" t="s">
        <v>5781</v>
      </c>
      <c r="G79" s="3" t="s">
        <v>6018</v>
      </c>
      <c r="H79" s="3" t="str">
        <f>HYPERLINK("http://www.jccm.es/sede/tramite/LVY","PRESENTACION DE PRODUCTOS EN PERU")</f>
        <v>PRESENTACION DE PRODUCTOS EN PERU</v>
      </c>
      <c r="I79" s="3" t="s">
        <v>41</v>
      </c>
      <c r="J79" s="3" t="s">
        <v>41</v>
      </c>
      <c r="K79" s="3" t="s">
        <v>42</v>
      </c>
      <c r="L79" s="3" t="s">
        <v>41</v>
      </c>
    </row>
    <row r="80" spans="1:12" ht="114.95">
      <c r="A80" s="3" t="s">
        <v>6019</v>
      </c>
      <c r="B80" s="3" t="s">
        <v>6020</v>
      </c>
      <c r="C80" s="3" t="s">
        <v>5980</v>
      </c>
      <c r="D80" s="3" t="s">
        <v>46</v>
      </c>
      <c r="E80" s="3" t="s">
        <v>5781</v>
      </c>
      <c r="F80" s="3" t="s">
        <v>5781</v>
      </c>
      <c r="G80" s="3" t="s">
        <v>6021</v>
      </c>
      <c r="H80" s="3" t="str">
        <f>HYPERLINK("http://www.jccm.es/sede/tramite/LVZ","V2B FOOD MEETINGS BRASIL")</f>
        <v>V2B FOOD MEETINGS BRASIL</v>
      </c>
      <c r="I80" s="3" t="s">
        <v>41</v>
      </c>
      <c r="J80" s="3" t="s">
        <v>41</v>
      </c>
      <c r="K80" s="3" t="s">
        <v>42</v>
      </c>
      <c r="L80" s="3" t="s">
        <v>41</v>
      </c>
    </row>
    <row r="81" spans="1:12" ht="57.6">
      <c r="A81" s="3" t="s">
        <v>6022</v>
      </c>
      <c r="B81" s="3" t="s">
        <v>6023</v>
      </c>
      <c r="C81" s="3" t="s">
        <v>45</v>
      </c>
      <c r="D81" s="3" t="s">
        <v>46</v>
      </c>
      <c r="E81" s="3" t="s">
        <v>5781</v>
      </c>
      <c r="F81" s="3" t="s">
        <v>5781</v>
      </c>
      <c r="G81" s="3" t="s">
        <v>6024</v>
      </c>
      <c r="H81" s="3" t="str">
        <f>HYPERLINK("http://www.jccm.es/sede/tramite/LW5","MISION COMERCIAL DIRECTA A JAPON Y COREA DEL SUR")</f>
        <v>MISION COMERCIAL DIRECTA A JAPON Y COREA DEL SUR</v>
      </c>
      <c r="I81" s="3" t="s">
        <v>41</v>
      </c>
      <c r="J81" s="3" t="s">
        <v>41</v>
      </c>
      <c r="K81" s="3" t="s">
        <v>42</v>
      </c>
      <c r="L81" s="3" t="s">
        <v>41</v>
      </c>
    </row>
    <row r="82" spans="1:12" ht="57.6">
      <c r="A82" s="3" t="s">
        <v>6025</v>
      </c>
      <c r="B82" s="3" t="s">
        <v>6026</v>
      </c>
      <c r="C82" s="3" t="s">
        <v>45</v>
      </c>
      <c r="D82" s="3" t="s">
        <v>46</v>
      </c>
      <c r="E82" s="3" t="s">
        <v>5781</v>
      </c>
      <c r="F82" s="3" t="s">
        <v>5781</v>
      </c>
      <c r="G82" s="3" t="s">
        <v>6027</v>
      </c>
      <c r="H82" s="3" t="str">
        <f>HYPERLINK("http://www.jccm.es/sede/tramite/LW6","FERIA RESTAURANT AND BAR HONG KONG")</f>
        <v>FERIA RESTAURANT AND BAR HONG KONG</v>
      </c>
      <c r="I82" s="3" t="s">
        <v>41</v>
      </c>
      <c r="J82" s="3" t="s">
        <v>41</v>
      </c>
      <c r="K82" s="3" t="s">
        <v>42</v>
      </c>
      <c r="L82" s="3" t="s">
        <v>41</v>
      </c>
    </row>
    <row r="83" spans="1:12" ht="57.6">
      <c r="A83" s="3" t="s">
        <v>6028</v>
      </c>
      <c r="B83" s="3" t="s">
        <v>6029</v>
      </c>
      <c r="C83" s="3" t="s">
        <v>45</v>
      </c>
      <c r="D83" s="3" t="s">
        <v>46</v>
      </c>
      <c r="E83" s="3" t="s">
        <v>5781</v>
      </c>
      <c r="F83" s="3" t="s">
        <v>5781</v>
      </c>
      <c r="G83" s="3" t="s">
        <v>6030</v>
      </c>
      <c r="H83" s="3" t="str">
        <f>HYPERLINK("http://www.jccm.es/sede/tramite/LWA","B2B WINE ROADSHOW FILIPINAS Y VIETNAM")</f>
        <v>B2B WINE ROADSHOW FILIPINAS Y VIETNAM</v>
      </c>
      <c r="I83" s="3" t="s">
        <v>41</v>
      </c>
      <c r="J83" s="3" t="s">
        <v>41</v>
      </c>
      <c r="K83" s="3" t="s">
        <v>42</v>
      </c>
      <c r="L83" s="3" t="s">
        <v>41</v>
      </c>
    </row>
    <row r="84" spans="1:12" ht="114.95">
      <c r="A84" s="3" t="s">
        <v>6031</v>
      </c>
      <c r="B84" s="3" t="s">
        <v>6032</v>
      </c>
      <c r="C84" s="3" t="s">
        <v>5980</v>
      </c>
      <c r="D84" s="3" t="s">
        <v>46</v>
      </c>
      <c r="E84" s="3" t="s">
        <v>5781</v>
      </c>
      <c r="F84" s="3" t="s">
        <v>5781</v>
      </c>
      <c r="G84" s="3" t="s">
        <v>6033</v>
      </c>
      <c r="H84" s="3" t="str">
        <f>HYPERLINK("http://www.jccm.es/sede/tramite/LWC","MISION COMERCIAL DIRECTA A CAMERUN Y GABON")</f>
        <v>MISION COMERCIAL DIRECTA A CAMERUN Y GABON</v>
      </c>
      <c r="I84" s="3" t="s">
        <v>41</v>
      </c>
      <c r="J84" s="3" t="s">
        <v>41</v>
      </c>
      <c r="K84" s="3" t="s">
        <v>42</v>
      </c>
      <c r="L84" s="3" t="s">
        <v>41</v>
      </c>
    </row>
    <row r="85" spans="1:12" ht="57.6">
      <c r="A85" s="3" t="s">
        <v>6034</v>
      </c>
      <c r="B85" s="3" t="s">
        <v>6035</v>
      </c>
      <c r="C85" s="3" t="s">
        <v>45</v>
      </c>
      <c r="D85" s="3" t="s">
        <v>46</v>
      </c>
      <c r="E85" s="3" t="s">
        <v>5781</v>
      </c>
      <c r="F85" s="3" t="s">
        <v>5781</v>
      </c>
      <c r="G85" s="3" t="s">
        <v>6036</v>
      </c>
      <c r="H85" s="3" t="str">
        <f>HYPERLINK("http://www.jccm.es/sede/tramite/LWF","B2B WINE ROADSHOW INDONESIA Y TAIWAN")</f>
        <v>B2B WINE ROADSHOW INDONESIA Y TAIWAN</v>
      </c>
      <c r="I85" s="3" t="s">
        <v>41</v>
      </c>
      <c r="J85" s="3" t="s">
        <v>41</v>
      </c>
      <c r="K85" s="3" t="s">
        <v>42</v>
      </c>
      <c r="L85" s="3" t="s">
        <v>41</v>
      </c>
    </row>
    <row r="86" spans="1:12" ht="57.6">
      <c r="A86" s="3" t="s">
        <v>6037</v>
      </c>
      <c r="B86" s="3" t="s">
        <v>6038</v>
      </c>
      <c r="C86" s="3" t="s">
        <v>45</v>
      </c>
      <c r="D86" s="3" t="s">
        <v>46</v>
      </c>
      <c r="E86" s="3" t="s">
        <v>5781</v>
      </c>
      <c r="F86" s="3" t="s">
        <v>5781</v>
      </c>
      <c r="G86" s="3" t="s">
        <v>6039</v>
      </c>
      <c r="H86" s="3" t="str">
        <f>HYPERLINK("http://www.jccm.es/sede/tramite/LWK","V2B WINE MEETING WUHAN 2022")</f>
        <v>V2B WINE MEETING WUHAN 2022</v>
      </c>
      <c r="I86" s="3" t="s">
        <v>41</v>
      </c>
      <c r="J86" s="3" t="s">
        <v>41</v>
      </c>
      <c r="K86" s="3" t="s">
        <v>42</v>
      </c>
      <c r="L86" s="3" t="s">
        <v>41</v>
      </c>
    </row>
    <row r="87" spans="1:12" ht="57.6">
      <c r="A87" s="3" t="s">
        <v>6040</v>
      </c>
      <c r="B87" s="3" t="s">
        <v>6041</v>
      </c>
      <c r="C87" s="3" t="s">
        <v>45</v>
      </c>
      <c r="D87" s="3" t="s">
        <v>46</v>
      </c>
      <c r="E87" s="3" t="s">
        <v>5781</v>
      </c>
      <c r="F87" s="3" t="s">
        <v>5781</v>
      </c>
      <c r="G87" s="3" t="s">
        <v>6042</v>
      </c>
      <c r="H87" s="3" t="str">
        <f>HYPERLINK("http://www.jccm.es/sede/tramite/LWM","ACCESS TO MARKET WINE USA")</f>
        <v>ACCESS TO MARKET WINE USA</v>
      </c>
      <c r="I87" s="3" t="s">
        <v>41</v>
      </c>
      <c r="J87" s="3" t="s">
        <v>41</v>
      </c>
      <c r="K87" s="3" t="s">
        <v>42</v>
      </c>
      <c r="L87" s="3" t="s">
        <v>41</v>
      </c>
    </row>
    <row r="88" spans="1:12" ht="57.6">
      <c r="A88" s="3" t="s">
        <v>6043</v>
      </c>
      <c r="B88" s="3" t="s">
        <v>6044</v>
      </c>
      <c r="C88" s="3" t="s">
        <v>459</v>
      </c>
      <c r="D88" s="3" t="s">
        <v>46</v>
      </c>
      <c r="E88" s="3" t="s">
        <v>5781</v>
      </c>
      <c r="F88" s="3" t="s">
        <v>5781</v>
      </c>
      <c r="G88" s="3" t="s">
        <v>6045</v>
      </c>
      <c r="H88" s="3" t="str">
        <f>HYPERLINK("http://www.jccm.es/sede/tramite/LWU","EXPOSICION DE PRODUCTOS EN MEXICO")</f>
        <v>EXPOSICION DE PRODUCTOS EN MEXICO</v>
      </c>
      <c r="I88" s="3" t="s">
        <v>41</v>
      </c>
      <c r="J88" s="3" t="s">
        <v>41</v>
      </c>
      <c r="K88" s="3" t="s">
        <v>42</v>
      </c>
      <c r="L88" s="3" t="s">
        <v>41</v>
      </c>
    </row>
    <row r="89" spans="1:12" ht="57.6">
      <c r="A89" s="3" t="s">
        <v>6046</v>
      </c>
      <c r="B89" s="3" t="s">
        <v>6047</v>
      </c>
      <c r="C89" s="3" t="s">
        <v>45</v>
      </c>
      <c r="D89" s="3" t="s">
        <v>46</v>
      </c>
      <c r="E89" s="3" t="s">
        <v>5781</v>
      </c>
      <c r="F89" s="3" t="s">
        <v>5781</v>
      </c>
      <c r="G89" s="3" t="s">
        <v>6048</v>
      </c>
      <c r="H89" s="3" t="str">
        <f>HYPERLINK("http://www.jccm.es/sede/tramite/LX2","PROMOCION PUNTO DE VENTA VINO: GRUPO CORNERS DELI CHINA")</f>
        <v>PROMOCION PUNTO DE VENTA VINO: GRUPO CORNERS DELI CHINA</v>
      </c>
      <c r="I89" s="3" t="s">
        <v>41</v>
      </c>
      <c r="J89" s="3" t="s">
        <v>41</v>
      </c>
      <c r="K89" s="3" t="s">
        <v>42</v>
      </c>
      <c r="L89" s="3" t="s">
        <v>41</v>
      </c>
    </row>
    <row r="90" spans="1:12" ht="57.6">
      <c r="A90" s="3" t="s">
        <v>6049</v>
      </c>
      <c r="B90" s="3" t="s">
        <v>6050</v>
      </c>
      <c r="C90" s="3" t="s">
        <v>70</v>
      </c>
      <c r="D90" s="3" t="s">
        <v>46</v>
      </c>
      <c r="E90" s="3" t="s">
        <v>5781</v>
      </c>
      <c r="F90" s="3" t="s">
        <v>5781</v>
      </c>
      <c r="G90" s="3" t="s">
        <v>6051</v>
      </c>
      <c r="H90" s="3" t="str">
        <f>HYPERLINK("http://www.jccm.es/sede/tramite/LXJ","FERIA FOOD EXPO GREECE")</f>
        <v>FERIA FOOD EXPO GREECE</v>
      </c>
      <c r="I90" s="3" t="s">
        <v>41</v>
      </c>
      <c r="J90" s="3" t="s">
        <v>41</v>
      </c>
      <c r="K90" s="3" t="s">
        <v>42</v>
      </c>
      <c r="L90" s="3" t="s">
        <v>41</v>
      </c>
    </row>
    <row r="91" spans="1:12" ht="57.6">
      <c r="A91" s="3" t="s">
        <v>6052</v>
      </c>
      <c r="B91" s="3" t="s">
        <v>6053</v>
      </c>
      <c r="C91" s="3" t="s">
        <v>45</v>
      </c>
      <c r="D91" s="3" t="s">
        <v>46</v>
      </c>
      <c r="E91" s="3" t="s">
        <v>5781</v>
      </c>
      <c r="F91" s="3" t="s">
        <v>5781</v>
      </c>
      <c r="G91" s="3" t="s">
        <v>6054</v>
      </c>
      <c r="H91" s="3" t="str">
        <f>HYPERLINK("http://www.jccm.es/sede/tramite/LY0","B2B WINE MEETING SUIZA")</f>
        <v>B2B WINE MEETING SUIZA</v>
      </c>
      <c r="I91" s="3" t="s">
        <v>41</v>
      </c>
      <c r="J91" s="3" t="s">
        <v>41</v>
      </c>
      <c r="K91" s="3" t="s">
        <v>42</v>
      </c>
      <c r="L91" s="3" t="s">
        <v>41</v>
      </c>
    </row>
    <row r="92" spans="1:12" ht="57.6">
      <c r="A92" s="3" t="s">
        <v>6055</v>
      </c>
      <c r="B92" s="3" t="s">
        <v>6056</v>
      </c>
      <c r="C92" s="3" t="s">
        <v>45</v>
      </c>
      <c r="D92" s="3" t="s">
        <v>46</v>
      </c>
      <c r="E92" s="3" t="s">
        <v>5781</v>
      </c>
      <c r="F92" s="3" t="s">
        <v>5781</v>
      </c>
      <c r="G92" s="3" t="s">
        <v>6057</v>
      </c>
      <c r="H92" s="3" t="str">
        <f>HYPERLINK("http://www.jccm.es/sede/tramite/LYQ","PRESENTACION DE PRODUCTO VINO SINGAPUR Y HONG KONG (2ª CONVOCATORIA)")</f>
        <v>PRESENTACION DE PRODUCTO VINO SINGAPUR Y HONG KONG (2ª CONVOCATORIA)</v>
      </c>
      <c r="I92" s="3" t="s">
        <v>41</v>
      </c>
      <c r="J92" s="3" t="s">
        <v>41</v>
      </c>
      <c r="K92" s="3" t="s">
        <v>42</v>
      </c>
      <c r="L92" s="3" t="s">
        <v>41</v>
      </c>
    </row>
    <row r="93" spans="1:12" ht="57.6">
      <c r="A93" s="3" t="s">
        <v>6058</v>
      </c>
      <c r="B93" s="3" t="s">
        <v>6059</v>
      </c>
      <c r="C93" s="3" t="s">
        <v>45</v>
      </c>
      <c r="D93" s="3" t="s">
        <v>46</v>
      </c>
      <c r="E93" s="3" t="s">
        <v>5781</v>
      </c>
      <c r="F93" s="3" t="s">
        <v>5781</v>
      </c>
      <c r="G93" s="3" t="s">
        <v>6060</v>
      </c>
      <c r="H93" s="3" t="str">
        <f>HYPERLINK("http://www.jccm.es/sede/tramite/LYU","IMPULSA TU EMPRESA EN EEUU")</f>
        <v>IMPULSA TU EMPRESA EN EEUU</v>
      </c>
      <c r="I93" s="3" t="s">
        <v>41</v>
      </c>
      <c r="J93" s="3" t="s">
        <v>41</v>
      </c>
      <c r="K93" s="3" t="s">
        <v>42</v>
      </c>
      <c r="L93" s="3" t="s">
        <v>41</v>
      </c>
    </row>
    <row r="94" spans="1:12" ht="57.6">
      <c r="A94" s="3" t="s">
        <v>6061</v>
      </c>
      <c r="B94" s="3" t="s">
        <v>6062</v>
      </c>
      <c r="C94" s="3" t="s">
        <v>70</v>
      </c>
      <c r="D94" s="3" t="s">
        <v>46</v>
      </c>
      <c r="E94" s="3" t="s">
        <v>5781</v>
      </c>
      <c r="F94" s="3" t="s">
        <v>5781</v>
      </c>
      <c r="G94" s="3" t="s">
        <v>6063</v>
      </c>
      <c r="H94" s="3" t="str">
        <f>HYPERLINK("http://www.jccm.es/sede/tramite/LN3","FERIA ANUGA, DIRIGIDA A EMPRESAS EXPOSITORAS.")</f>
        <v>FERIA ANUGA, DIRIGIDA A EMPRESAS EXPOSITORAS.</v>
      </c>
      <c r="I94" s="3" t="s">
        <v>41</v>
      </c>
      <c r="J94" s="3" t="s">
        <v>41</v>
      </c>
      <c r="K94" s="3" t="s">
        <v>42</v>
      </c>
      <c r="L94" s="3" t="s">
        <v>41</v>
      </c>
    </row>
    <row r="95" spans="1:12" ht="57.6">
      <c r="A95" s="3" t="s">
        <v>6064</v>
      </c>
      <c r="B95" s="3" t="s">
        <v>6065</v>
      </c>
      <c r="C95" s="3" t="s">
        <v>70</v>
      </c>
      <c r="D95" s="3" t="s">
        <v>46</v>
      </c>
      <c r="E95" s="3" t="s">
        <v>5781</v>
      </c>
      <c r="F95" s="3" t="s">
        <v>5781</v>
      </c>
      <c r="G95" s="3" t="s">
        <v>6066</v>
      </c>
      <c r="H95" s="3" t="str">
        <f>HYPERLINK("http://www.jccm.es/sede/tramite/LN4","VISITA FERIA ANUGA, DIRIGIDA A EMPRESAS VISITANTES DE LA FERIA (NO EXPOSITORAS)")</f>
        <v>VISITA FERIA ANUGA, DIRIGIDA A EMPRESAS VISITANTES DE LA FERIA (NO EXPOSITORAS)</v>
      </c>
      <c r="I95" s="3" t="s">
        <v>41</v>
      </c>
      <c r="J95" s="3" t="s">
        <v>41</v>
      </c>
      <c r="K95" s="3" t="s">
        <v>42</v>
      </c>
      <c r="L95" s="3" t="s">
        <v>41</v>
      </c>
    </row>
    <row r="96" spans="1:12" ht="57.6">
      <c r="A96" s="3" t="s">
        <v>6067</v>
      </c>
      <c r="B96" s="3" t="s">
        <v>6068</v>
      </c>
      <c r="C96" s="3" t="s">
        <v>70</v>
      </c>
      <c r="D96" s="3" t="s">
        <v>46</v>
      </c>
      <c r="E96" s="3" t="s">
        <v>5781</v>
      </c>
      <c r="F96" s="3" t="s">
        <v>5781</v>
      </c>
      <c r="G96" s="3" t="s">
        <v>6069</v>
      </c>
      <c r="H96" s="3" t="str">
        <f>HYPERLINK("http://www.jccm.es/sede/tramite/LRV","VISITA FERIA MICAM I SHOE EVENT MILAN (NO EXPOSITORES)")</f>
        <v>VISITA FERIA MICAM I SHOE EVENT MILAN (NO EXPOSITORES)</v>
      </c>
      <c r="I96" s="3" t="s">
        <v>41</v>
      </c>
      <c r="J96" s="3" t="s">
        <v>41</v>
      </c>
      <c r="K96" s="3" t="s">
        <v>42</v>
      </c>
      <c r="L96" s="3" t="s">
        <v>41</v>
      </c>
    </row>
    <row r="97" spans="1:12" ht="57.6">
      <c r="A97" s="3" t="s">
        <v>6070</v>
      </c>
      <c r="B97" s="3" t="s">
        <v>6071</v>
      </c>
      <c r="C97" s="3" t="s">
        <v>70</v>
      </c>
      <c r="D97" s="3" t="s">
        <v>46</v>
      </c>
      <c r="E97" s="3" t="s">
        <v>5781</v>
      </c>
      <c r="F97" s="3" t="s">
        <v>5781</v>
      </c>
      <c r="G97" s="3" t="s">
        <v>6072</v>
      </c>
      <c r="H97" s="3" t="str">
        <f>HYPERLINK("http://www.jccm.es/sede/tramite/LSA","MICAM II SHOE EVENT MILAN , (DIRIGIDA A EMPRESAS EXPOSITORAS).")</f>
        <v>MICAM II SHOE EVENT MILAN , (DIRIGIDA A EMPRESAS EXPOSITORAS).</v>
      </c>
      <c r="I97" s="3" t="s">
        <v>41</v>
      </c>
      <c r="J97" s="3" t="s">
        <v>41</v>
      </c>
      <c r="K97" s="3" t="s">
        <v>42</v>
      </c>
      <c r="L97" s="3" t="s">
        <v>41</v>
      </c>
    </row>
    <row r="98" spans="1:12" ht="57.6">
      <c r="A98" s="3" t="s">
        <v>6073</v>
      </c>
      <c r="B98" s="3" t="s">
        <v>6074</v>
      </c>
      <c r="C98" s="3" t="s">
        <v>95</v>
      </c>
      <c r="D98" s="3" t="s">
        <v>95</v>
      </c>
      <c r="E98" s="3" t="s">
        <v>5781</v>
      </c>
      <c r="F98" s="3" t="s">
        <v>5781</v>
      </c>
      <c r="G98" s="3" t="s">
        <v>6075</v>
      </c>
      <c r="H98" s="3" t="str">
        <f>HYPERLINK("http://www.jccm.es/sede/tramite/LC2","SOLICITUD PARA EL PROCESO SELECCION TECNICO/A COMERCIO EXTERIOR EN IPEX.")</f>
        <v>SOLICITUD PARA EL PROCESO SELECCION TECNICO/A COMERCIO EXTERIOR EN IPEX.</v>
      </c>
      <c r="I98" s="3" t="s">
        <v>42</v>
      </c>
      <c r="J98" s="3" t="s">
        <v>41</v>
      </c>
      <c r="K98" s="3" t="s">
        <v>42</v>
      </c>
      <c r="L98" s="3" t="s">
        <v>41</v>
      </c>
    </row>
    <row r="99" spans="1:12" ht="80.45">
      <c r="A99" s="3" t="s">
        <v>6076</v>
      </c>
      <c r="B99" s="3" t="s">
        <v>6077</v>
      </c>
      <c r="C99" s="3" t="s">
        <v>95</v>
      </c>
      <c r="D99" s="3" t="s">
        <v>95</v>
      </c>
      <c r="E99" s="3" t="s">
        <v>5781</v>
      </c>
      <c r="F99" s="3" t="s">
        <v>5781</v>
      </c>
      <c r="G99" s="3" t="s">
        <v>6078</v>
      </c>
      <c r="H99" s="3" t="str">
        <f>HYPERLINK("http://www.jccm.es/sede/tramite/LFL","SOLICITUD PARA EL PROCESO SELECCION GESTOR/A PROYECTOS PARA DEPARTAMENTO CAPTACION INVERSIONES IPEX")</f>
        <v>SOLICITUD PARA EL PROCESO SELECCION GESTOR/A PROYECTOS PARA DEPARTAMENTO CAPTACION INVERSIONES IPEX</v>
      </c>
      <c r="I99" s="3" t="s">
        <v>41</v>
      </c>
      <c r="J99" s="3" t="s">
        <v>41</v>
      </c>
      <c r="K99" s="3" t="s">
        <v>42</v>
      </c>
      <c r="L99" s="3" t="s">
        <v>41</v>
      </c>
    </row>
    <row r="100" spans="1:12">
      <c r="A100" s="12"/>
      <c r="B100" s="12"/>
      <c r="C100" s="12"/>
      <c r="D100" s="12"/>
      <c r="E100" s="12"/>
      <c r="F100" s="12"/>
      <c r="G100" s="12"/>
      <c r="H100" s="12"/>
      <c r="I100" s="12"/>
      <c r="J100" s="12"/>
      <c r="K100" s="12"/>
      <c r="L100" s="12"/>
    </row>
  </sheetData>
  <printOptions horizontalCentered="1"/>
  <pageMargins left="0.23622047244094491" right="0.39370078740157483" top="0.51181102362204722" bottom="0.43307086614173229" header="0.23622047244094491" footer="0"/>
  <pageSetup paperSize="9" scale="75" orientation="landscape" r:id="rId1"/>
  <headerFooter alignWithMargins="0">
    <oddHeader>&amp;C&amp;9Instituto de Promoción Exterior de Castilla-La Mancha (IPEX)</oddHeader>
    <oddFooter>&amp;CPágina &amp;P</oddFooter>
  </headerFooter>
  <legacyDrawing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L104"/>
  <sheetViews>
    <sheetView topLeftCell="B1" zoomScaleNormal="100" workbookViewId="0">
      <selection activeCell="C1" sqref="C1"/>
    </sheetView>
  </sheetViews>
  <sheetFormatPr defaultColWidth="11.42578125" defaultRowHeight="11.45"/>
  <cols>
    <col min="1" max="1" width="15.5703125" style="1" customWidth="1"/>
    <col min="2" max="2" width="27.42578125" style="1" customWidth="1"/>
    <col min="3" max="3" width="18.28515625" style="1" customWidth="1"/>
    <col min="4" max="4" width="14.85546875" style="1" customWidth="1"/>
    <col min="5" max="5" width="19.42578125" style="1" customWidth="1"/>
    <col min="6" max="6" width="18.140625" style="1" customWidth="1"/>
    <col min="7" max="7" width="11.140625" style="1" bestFit="1" customWidth="1"/>
    <col min="8" max="8" width="29" style="1" customWidth="1"/>
    <col min="9" max="9" width="11.28515625" style="1" bestFit="1" customWidth="1"/>
    <col min="10" max="10" width="4" style="1" bestFit="1" customWidth="1"/>
    <col min="11" max="11" width="7" style="1" bestFit="1" customWidth="1"/>
    <col min="12" max="12" width="5.5703125" style="1" bestFit="1" customWidth="1"/>
    <col min="13" max="16384" width="11.42578125" style="1"/>
  </cols>
  <sheetData>
    <row r="1" spans="1:12" ht="23.1">
      <c r="A1" s="2" t="s">
        <v>25</v>
      </c>
      <c r="B1" s="2" t="s">
        <v>26</v>
      </c>
      <c r="C1" s="2" t="s">
        <v>27</v>
      </c>
      <c r="D1" s="2" t="s">
        <v>2</v>
      </c>
      <c r="E1" s="2" t="s">
        <v>6694</v>
      </c>
      <c r="F1" s="2" t="s">
        <v>3</v>
      </c>
      <c r="G1" s="2" t="s">
        <v>28</v>
      </c>
      <c r="H1" s="2" t="s">
        <v>29</v>
      </c>
      <c r="I1" s="2" t="s">
        <v>30</v>
      </c>
      <c r="J1" s="4" t="s">
        <v>31</v>
      </c>
      <c r="K1" s="2" t="s">
        <v>32</v>
      </c>
      <c r="L1" s="2" t="s">
        <v>33</v>
      </c>
    </row>
    <row r="2" spans="1:12" ht="114" customHeight="1">
      <c r="A2" s="3" t="s">
        <v>6079</v>
      </c>
      <c r="B2" s="3" t="s">
        <v>6080</v>
      </c>
      <c r="C2" s="3" t="s">
        <v>62</v>
      </c>
      <c r="D2" s="3" t="s">
        <v>46</v>
      </c>
      <c r="E2" s="3" t="s">
        <v>6081</v>
      </c>
      <c r="F2" s="3" t="s">
        <v>6082</v>
      </c>
      <c r="G2" s="3" t="s">
        <v>6083</v>
      </c>
      <c r="H2" s="3" t="str">
        <f>HYPERLINK("http://www.jccm.es/sede/tramite/KLN","EJERCICIO DE LOS DERECHOS DE ACCESO, RECTIFICACION, OPOSICION, LIMITACION, PORTABILIDAD, SUPRESION Y DECISIONES AUTOMATIZADAS A LOS TRATAMIENTOS DEL SESCAM (EXCLUIDOS LOS DATOS SANITARIOS)")</f>
        <v>EJERCICIO DE LOS DERECHOS DE ACCESO, RECTIFICACION, OPOSICION, LIMITACION, PORTABILIDAD, SUPRESION Y DECISIONES AUTOMATIZADAS A LOS TRATAMIENTOS DEL SESCAM (EXCLUIDOS LOS DATOS SANITARIOS)</v>
      </c>
      <c r="I2" s="3" t="s">
        <v>42</v>
      </c>
      <c r="J2" s="3" t="s">
        <v>41</v>
      </c>
      <c r="K2" s="3" t="s">
        <v>42</v>
      </c>
      <c r="L2" s="3" t="s">
        <v>41</v>
      </c>
    </row>
    <row r="3" spans="1:12" ht="114" customHeight="1">
      <c r="A3" s="3" t="s">
        <v>6084</v>
      </c>
      <c r="B3" s="3" t="s">
        <v>6085</v>
      </c>
      <c r="C3" s="3" t="s">
        <v>45</v>
      </c>
      <c r="D3" s="3" t="s">
        <v>37</v>
      </c>
      <c r="E3" s="3" t="s">
        <v>6081</v>
      </c>
      <c r="F3" s="3" t="s">
        <v>6082</v>
      </c>
      <c r="G3" s="3" t="s">
        <v>6086</v>
      </c>
      <c r="H3" s="3" t="str">
        <f>HYPERLINK("http://www.jccm.es/sede/tramite/ISW","AYUDAS POR DESPLAZAMIENTOS Y MANUTENCION")</f>
        <v>AYUDAS POR DESPLAZAMIENTOS Y MANUTENCION</v>
      </c>
      <c r="I3" s="3" t="s">
        <v>42</v>
      </c>
      <c r="J3" s="3" t="s">
        <v>41</v>
      </c>
      <c r="K3" s="3" t="s">
        <v>42</v>
      </c>
      <c r="L3" s="3" t="s">
        <v>41</v>
      </c>
    </row>
    <row r="4" spans="1:12" ht="114" customHeight="1">
      <c r="A4" s="3" t="s">
        <v>6087</v>
      </c>
      <c r="B4" s="3" t="s">
        <v>6088</v>
      </c>
      <c r="C4" s="3" t="s">
        <v>6089</v>
      </c>
      <c r="D4" s="3" t="s">
        <v>46</v>
      </c>
      <c r="E4" s="3" t="s">
        <v>6081</v>
      </c>
      <c r="F4" s="3" t="s">
        <v>6090</v>
      </c>
      <c r="G4" s="3" t="s">
        <v>6091</v>
      </c>
      <c r="H4" s="3" t="str">
        <f>HYPERLINK("http://www.jccm.es/sede/tramite/JOJ","CURSOS FORMACION CONTINUADA")</f>
        <v>CURSOS FORMACION CONTINUADA</v>
      </c>
      <c r="I4" s="3" t="s">
        <v>41</v>
      </c>
      <c r="J4" s="3" t="s">
        <v>41</v>
      </c>
      <c r="K4" s="3" t="s">
        <v>42</v>
      </c>
      <c r="L4" s="3" t="s">
        <v>41</v>
      </c>
    </row>
    <row r="5" spans="1:12" ht="114" customHeight="1">
      <c r="A5" s="3" t="s">
        <v>6092</v>
      </c>
      <c r="B5" s="3" t="s">
        <v>6093</v>
      </c>
      <c r="C5" s="3" t="s">
        <v>95</v>
      </c>
      <c r="D5" s="3" t="s">
        <v>95</v>
      </c>
      <c r="E5" s="3" t="s">
        <v>6081</v>
      </c>
      <c r="F5" s="3" t="s">
        <v>6094</v>
      </c>
      <c r="G5" s="3" t="s">
        <v>6095</v>
      </c>
      <c r="H5" s="3" t="str">
        <f>HYPERLINK("http://www.jccm.es/sede/tramite/JTD","CORRECCION DE DATOS RELATIVOS A LA APORTACION FARMACEUTICA.")</f>
        <v>CORRECCION DE DATOS RELATIVOS A LA APORTACION FARMACEUTICA.</v>
      </c>
      <c r="I5" s="3" t="s">
        <v>42</v>
      </c>
      <c r="J5" s="3" t="s">
        <v>41</v>
      </c>
      <c r="K5" s="3" t="s">
        <v>42</v>
      </c>
      <c r="L5" s="3" t="s">
        <v>41</v>
      </c>
    </row>
    <row r="6" spans="1:12" ht="114" customHeight="1">
      <c r="A6" s="3" t="s">
        <v>6096</v>
      </c>
      <c r="B6" s="3" t="s">
        <v>6097</v>
      </c>
      <c r="C6" s="3" t="s">
        <v>45</v>
      </c>
      <c r="D6" s="3" t="s">
        <v>46</v>
      </c>
      <c r="E6" s="3" t="s">
        <v>6081</v>
      </c>
      <c r="F6" s="3" t="s">
        <v>6081</v>
      </c>
      <c r="G6" s="3" t="s">
        <v>6098</v>
      </c>
      <c r="H6" s="3" t="str">
        <f>HYPERLINK("http://www.jccm.es/sede/tramite/K91","EMISION DE INFORMES Y CERTIFICADOS DEL SERVICIO DE SALUD DE CASTILLA-LA MANCHA")</f>
        <v>EMISION DE INFORMES Y CERTIFICADOS DEL SERVICIO DE SALUD DE CASTILLA-LA MANCHA</v>
      </c>
      <c r="I6" s="3" t="s">
        <v>42</v>
      </c>
      <c r="J6" s="3" t="s">
        <v>41</v>
      </c>
      <c r="K6" s="3" t="s">
        <v>42</v>
      </c>
      <c r="L6" s="3" t="s">
        <v>41</v>
      </c>
    </row>
    <row r="7" spans="1:12" ht="114" customHeight="1">
      <c r="A7" s="3" t="s">
        <v>6099</v>
      </c>
      <c r="B7" s="3" t="s">
        <v>6100</v>
      </c>
      <c r="C7" s="3" t="s">
        <v>45</v>
      </c>
      <c r="D7" s="3" t="s">
        <v>37</v>
      </c>
      <c r="E7" s="3" t="s">
        <v>6081</v>
      </c>
      <c r="F7" s="3" t="s">
        <v>6082</v>
      </c>
      <c r="G7" s="3" t="s">
        <v>6101</v>
      </c>
      <c r="H7" s="3" t="str">
        <f>HYPERLINK("http://www.jccm.es/sede/tramite/KPJ","ACREDITACION COMO TUTOR DE FORMACION SANITARIA ESPECIALIZADA EN CASTILLA-LA MANCHA")</f>
        <v>ACREDITACION COMO TUTOR DE FORMACION SANITARIA ESPECIALIZADA EN CASTILLA-LA MANCHA</v>
      </c>
      <c r="I7" s="3" t="s">
        <v>41</v>
      </c>
      <c r="J7" s="3" t="s">
        <v>41</v>
      </c>
      <c r="K7" s="3" t="s">
        <v>42</v>
      </c>
      <c r="L7" s="3" t="s">
        <v>41</v>
      </c>
    </row>
    <row r="8" spans="1:12" ht="114" customHeight="1">
      <c r="A8" s="3" t="s">
        <v>6102</v>
      </c>
      <c r="B8" s="3" t="s">
        <v>6103</v>
      </c>
      <c r="C8" s="3" t="s">
        <v>95</v>
      </c>
      <c r="D8" s="3" t="s">
        <v>95</v>
      </c>
      <c r="E8" s="3" t="s">
        <v>6081</v>
      </c>
      <c r="F8" s="3" t="s">
        <v>6081</v>
      </c>
      <c r="G8" s="3" t="s">
        <v>6104</v>
      </c>
      <c r="H8" s="3" t="str">
        <f>HYPERLINK("http://www.jccm.es/sede/tramite/KU7","INFORME DE USO DE UN DESFIBRILADOR EXTERNO AUTOMATIZADO (DEA) FUERA DEL AMBITO SANITARIO")</f>
        <v>INFORME DE USO DE UN DESFIBRILADOR EXTERNO AUTOMATIZADO (DEA) FUERA DEL AMBITO SANITARIO</v>
      </c>
      <c r="I8" s="3" t="s">
        <v>42</v>
      </c>
      <c r="J8" s="3" t="s">
        <v>41</v>
      </c>
      <c r="K8" s="3" t="s">
        <v>42</v>
      </c>
      <c r="L8" s="3" t="s">
        <v>41</v>
      </c>
    </row>
    <row r="9" spans="1:12" ht="114" customHeight="1">
      <c r="A9" s="3" t="s">
        <v>6105</v>
      </c>
      <c r="B9" s="3" t="s">
        <v>6106</v>
      </c>
      <c r="C9" s="3" t="s">
        <v>6107</v>
      </c>
      <c r="D9" s="3" t="s">
        <v>46</v>
      </c>
      <c r="E9" s="3" t="s">
        <v>6081</v>
      </c>
      <c r="F9" s="3" t="s">
        <v>6108</v>
      </c>
      <c r="G9" s="3" t="s">
        <v>6109</v>
      </c>
      <c r="H9" s="3" t="str">
        <f>HYPERLINK("http://www.jccm.es/sede/tramite/JGR","SUGERENCIAS,AGRADECIMIENTOS E INICIATIVAS RELATIVAS AL SESCAM")</f>
        <v>SUGERENCIAS,AGRADECIMIENTOS E INICIATIVAS RELATIVAS AL SESCAM</v>
      </c>
      <c r="I9" s="3" t="s">
        <v>42</v>
      </c>
      <c r="J9" s="3" t="s">
        <v>41</v>
      </c>
      <c r="K9" s="3" t="s">
        <v>42</v>
      </c>
      <c r="L9" s="3" t="s">
        <v>41</v>
      </c>
    </row>
    <row r="10" spans="1:12" ht="114" customHeight="1">
      <c r="A10" s="3" t="s">
        <v>6110</v>
      </c>
      <c r="B10" s="3" t="s">
        <v>6111</v>
      </c>
      <c r="C10" s="3" t="s">
        <v>6107</v>
      </c>
      <c r="D10" s="3" t="s">
        <v>46</v>
      </c>
      <c r="E10" s="3" t="s">
        <v>6081</v>
      </c>
      <c r="F10" s="3" t="s">
        <v>6108</v>
      </c>
      <c r="G10" s="3" t="s">
        <v>6112</v>
      </c>
      <c r="H10" s="3" t="str">
        <f>HYPERLINK("http://www.jccm.es/sede/tramite/JGS","RECLAMACIONES Y QUEJAS RELATIVAS AL SESCAM")</f>
        <v>RECLAMACIONES Y QUEJAS RELATIVAS AL SESCAM</v>
      </c>
      <c r="I10" s="3" t="s">
        <v>42</v>
      </c>
      <c r="J10" s="3" t="s">
        <v>42</v>
      </c>
      <c r="K10" s="3" t="s">
        <v>42</v>
      </c>
      <c r="L10" s="3" t="s">
        <v>41</v>
      </c>
    </row>
    <row r="11" spans="1:12" ht="114" customHeight="1">
      <c r="A11" s="3" t="s">
        <v>6113</v>
      </c>
      <c r="B11" s="3" t="s">
        <v>6114</v>
      </c>
      <c r="C11" s="3" t="s">
        <v>45</v>
      </c>
      <c r="D11" s="3" t="s">
        <v>46</v>
      </c>
      <c r="E11" s="3" t="s">
        <v>6081</v>
      </c>
      <c r="F11" s="3" t="s">
        <v>6090</v>
      </c>
      <c r="G11" s="3" t="s">
        <v>6115</v>
      </c>
      <c r="H11" s="3" t="str">
        <f>HYPERLINK("http://www.jccm.es/sede/tramite/KL6","SELECCION TEMPORAL DE PERSONAL LICENCIADO SANITARIO SIN LISTADOS DEFINITIVOS DE BOLSA DE TRABAJO")</f>
        <v>SELECCION TEMPORAL DE PERSONAL LICENCIADO SANITARIO SIN LISTADOS DEFINITIVOS DE BOLSA DE TRABAJO</v>
      </c>
      <c r="I11" s="3" t="s">
        <v>42</v>
      </c>
      <c r="J11" s="3" t="s">
        <v>41</v>
      </c>
      <c r="K11" s="3" t="s">
        <v>42</v>
      </c>
      <c r="L11" s="3" t="s">
        <v>41</v>
      </c>
    </row>
    <row r="12" spans="1:12" ht="114" customHeight="1">
      <c r="A12" s="3" t="s">
        <v>6116</v>
      </c>
      <c r="B12" s="3" t="s">
        <v>6117</v>
      </c>
      <c r="C12" s="3" t="s">
        <v>45</v>
      </c>
      <c r="D12" s="3" t="s">
        <v>46</v>
      </c>
      <c r="E12" s="3" t="s">
        <v>6081</v>
      </c>
      <c r="F12" s="3" t="s">
        <v>6090</v>
      </c>
      <c r="G12" s="3" t="s">
        <v>6118</v>
      </c>
      <c r="H12" s="3" t="str">
        <f>HYPERLINK("http://www.jccm.es/sede/tramite/L6J","OFERTA Y ADJUDICACION DE DESTINOS DERIVADOS DE LOS PROCESOS SELECTIVOS DE PERSONAL ESTATUTARIO DEL SERVICIO DE SALUD DE CASTILLA-LA MANCHA.")</f>
        <v>OFERTA Y ADJUDICACION DE DESTINOS DERIVADOS DE LOS PROCESOS SELECTIVOS DE PERSONAL ESTATUTARIO DEL SERVICIO DE SALUD DE CASTILLA-LA MANCHA.</v>
      </c>
      <c r="I12" s="3" t="s">
        <v>42</v>
      </c>
      <c r="J12" s="3" t="s">
        <v>41</v>
      </c>
      <c r="K12" s="3" t="s">
        <v>42</v>
      </c>
      <c r="L12" s="3" t="s">
        <v>41</v>
      </c>
    </row>
    <row r="13" spans="1:12" ht="114" customHeight="1">
      <c r="A13" s="3" t="s">
        <v>6119</v>
      </c>
      <c r="B13" s="3" t="s">
        <v>6120</v>
      </c>
      <c r="C13" s="3" t="s">
        <v>232</v>
      </c>
      <c r="D13" s="3" t="s">
        <v>46</v>
      </c>
      <c r="E13" s="3" t="s">
        <v>6081</v>
      </c>
      <c r="F13" s="3" t="s">
        <v>6081</v>
      </c>
      <c r="G13" s="3" t="s">
        <v>6121</v>
      </c>
      <c r="H13" s="3" t="str">
        <f>HYPERLINK("http://www.jccm.es/sede/tramite/LKA","SOLICITUD DE BAJA DE CATEGORIA DE BOLSA DE SELECCION DE PERSONAL TEMPORAL DEL SESCAM.")</f>
        <v>SOLICITUD DE BAJA DE CATEGORIA DE BOLSA DE SELECCION DE PERSONAL TEMPORAL DEL SESCAM.</v>
      </c>
      <c r="I13" s="3" t="s">
        <v>42</v>
      </c>
      <c r="J13" s="3" t="s">
        <v>41</v>
      </c>
      <c r="K13" s="3" t="s">
        <v>42</v>
      </c>
      <c r="L13" s="3" t="s">
        <v>41</v>
      </c>
    </row>
    <row r="14" spans="1:12" ht="114" customHeight="1">
      <c r="A14" s="3" t="s">
        <v>6122</v>
      </c>
      <c r="B14" s="3" t="s">
        <v>6123</v>
      </c>
      <c r="C14" s="3" t="s">
        <v>45</v>
      </c>
      <c r="D14" s="3" t="s">
        <v>46</v>
      </c>
      <c r="E14" s="3" t="s">
        <v>6081</v>
      </c>
      <c r="F14" s="3" t="s">
        <v>6081</v>
      </c>
      <c r="G14" s="3" t="s">
        <v>6124</v>
      </c>
      <c r="H14" s="3" t="str">
        <f>HYPERLINK("http://www.jccm.es/sede/tramite/LYW","CONVOCATORIA PARA LA SELECCION DE PERSONAL TEMPORAL DE 3 PLAZAS DE MEDICO/A PEAC (PERSONAL ESTATUTARIO DE ATENCION CONTINUADA)  EN LA GERENCIA DE ATENCION INTEGRADA DE VALDEPEÑAS.")</f>
        <v>CONVOCATORIA PARA LA SELECCION DE PERSONAL TEMPORAL DE 3 PLAZAS DE MEDICO/A PEAC (PERSONAL ESTATUTARIO DE ATENCION CONTINUADA)  EN LA GERENCIA DE ATENCION INTEGRADA DE VALDEPEÑAS.</v>
      </c>
      <c r="I14" s="3" t="s">
        <v>42</v>
      </c>
      <c r="J14" s="3" t="s">
        <v>41</v>
      </c>
      <c r="K14" s="3" t="s">
        <v>42</v>
      </c>
      <c r="L14" s="3" t="s">
        <v>41</v>
      </c>
    </row>
    <row r="15" spans="1:12" ht="114" customHeight="1">
      <c r="A15" s="3" t="s">
        <v>6125</v>
      </c>
      <c r="B15" s="3" t="s">
        <v>6126</v>
      </c>
      <c r="C15" s="3" t="s">
        <v>45</v>
      </c>
      <c r="D15" s="3" t="s">
        <v>46</v>
      </c>
      <c r="E15" s="3" t="s">
        <v>6081</v>
      </c>
      <c r="F15" s="3" t="s">
        <v>6127</v>
      </c>
      <c r="G15" s="3" t="s">
        <v>6128</v>
      </c>
      <c r="H15" s="3" t="str">
        <f>HYPERLINK("http://www.jccm.es/sede/tramite/LZ6","PROVISION MEDIANTE NOMBRAMIENTO ESTATUTARIO TEMPORAL DE INTERINIDAD, DE UNA PLAZA DE FACULTATIVO ESPECIALISTA DE AREA HEMATOLOGIA - HEMOTERAPIA, GAI TALAVERA REINA. SESCAM.")</f>
        <v>PROVISION MEDIANTE NOMBRAMIENTO ESTATUTARIO TEMPORAL DE INTERINIDAD, DE UNA PLAZA DE FACULTATIVO ESPECIALISTA DE AREA HEMATOLOGIA - HEMOTERAPIA, GAI TALAVERA REINA. SESCAM.</v>
      </c>
      <c r="I15" s="3" t="s">
        <v>42</v>
      </c>
      <c r="J15" s="3" t="s">
        <v>41</v>
      </c>
      <c r="K15" s="3" t="s">
        <v>42</v>
      </c>
      <c r="L15" s="3" t="s">
        <v>41</v>
      </c>
    </row>
    <row r="16" spans="1:12" ht="114" customHeight="1">
      <c r="A16" s="3" t="s">
        <v>6129</v>
      </c>
      <c r="B16" s="3" t="s">
        <v>6130</v>
      </c>
      <c r="C16" s="3" t="s">
        <v>6131</v>
      </c>
      <c r="D16" s="3" t="s">
        <v>46</v>
      </c>
      <c r="E16" s="3" t="s">
        <v>6081</v>
      </c>
      <c r="F16" s="3" t="s">
        <v>6127</v>
      </c>
      <c r="G16" s="3" t="s">
        <v>6132</v>
      </c>
      <c r="H16" s="3" t="str">
        <f>HYPERLINK("http://www.jccm.es/sede/tramite/LZ8","PROVISION MEDIANTE NOMBRAMIENTO ESTATUTARIO TEMPORAL DE INTERINIDAD, DE UNA PLAZA DE FACULTATIVO ESPECIALISTA DE AREA DE ANALISIS CLINICOS,  GAI TALAVERA REINA. SESCAM.")</f>
        <v>PROVISION MEDIANTE NOMBRAMIENTO ESTATUTARIO TEMPORAL DE INTERINIDAD, DE UNA PLAZA DE FACULTATIVO ESPECIALISTA DE AREA DE ANALISIS CLINICOS,  GAI TALAVERA REINA. SESCAM.</v>
      </c>
      <c r="I16" s="3" t="s">
        <v>42</v>
      </c>
      <c r="J16" s="3" t="s">
        <v>41</v>
      </c>
      <c r="K16" s="3" t="s">
        <v>42</v>
      </c>
      <c r="L16" s="3" t="s">
        <v>41</v>
      </c>
    </row>
    <row r="17" spans="1:12" ht="114" customHeight="1">
      <c r="A17" s="3" t="s">
        <v>6133</v>
      </c>
      <c r="B17" s="3" t="s">
        <v>6134</v>
      </c>
      <c r="C17" s="3" t="s">
        <v>95</v>
      </c>
      <c r="D17" s="3" t="s">
        <v>46</v>
      </c>
      <c r="E17" s="3" t="s">
        <v>6081</v>
      </c>
      <c r="F17" s="3" t="s">
        <v>6090</v>
      </c>
      <c r="G17" s="3" t="s">
        <v>6135</v>
      </c>
      <c r="H17" s="3" t="str">
        <f>HYPERLINK("http://www.jccm.es/sede/tramite/JC2","PROCESOS DE SELECCION DEL PERSONAL ESTATUTARIO FIJO DE LAS INSTITUCIONES SANITARIAS DEL SERVICIO DE SALUD DE CASTILLA-LA MANCHA.")</f>
        <v>PROCESOS DE SELECCION DEL PERSONAL ESTATUTARIO FIJO DE LAS INSTITUCIONES SANITARIAS DEL SERVICIO DE SALUD DE CASTILLA-LA MANCHA.</v>
      </c>
      <c r="I17" s="3" t="s">
        <v>42</v>
      </c>
      <c r="J17" s="3" t="s">
        <v>41</v>
      </c>
      <c r="K17" s="3" t="s">
        <v>42</v>
      </c>
      <c r="L17" s="3" t="s">
        <v>41</v>
      </c>
    </row>
    <row r="18" spans="1:12" ht="114" customHeight="1">
      <c r="A18" s="3" t="s">
        <v>6136</v>
      </c>
      <c r="B18" s="3" t="s">
        <v>6137</v>
      </c>
      <c r="C18" s="3" t="s">
        <v>95</v>
      </c>
      <c r="D18" s="3" t="s">
        <v>46</v>
      </c>
      <c r="E18" s="3" t="s">
        <v>6081</v>
      </c>
      <c r="F18" s="3" t="s">
        <v>6090</v>
      </c>
      <c r="G18" s="3" t="s">
        <v>6138</v>
      </c>
      <c r="H18" s="3" t="str">
        <f>HYPERLINK("http://www.jccm.es/sede/tramite/KWA","SUBSANACION DE SOLICITUDES PRESENTADAS PARA PARTICIPAR EN LOS PROCESOS SELECTIVOS DE PERSONAL ESTATUTARIO FIJO DEL SESCAM")</f>
        <v>SUBSANACION DE SOLICITUDES PRESENTADAS PARA PARTICIPAR EN LOS PROCESOS SELECTIVOS DE PERSONAL ESTATUTARIO FIJO DEL SESCAM</v>
      </c>
      <c r="I18" s="3" t="s">
        <v>42</v>
      </c>
      <c r="J18" s="3" t="s">
        <v>41</v>
      </c>
      <c r="K18" s="3" t="s">
        <v>42</v>
      </c>
      <c r="L18" s="3" t="s">
        <v>41</v>
      </c>
    </row>
    <row r="19" spans="1:12" ht="114" customHeight="1">
      <c r="A19" s="3" t="s">
        <v>6139</v>
      </c>
      <c r="B19" s="3" t="s">
        <v>6140</v>
      </c>
      <c r="C19" s="3" t="s">
        <v>45</v>
      </c>
      <c r="D19" s="3" t="s">
        <v>46</v>
      </c>
      <c r="E19" s="3" t="s">
        <v>6081</v>
      </c>
      <c r="F19" s="3" t="s">
        <v>6090</v>
      </c>
      <c r="G19" s="3" t="s">
        <v>6141</v>
      </c>
      <c r="H19" s="3" t="str">
        <f>HYPERLINK("http://www.jccm.es/sede/tramite/KR1","SOLICITUD DE EXCLUSION TEMPORAL VOLUNTARIA")</f>
        <v>SOLICITUD DE EXCLUSION TEMPORAL VOLUNTARIA</v>
      </c>
      <c r="I19" s="3" t="s">
        <v>42</v>
      </c>
      <c r="J19" s="3" t="s">
        <v>41</v>
      </c>
      <c r="K19" s="3" t="s">
        <v>42</v>
      </c>
      <c r="L19" s="3" t="s">
        <v>41</v>
      </c>
    </row>
    <row r="20" spans="1:12" ht="114" customHeight="1">
      <c r="A20" s="3" t="s">
        <v>6142</v>
      </c>
      <c r="B20" s="3" t="s">
        <v>6143</v>
      </c>
      <c r="C20" s="3" t="s">
        <v>45</v>
      </c>
      <c r="D20" s="3" t="s">
        <v>46</v>
      </c>
      <c r="E20" s="3" t="s">
        <v>6081</v>
      </c>
      <c r="F20" s="3" t="s">
        <v>6090</v>
      </c>
      <c r="G20" s="3" t="s">
        <v>6144</v>
      </c>
      <c r="H20" s="3" t="str">
        <f>HYPERLINK("http://www.jccm.es/sede/tramite/KR3","SOLICITUD DE REINGRESO TRAS EXCLUSION TEMPORAL EN BOLSA DE TRABAJO")</f>
        <v>SOLICITUD DE REINGRESO TRAS EXCLUSION TEMPORAL EN BOLSA DE TRABAJO</v>
      </c>
      <c r="I20" s="3" t="s">
        <v>42</v>
      </c>
      <c r="J20" s="3" t="s">
        <v>41</v>
      </c>
      <c r="K20" s="3" t="s">
        <v>42</v>
      </c>
      <c r="L20" s="3" t="s">
        <v>41</v>
      </c>
    </row>
    <row r="21" spans="1:12" ht="114" customHeight="1">
      <c r="A21" s="3" t="s">
        <v>6145</v>
      </c>
      <c r="B21" s="3" t="s">
        <v>6146</v>
      </c>
      <c r="C21" s="3" t="s">
        <v>45</v>
      </c>
      <c r="D21" s="3" t="s">
        <v>46</v>
      </c>
      <c r="E21" s="3" t="s">
        <v>6081</v>
      </c>
      <c r="F21" s="3" t="s">
        <v>6090</v>
      </c>
      <c r="G21" s="3" t="s">
        <v>6147</v>
      </c>
      <c r="H21" s="3" t="str">
        <f>HYPERLINK("http://www.jccm.es/sede/tramite/KR2","SOLICITUD DE SUSPENSION TEMPORAL")</f>
        <v>SOLICITUD DE SUSPENSION TEMPORAL</v>
      </c>
      <c r="I21" s="3" t="s">
        <v>41</v>
      </c>
      <c r="J21" s="3" t="s">
        <v>41</v>
      </c>
      <c r="K21" s="3" t="s">
        <v>42</v>
      </c>
      <c r="L21" s="3" t="s">
        <v>41</v>
      </c>
    </row>
    <row r="22" spans="1:12" ht="114" customHeight="1">
      <c r="A22" s="3" t="s">
        <v>6148</v>
      </c>
      <c r="B22" s="3" t="s">
        <v>6149</v>
      </c>
      <c r="C22" s="3" t="s">
        <v>45</v>
      </c>
      <c r="D22" s="3" t="s">
        <v>46</v>
      </c>
      <c r="E22" s="3" t="s">
        <v>6081</v>
      </c>
      <c r="F22" s="3" t="s">
        <v>6090</v>
      </c>
      <c r="G22" s="3" t="s">
        <v>6150</v>
      </c>
      <c r="H22" s="3" t="str">
        <f>HYPERLINK("http://www.jccm.es/sede/tramite/KR4","SOLICITUD DE REINGRESO TRAS SUSPENSION TEMPORAL / NO DISPONIBILIDAD")</f>
        <v>SOLICITUD DE REINGRESO TRAS SUSPENSION TEMPORAL / NO DISPONIBILIDAD</v>
      </c>
      <c r="I22" s="3" t="s">
        <v>42</v>
      </c>
      <c r="J22" s="3" t="s">
        <v>41</v>
      </c>
      <c r="K22" s="3" t="s">
        <v>42</v>
      </c>
      <c r="L22" s="3" t="s">
        <v>41</v>
      </c>
    </row>
    <row r="23" spans="1:12" ht="114" customHeight="1">
      <c r="A23" s="3" t="s">
        <v>6151</v>
      </c>
      <c r="B23" s="3" t="s">
        <v>6152</v>
      </c>
      <c r="C23" s="3" t="s">
        <v>45</v>
      </c>
      <c r="D23" s="3" t="s">
        <v>46</v>
      </c>
      <c r="E23" s="3" t="s">
        <v>6081</v>
      </c>
      <c r="F23" s="3" t="s">
        <v>6081</v>
      </c>
      <c r="G23" s="3" t="s">
        <v>6153</v>
      </c>
      <c r="H23" s="3" t="str">
        <f>HYPERLINK("http://www.jccm.es/sede/tramite/KXK","SOLICITUD DE NO DISPONIBILIDAD")</f>
        <v>SOLICITUD DE NO DISPONIBILIDAD</v>
      </c>
      <c r="I23" s="3" t="s">
        <v>41</v>
      </c>
      <c r="J23" s="3" t="s">
        <v>41</v>
      </c>
      <c r="K23" s="3" t="s">
        <v>42</v>
      </c>
      <c r="L23" s="3" t="s">
        <v>41</v>
      </c>
    </row>
    <row r="24" spans="1:12" ht="114" customHeight="1">
      <c r="A24" s="3" t="s">
        <v>6154</v>
      </c>
      <c r="B24" s="3" t="s">
        <v>6155</v>
      </c>
      <c r="C24" s="3" t="s">
        <v>45</v>
      </c>
      <c r="D24" s="3" t="s">
        <v>46</v>
      </c>
      <c r="E24" s="3" t="s">
        <v>6081</v>
      </c>
      <c r="F24" s="3" t="s">
        <v>6090</v>
      </c>
      <c r="G24" s="3" t="s">
        <v>6156</v>
      </c>
      <c r="H24" s="3" t="str">
        <f>HYPERLINK("http://www.jccm.es/sede/tramite/L00","SOLICITUD DE RECLAMACION Y/O SUBSANACION A LOS LISTADOS PROVISIONALES DE LA BOLSA DE TRABAJO DEL SESCAM")</f>
        <v>SOLICITUD DE RECLAMACION Y/O SUBSANACION A LOS LISTADOS PROVISIONALES DE LA BOLSA DE TRABAJO DEL SESCAM</v>
      </c>
      <c r="I24" s="3" t="s">
        <v>41</v>
      </c>
      <c r="J24" s="3" t="s">
        <v>41</v>
      </c>
      <c r="K24" s="3" t="s">
        <v>42</v>
      </c>
      <c r="L24" s="3" t="s">
        <v>41</v>
      </c>
    </row>
    <row r="25" spans="1:12" ht="114" customHeight="1">
      <c r="A25" s="3" t="s">
        <v>6157</v>
      </c>
      <c r="B25" s="3" t="s">
        <v>6158</v>
      </c>
      <c r="C25" s="3" t="s">
        <v>45</v>
      </c>
      <c r="D25" s="3" t="s">
        <v>46</v>
      </c>
      <c r="E25" s="3" t="s">
        <v>6081</v>
      </c>
      <c r="F25" s="3" t="s">
        <v>6090</v>
      </c>
      <c r="G25" s="3" t="s">
        <v>6159</v>
      </c>
      <c r="H25" s="3" t="str">
        <f>HYPERLINK("http://www.jccm.es/sede/tramite/JC1","PROCESOS DE SELECCION DE PERSONAL TEMPORAL DE IISS DEL SESCAM (BOLSAS DE TRABAJO)")</f>
        <v>PROCESOS DE SELECCION DE PERSONAL TEMPORAL DE IISS DEL SESCAM (BOLSAS DE TRABAJO)</v>
      </c>
      <c r="I25" s="3" t="s">
        <v>42</v>
      </c>
      <c r="J25" s="3" t="s">
        <v>41</v>
      </c>
      <c r="K25" s="3" t="s">
        <v>42</v>
      </c>
      <c r="L25" s="3" t="s">
        <v>41</v>
      </c>
    </row>
    <row r="26" spans="1:12" ht="114" customHeight="1">
      <c r="A26" s="3" t="s">
        <v>6160</v>
      </c>
      <c r="B26" s="3" t="s">
        <v>6161</v>
      </c>
      <c r="C26" s="3" t="s">
        <v>45</v>
      </c>
      <c r="D26" s="3" t="s">
        <v>46</v>
      </c>
      <c r="E26" s="3" t="s">
        <v>6081</v>
      </c>
      <c r="F26" s="3" t="s">
        <v>6162</v>
      </c>
      <c r="G26" s="3" t="s">
        <v>6163</v>
      </c>
      <c r="H26" s="3" t="str">
        <f>HYPERLINK("http://www.jccm.es/sede/tramite/LX8","SOLICITUD PROVISION DE JEFATURA DE CARACTER ASISTENCIAL DEL SESCAM. JEFATURA DE SERVICIO DE PEDIATRIA. GAI DE ALCAZAR DE SAN JUAN")</f>
        <v>SOLICITUD PROVISION DE JEFATURA DE CARACTER ASISTENCIAL DEL SESCAM. JEFATURA DE SERVICIO DE PEDIATRIA. GAI DE ALCAZAR DE SAN JUAN</v>
      </c>
      <c r="I26" s="3" t="s">
        <v>42</v>
      </c>
      <c r="J26" s="3" t="s">
        <v>41</v>
      </c>
      <c r="K26" s="3" t="s">
        <v>42</v>
      </c>
      <c r="L26" s="3" t="s">
        <v>41</v>
      </c>
    </row>
    <row r="27" spans="1:12" ht="114" customHeight="1">
      <c r="A27" s="3" t="s">
        <v>6164</v>
      </c>
      <c r="B27" s="3" t="s">
        <v>6165</v>
      </c>
      <c r="C27" s="3" t="s">
        <v>45</v>
      </c>
      <c r="D27" s="3" t="s">
        <v>46</v>
      </c>
      <c r="E27" s="3" t="s">
        <v>6081</v>
      </c>
      <c r="F27" s="3" t="s">
        <v>6166</v>
      </c>
      <c r="G27" s="3" t="s">
        <v>6167</v>
      </c>
      <c r="H27" s="3" t="str">
        <f>HYPERLINK("http://www.jccm.es/sede/tramite/LY8","PROVISION DE JEFATURA DE CARACTER ASISTENCIAL DEL SERVICIO DE SALUD DE CASILLA-LA MANCHA. JEFATURA DE SECCION DE NEUROLOGIA. GERENCIA DE ATENCION INTEGRADA ALBACETE.")</f>
        <v>PROVISION DE JEFATURA DE CARACTER ASISTENCIAL DEL SERVICIO DE SALUD DE CASILLA-LA MANCHA. JEFATURA DE SECCION DE NEUROLOGIA. GERENCIA DE ATENCION INTEGRADA ALBACETE.</v>
      </c>
      <c r="I27" s="3" t="s">
        <v>41</v>
      </c>
      <c r="J27" s="3" t="s">
        <v>41</v>
      </c>
      <c r="K27" s="3" t="s">
        <v>42</v>
      </c>
      <c r="L27" s="3" t="s">
        <v>41</v>
      </c>
    </row>
    <row r="28" spans="1:12" ht="114" customHeight="1">
      <c r="A28" s="3" t="s">
        <v>6168</v>
      </c>
      <c r="B28" s="3" t="s">
        <v>6169</v>
      </c>
      <c r="C28" s="3" t="s">
        <v>374</v>
      </c>
      <c r="D28" s="3" t="s">
        <v>37</v>
      </c>
      <c r="E28" s="3" t="s">
        <v>6081</v>
      </c>
      <c r="F28" s="3" t="s">
        <v>6094</v>
      </c>
      <c r="G28" s="3" t="s">
        <v>6170</v>
      </c>
      <c r="H28" s="3" t="str">
        <f>HYPERLINK("http://www.jccm.es/sede/tramite/IU1","SEGUNDA OPINION MEDICA")</f>
        <v>SEGUNDA OPINION MEDICA</v>
      </c>
      <c r="I28" s="3" t="s">
        <v>42</v>
      </c>
      <c r="J28" s="3" t="s">
        <v>41</v>
      </c>
      <c r="K28" s="3" t="s">
        <v>42</v>
      </c>
      <c r="L28" s="3" t="s">
        <v>41</v>
      </c>
    </row>
    <row r="29" spans="1:12" ht="114" customHeight="1">
      <c r="A29" s="3" t="s">
        <v>6171</v>
      </c>
      <c r="B29" s="3" t="s">
        <v>6172</v>
      </c>
      <c r="C29" s="3" t="s">
        <v>1655</v>
      </c>
      <c r="D29" s="3" t="s">
        <v>95</v>
      </c>
      <c r="E29" s="3" t="s">
        <v>6081</v>
      </c>
      <c r="F29" s="3" t="s">
        <v>6081</v>
      </c>
      <c r="G29" s="3" t="s">
        <v>6173</v>
      </c>
      <c r="H29" s="3" t="str">
        <f>HYPERLINK("http://www.jccm.es/sede/tramite/JBZ","CITA PREVIA CON SU MEDICO DE CABECERA, PEDIATRA O ENFERMERO")</f>
        <v>CITA PREVIA CON SU MEDICO DE CABECERA, PEDIATRA O ENFERMERO</v>
      </c>
      <c r="I29" s="3" t="s">
        <v>41</v>
      </c>
      <c r="J29" s="3" t="s">
        <v>41</v>
      </c>
      <c r="K29" s="3" t="s">
        <v>41</v>
      </c>
      <c r="L29" s="3" t="s">
        <v>41</v>
      </c>
    </row>
    <row r="30" spans="1:12" ht="114" customHeight="1">
      <c r="A30" s="3" t="s">
        <v>6174</v>
      </c>
      <c r="B30" s="3" t="s">
        <v>6175</v>
      </c>
      <c r="C30" s="3" t="s">
        <v>51</v>
      </c>
      <c r="D30" s="3" t="s">
        <v>37</v>
      </c>
      <c r="E30" s="3" t="s">
        <v>6081</v>
      </c>
      <c r="F30" s="3" t="s">
        <v>6081</v>
      </c>
      <c r="G30" s="3" t="s">
        <v>6176</v>
      </c>
      <c r="H30" s="3" t="str">
        <f>HYPERLINK("http://www.jccm.es/sede/tramite/JI1","TARJETA SANITARIA INDIVIDUAL")</f>
        <v>TARJETA SANITARIA INDIVIDUAL</v>
      </c>
      <c r="I30" s="3" t="s">
        <v>41</v>
      </c>
      <c r="J30" s="3" t="s">
        <v>41</v>
      </c>
      <c r="K30" s="3" t="s">
        <v>41</v>
      </c>
      <c r="L30" s="3" t="s">
        <v>41</v>
      </c>
    </row>
    <row r="31" spans="1:12" ht="114" customHeight="1">
      <c r="A31" s="3" t="s">
        <v>6177</v>
      </c>
      <c r="B31" s="3" t="s">
        <v>6178</v>
      </c>
      <c r="C31" s="3" t="s">
        <v>3632</v>
      </c>
      <c r="D31" s="3" t="s">
        <v>37</v>
      </c>
      <c r="E31" s="3" t="s">
        <v>6081</v>
      </c>
      <c r="F31" s="3" t="s">
        <v>6179</v>
      </c>
      <c r="G31" s="3" t="s">
        <v>6180</v>
      </c>
      <c r="H31" s="3" t="str">
        <f>HYPERLINK("http://www.jccm.es/sede/tramite/K34","CONVENIO ESPECIAL ASISTENCIA SANIT. A PERSONAS QUE NO TENGAN LA CONDICION DE ASEGURADAS NI BENEFICIARIAS A EFECTOS DE LA ASISTENCIA SANIT. A TRAVES DEL SISTEMA NACIONAL DE SALUD.")</f>
        <v>CONVENIO ESPECIAL ASISTENCIA SANIT. A PERSONAS QUE NO TENGAN LA CONDICION DE ASEGURADAS NI BENEFICIARIAS A EFECTOS DE LA ASISTENCIA SANIT. A TRAVES DEL SISTEMA NACIONAL DE SALUD.</v>
      </c>
      <c r="I31" s="3" t="s">
        <v>42</v>
      </c>
      <c r="J31" s="3" t="s">
        <v>41</v>
      </c>
      <c r="K31" s="3" t="s">
        <v>42</v>
      </c>
      <c r="L31" s="3" t="s">
        <v>41</v>
      </c>
    </row>
    <row r="32" spans="1:12" ht="114" customHeight="1">
      <c r="A32" s="3" t="s">
        <v>6181</v>
      </c>
      <c r="B32" s="3" t="s">
        <v>6182</v>
      </c>
      <c r="C32" s="3" t="s">
        <v>45</v>
      </c>
      <c r="D32" s="3" t="s">
        <v>37</v>
      </c>
      <c r="E32" s="3" t="s">
        <v>6081</v>
      </c>
      <c r="F32" s="3" t="s">
        <v>6081</v>
      </c>
      <c r="G32" s="3" t="s">
        <v>6183</v>
      </c>
      <c r="H32" s="3" t="str">
        <f>HYPERLINK("http://www.jccm.es/sede/tramite/KCP","SOLICITUD DE LIBRE ELECCION EN EL AMBITO DE LA ATENCION PRIMARIA.")</f>
        <v>SOLICITUD DE LIBRE ELECCION EN EL AMBITO DE LA ATENCION PRIMARIA.</v>
      </c>
      <c r="I32" s="3" t="s">
        <v>42</v>
      </c>
      <c r="J32" s="3" t="s">
        <v>41</v>
      </c>
      <c r="K32" s="3" t="s">
        <v>42</v>
      </c>
      <c r="L32" s="3" t="s">
        <v>41</v>
      </c>
    </row>
    <row r="33" spans="1:12" ht="114" customHeight="1">
      <c r="A33" s="3" t="s">
        <v>6184</v>
      </c>
      <c r="B33" s="3" t="s">
        <v>6185</v>
      </c>
      <c r="C33" s="3" t="s">
        <v>45</v>
      </c>
      <c r="D33" s="3" t="s">
        <v>37</v>
      </c>
      <c r="E33" s="3" t="s">
        <v>6081</v>
      </c>
      <c r="F33" s="3" t="s">
        <v>6081</v>
      </c>
      <c r="G33" s="3" t="s">
        <v>6186</v>
      </c>
      <c r="H33" s="3" t="str">
        <f>HYPERLINK("http://www.jccm.es/sede/tramite/KCU","SOLICITUD DE LIBRE ELECCION EN EL AMBITO DE LA ATENCION ESPECIALIZADA.")</f>
        <v>SOLICITUD DE LIBRE ELECCION EN EL AMBITO DE LA ATENCION ESPECIALIZADA.</v>
      </c>
      <c r="I33" s="3" t="s">
        <v>42</v>
      </c>
      <c r="J33" s="3" t="s">
        <v>41</v>
      </c>
      <c r="K33" s="3" t="s">
        <v>42</v>
      </c>
      <c r="L33" s="3" t="s">
        <v>41</v>
      </c>
    </row>
    <row r="34" spans="1:12" ht="114" customHeight="1">
      <c r="A34" s="3" t="s">
        <v>6187</v>
      </c>
      <c r="B34" s="3" t="s">
        <v>6188</v>
      </c>
      <c r="C34" s="3" t="s">
        <v>6189</v>
      </c>
      <c r="D34" s="3" t="s">
        <v>37</v>
      </c>
      <c r="E34" s="3" t="s">
        <v>6081</v>
      </c>
      <c r="F34" s="3" t="s">
        <v>6094</v>
      </c>
      <c r="G34" s="3" t="s">
        <v>6190</v>
      </c>
      <c r="H34" s="3" t="str">
        <f>HYPERLINK("http://www.jccm.es/sede/tramite/KZS","AUTORIZACION PREVIA ASISTENCIA SANITARIA TRANSFRONTERIZA")</f>
        <v>AUTORIZACION PREVIA ASISTENCIA SANITARIA TRANSFRONTERIZA</v>
      </c>
      <c r="I34" s="3" t="s">
        <v>42</v>
      </c>
      <c r="J34" s="3" t="s">
        <v>41</v>
      </c>
      <c r="K34" s="3" t="s">
        <v>42</v>
      </c>
      <c r="L34" s="3" t="s">
        <v>41</v>
      </c>
    </row>
    <row r="35" spans="1:12" ht="114" customHeight="1">
      <c r="A35" s="3" t="s">
        <v>6191</v>
      </c>
      <c r="B35" s="3" t="s">
        <v>6192</v>
      </c>
      <c r="C35" s="3" t="s">
        <v>45</v>
      </c>
      <c r="D35" s="3" t="s">
        <v>46</v>
      </c>
      <c r="E35" s="3" t="s">
        <v>6081</v>
      </c>
      <c r="F35" s="3" t="s">
        <v>6094</v>
      </c>
      <c r="G35" s="3" t="s">
        <v>6193</v>
      </c>
      <c r="H35" s="3" t="str">
        <f>HYPERLINK("http://www.jccm.es/sede/tramite/L7I","PROCEDIMIENTO DE ADHESION Y DE BAJA DE ESTABLECIMIENTOS DISPENSADORES DE MATERIAL ORTOPROTESICO EN CASTILLA-LA MANCHA.")</f>
        <v>PROCEDIMIENTO DE ADHESION Y DE BAJA DE ESTABLECIMIENTOS DISPENSADORES DE MATERIAL ORTOPROTESICO EN CASTILLA-LA MANCHA.</v>
      </c>
      <c r="I35" s="3" t="s">
        <v>42</v>
      </c>
      <c r="J35" s="3" t="s">
        <v>41</v>
      </c>
      <c r="K35" s="3" t="s">
        <v>42</v>
      </c>
      <c r="L35" s="3" t="s">
        <v>41</v>
      </c>
    </row>
    <row r="36" spans="1:12" ht="114" customHeight="1">
      <c r="A36" s="3" t="s">
        <v>6194</v>
      </c>
      <c r="B36" s="3" t="s">
        <v>6195</v>
      </c>
      <c r="C36" s="3" t="s">
        <v>51</v>
      </c>
      <c r="D36" s="3" t="s">
        <v>37</v>
      </c>
      <c r="E36" s="3" t="s">
        <v>6081</v>
      </c>
      <c r="F36" s="3" t="s">
        <v>6082</v>
      </c>
      <c r="G36" s="3" t="s">
        <v>6196</v>
      </c>
      <c r="H36" s="3" t="str">
        <f>HYPERLINK("http://www.jccm.es/sede/tramite/KKO","COMUNICACION DE MODIFICACION DE REQUISITOS PARA LA INCLUSION EN EL SISTEMA SANITARIO PUBLICO DE CASTILLA-LA MANCHA")</f>
        <v>COMUNICACION DE MODIFICACION DE REQUISITOS PARA LA INCLUSION EN EL SISTEMA SANITARIO PUBLICO DE CASTILLA-LA MANCHA</v>
      </c>
      <c r="I36" s="3" t="s">
        <v>42</v>
      </c>
      <c r="J36" s="3" t="s">
        <v>41</v>
      </c>
      <c r="K36" s="3" t="s">
        <v>42</v>
      </c>
      <c r="L36" s="3" t="s">
        <v>41</v>
      </c>
    </row>
    <row r="37" spans="1:12" ht="114" customHeight="1">
      <c r="A37" s="3" t="s">
        <v>6197</v>
      </c>
      <c r="B37" s="3" t="s">
        <v>6198</v>
      </c>
      <c r="C37" s="3" t="s">
        <v>51</v>
      </c>
      <c r="D37" s="3" t="s">
        <v>37</v>
      </c>
      <c r="E37" s="3" t="s">
        <v>6081</v>
      </c>
      <c r="F37" s="3" t="s">
        <v>6082</v>
      </c>
      <c r="G37" s="3" t="s">
        <v>6199</v>
      </c>
      <c r="H37" s="3" t="str">
        <f>HYPERLINK("http://www.jccm.es/sede/tramite/KKN","SOLICITUD DE TARJETA PARA LA ATENCION SANITARIA EN EL SESCAM")</f>
        <v>SOLICITUD DE TARJETA PARA LA ATENCION SANITARIA EN EL SESCAM</v>
      </c>
      <c r="I37" s="3" t="s">
        <v>42</v>
      </c>
      <c r="J37" s="3" t="s">
        <v>41</v>
      </c>
      <c r="K37" s="3" t="s">
        <v>42</v>
      </c>
      <c r="L37" s="3" t="s">
        <v>41</v>
      </c>
    </row>
    <row r="38" spans="1:12" ht="114" customHeight="1">
      <c r="A38" s="3" t="s">
        <v>6200</v>
      </c>
      <c r="B38" s="3" t="s">
        <v>6201</v>
      </c>
      <c r="C38" s="3" t="s">
        <v>45</v>
      </c>
      <c r="D38" s="3" t="s">
        <v>46</v>
      </c>
      <c r="E38" s="3" t="s">
        <v>6081</v>
      </c>
      <c r="F38" s="3" t="s">
        <v>6094</v>
      </c>
      <c r="G38" s="3" t="s">
        <v>6202</v>
      </c>
      <c r="H38" s="3" t="str">
        <f>HYPERLINK("http://www.jccm.es/sede/tramite/KZL","REINTEGRO DE GASTOS POR ASISTENCIA SANITARIA TRANSFRONTERIZA")</f>
        <v>REINTEGRO DE GASTOS POR ASISTENCIA SANITARIA TRANSFRONTERIZA</v>
      </c>
      <c r="I38" s="3" t="s">
        <v>42</v>
      </c>
      <c r="J38" s="3" t="s">
        <v>41</v>
      </c>
      <c r="K38" s="3" t="s">
        <v>42</v>
      </c>
      <c r="L38" s="3" t="s">
        <v>41</v>
      </c>
    </row>
    <row r="39" spans="1:12" ht="114" customHeight="1">
      <c r="A39" s="3" t="s">
        <v>6203</v>
      </c>
      <c r="B39" s="3" t="s">
        <v>6204</v>
      </c>
      <c r="C39" s="3" t="s">
        <v>45</v>
      </c>
      <c r="D39" s="3" t="s">
        <v>46</v>
      </c>
      <c r="E39" s="3" t="s">
        <v>6081</v>
      </c>
      <c r="F39" s="3" t="s">
        <v>6094</v>
      </c>
      <c r="G39" s="3" t="s">
        <v>6205</v>
      </c>
      <c r="H39" s="3" t="str">
        <f>HYPERLINK("http://www.jccm.es/sede/tramite/ISY","REINTEGRO DE GASTOS POR ASISTENCIA SANITARIA URGENTE, INMEDIATA Y DE CARACTER VITAL.")</f>
        <v>REINTEGRO DE GASTOS POR ASISTENCIA SANITARIA URGENTE, INMEDIATA Y DE CARACTER VITAL.</v>
      </c>
      <c r="I39" s="3" t="s">
        <v>42</v>
      </c>
      <c r="J39" s="3" t="s">
        <v>41</v>
      </c>
      <c r="K39" s="3" t="s">
        <v>42</v>
      </c>
      <c r="L39" s="3" t="s">
        <v>41</v>
      </c>
    </row>
    <row r="40" spans="1:12" ht="114" customHeight="1">
      <c r="A40" s="3" t="s">
        <v>6206</v>
      </c>
      <c r="B40" s="3" t="s">
        <v>6207</v>
      </c>
      <c r="C40" s="3" t="s">
        <v>45</v>
      </c>
      <c r="D40" s="3" t="s">
        <v>46</v>
      </c>
      <c r="E40" s="3" t="s">
        <v>6081</v>
      </c>
      <c r="F40" s="3" t="s">
        <v>6094</v>
      </c>
      <c r="G40" s="3" t="s">
        <v>6208</v>
      </c>
      <c r="H40" s="3" t="str">
        <f>HYPERLINK("http://www.jccm.es/sede/tramite/ISV","REINTEGRO DE GASTOS POR PRESTACION ORTOPROTESICA")</f>
        <v>REINTEGRO DE GASTOS POR PRESTACION ORTOPROTESICA</v>
      </c>
      <c r="I40" s="3" t="s">
        <v>42</v>
      </c>
      <c r="J40" s="3" t="s">
        <v>41</v>
      </c>
      <c r="K40" s="3" t="s">
        <v>42</v>
      </c>
      <c r="L40" s="3" t="s">
        <v>41</v>
      </c>
    </row>
    <row r="41" spans="1:12" ht="114" customHeight="1">
      <c r="A41" s="3" t="s">
        <v>6209</v>
      </c>
      <c r="B41" s="3" t="s">
        <v>6210</v>
      </c>
      <c r="C41" s="3" t="s">
        <v>45</v>
      </c>
      <c r="D41" s="3" t="s">
        <v>46</v>
      </c>
      <c r="E41" s="3" t="s">
        <v>6081</v>
      </c>
      <c r="F41" s="3" t="s">
        <v>6094</v>
      </c>
      <c r="G41" s="3" t="s">
        <v>6211</v>
      </c>
      <c r="H41" s="3" t="str">
        <f>HYPERLINK("http://www.jccm.es/sede/tramite/JC3","REINTEGRO DE GASTOS POR SALUD BUCODENTAL")</f>
        <v>REINTEGRO DE GASTOS POR SALUD BUCODENTAL</v>
      </c>
      <c r="I41" s="3" t="s">
        <v>42</v>
      </c>
      <c r="J41" s="3" t="s">
        <v>41</v>
      </c>
      <c r="K41" s="3" t="s">
        <v>42</v>
      </c>
      <c r="L41" s="3" t="s">
        <v>41</v>
      </c>
    </row>
    <row r="42" spans="1:12" ht="114" customHeight="1">
      <c r="A42" s="3" t="s">
        <v>6212</v>
      </c>
      <c r="B42" s="3" t="s">
        <v>6213</v>
      </c>
      <c r="C42" s="3" t="s">
        <v>45</v>
      </c>
      <c r="D42" s="3" t="s">
        <v>46</v>
      </c>
      <c r="E42" s="3" t="s">
        <v>6081</v>
      </c>
      <c r="F42" s="3" t="s">
        <v>6081</v>
      </c>
      <c r="G42" s="3" t="s">
        <v>6214</v>
      </c>
      <c r="H42" s="3" t="str">
        <f>HYPERLINK("http://www.jccm.es/sede/tramite/L2R","REINTEGRO DE GASTOS POR ADQUISICION DE MEDICAMENTOS Y EFECTOS Y ACCESORIOS PARA PACIENTES MENORES DE EDAD AFECTADOS POR DISCAPACIDAD IGUAL O SUPERIOR AL 33%.")</f>
        <v>REINTEGRO DE GASTOS POR ADQUISICION DE MEDICAMENTOS Y EFECTOS Y ACCESORIOS PARA PACIENTES MENORES DE EDAD AFECTADOS POR DISCAPACIDAD IGUAL O SUPERIOR AL 33%.</v>
      </c>
      <c r="I42" s="3" t="s">
        <v>42</v>
      </c>
      <c r="J42" s="3" t="s">
        <v>41</v>
      </c>
      <c r="K42" s="3" t="s">
        <v>42</v>
      </c>
      <c r="L42" s="3" t="s">
        <v>41</v>
      </c>
    </row>
    <row r="43" spans="1:12" ht="114" customHeight="1">
      <c r="A43" s="3" t="s">
        <v>6215</v>
      </c>
      <c r="B43" s="3" t="s">
        <v>6216</v>
      </c>
      <c r="C43" s="3" t="s">
        <v>45</v>
      </c>
      <c r="D43" s="3" t="s">
        <v>46</v>
      </c>
      <c r="E43" s="3" t="s">
        <v>6081</v>
      </c>
      <c r="F43" s="3" t="s">
        <v>6081</v>
      </c>
      <c r="G43" s="3" t="s">
        <v>6217</v>
      </c>
      <c r="H43" s="3" t="str">
        <f>HYPERLINK("http://www.jccm.es/sede/tramite/L88","PROCEDIMIENTO DE REINTEGRO DE GASTOS POR ATENCION PODOLOGICA DEL PIE DIABETICO (QUIROPODIA BASICA)")</f>
        <v>PROCEDIMIENTO DE REINTEGRO DE GASTOS POR ATENCION PODOLOGICA DEL PIE DIABETICO (QUIROPODIA BASICA)</v>
      </c>
      <c r="I43" s="3" t="s">
        <v>42</v>
      </c>
      <c r="J43" s="3" t="s">
        <v>41</v>
      </c>
      <c r="K43" s="3" t="s">
        <v>42</v>
      </c>
      <c r="L43" s="3" t="s">
        <v>41</v>
      </c>
    </row>
    <row r="44" spans="1:12" ht="114" customHeight="1">
      <c r="A44" s="3" t="s">
        <v>6218</v>
      </c>
      <c r="B44" s="3" t="s">
        <v>6219</v>
      </c>
      <c r="C44" s="3" t="s">
        <v>327</v>
      </c>
      <c r="D44" s="3" t="s">
        <v>46</v>
      </c>
      <c r="E44" s="3" t="s">
        <v>6081</v>
      </c>
      <c r="F44" s="3" t="s">
        <v>6094</v>
      </c>
      <c r="G44" s="3" t="s">
        <v>6220</v>
      </c>
      <c r="H44" s="3" t="str">
        <f>HYPERLINK("http://www.jccm.es/sede/tramite/JCY","REINTEGRO DE GASTOS POR APORTACIONES EN LA PRESTACION FARMACEUTICA AMBULATORIA")</f>
        <v>REINTEGRO DE GASTOS POR APORTACIONES EN LA PRESTACION FARMACEUTICA AMBULATORIA</v>
      </c>
      <c r="I44" s="3" t="s">
        <v>42</v>
      </c>
      <c r="J44" s="3" t="s">
        <v>41</v>
      </c>
      <c r="K44" s="3" t="s">
        <v>42</v>
      </c>
      <c r="L44" s="3" t="s">
        <v>41</v>
      </c>
    </row>
    <row r="45" spans="1:12" ht="114" customHeight="1">
      <c r="A45" s="3" t="s">
        <v>6221</v>
      </c>
      <c r="B45" s="3" t="s">
        <v>6222</v>
      </c>
      <c r="C45" s="3" t="s">
        <v>6223</v>
      </c>
      <c r="D45" s="3" t="s">
        <v>46</v>
      </c>
      <c r="E45" s="3" t="s">
        <v>6081</v>
      </c>
      <c r="F45" s="3" t="s">
        <v>6081</v>
      </c>
      <c r="G45" s="3" t="s">
        <v>6224</v>
      </c>
      <c r="H45" s="3" t="str">
        <f>HYPERLINK("http://www.jccm.es/sede/tramite/JPE","EXENCION DE JORNADA COMPLEMENTARIA EN HORARIO DE ATENCION CONTINUADA POR GUARDIAS DEL PERSONAL DE II.SS DEL SESCAM")</f>
        <v>EXENCION DE JORNADA COMPLEMENTARIA EN HORARIO DE ATENCION CONTINUADA POR GUARDIAS DEL PERSONAL DE II.SS DEL SESCAM</v>
      </c>
      <c r="I45" s="3" t="s">
        <v>41</v>
      </c>
      <c r="J45" s="3" t="s">
        <v>41</v>
      </c>
      <c r="K45" s="3" t="s">
        <v>41</v>
      </c>
      <c r="L45" s="3" t="s">
        <v>41</v>
      </c>
    </row>
    <row r="46" spans="1:12" ht="114" customHeight="1">
      <c r="A46" s="3" t="s">
        <v>6225</v>
      </c>
      <c r="B46" s="3" t="s">
        <v>6226</v>
      </c>
      <c r="C46" s="3" t="s">
        <v>6223</v>
      </c>
      <c r="D46" s="3" t="s">
        <v>46</v>
      </c>
      <c r="E46" s="3" t="s">
        <v>6081</v>
      </c>
      <c r="F46" s="3" t="s">
        <v>6081</v>
      </c>
      <c r="G46" s="3" t="s">
        <v>6227</v>
      </c>
      <c r="H46" s="3" t="str">
        <f>HYPERLINK("http://www.jccm.es/sede/tramite/JPF","DECLARACION DE SITUACIONES ADMINISTRATIVAS PERSONAL IISS SESCAM")</f>
        <v>DECLARACION DE SITUACIONES ADMINISTRATIVAS PERSONAL IISS SESCAM</v>
      </c>
      <c r="I46" s="3" t="s">
        <v>41</v>
      </c>
      <c r="J46" s="3" t="s">
        <v>41</v>
      </c>
      <c r="K46" s="3" t="s">
        <v>41</v>
      </c>
      <c r="L46" s="3" t="s">
        <v>41</v>
      </c>
    </row>
    <row r="47" spans="1:12" ht="114" customHeight="1">
      <c r="A47" s="3" t="s">
        <v>6228</v>
      </c>
      <c r="B47" s="3" t="s">
        <v>6229</v>
      </c>
      <c r="C47" s="3" t="s">
        <v>6223</v>
      </c>
      <c r="D47" s="3" t="s">
        <v>46</v>
      </c>
      <c r="E47" s="3" t="s">
        <v>6081</v>
      </c>
      <c r="F47" s="3" t="s">
        <v>6081</v>
      </c>
      <c r="G47" s="3" t="s">
        <v>6230</v>
      </c>
      <c r="H47" s="3" t="str">
        <f>HYPERLINK("http://www.jccm.es/sede/tramite/JPG","RECONOCIMIENTO DE SERVICIOS PREVIOS DEL PERSONAL DE INSTITUCIONES SANITARIAS DEL SESCAM.")</f>
        <v>RECONOCIMIENTO DE SERVICIOS PREVIOS DEL PERSONAL DE INSTITUCIONES SANITARIAS DEL SESCAM.</v>
      </c>
      <c r="I47" s="3" t="s">
        <v>41</v>
      </c>
      <c r="J47" s="3" t="s">
        <v>41</v>
      </c>
      <c r="K47" s="3" t="s">
        <v>41</v>
      </c>
      <c r="L47" s="3" t="s">
        <v>41</v>
      </c>
    </row>
    <row r="48" spans="1:12" ht="114" customHeight="1">
      <c r="A48" s="3" t="s">
        <v>6231</v>
      </c>
      <c r="B48" s="3" t="s">
        <v>6232</v>
      </c>
      <c r="C48" s="3" t="s">
        <v>6233</v>
      </c>
      <c r="D48" s="3" t="s">
        <v>46</v>
      </c>
      <c r="E48" s="3" t="s">
        <v>6081</v>
      </c>
      <c r="F48" s="3" t="s">
        <v>6081</v>
      </c>
      <c r="G48" s="3" t="s">
        <v>6234</v>
      </c>
      <c r="H48" s="3" t="str">
        <f>HYPERLINK("http://www.jccm.es/sede/tramite/JPH","ANTICIPOS DE RETRIBUCIONES AL PERSONAL ESTATUTARIO DEL SESCAM.")</f>
        <v>ANTICIPOS DE RETRIBUCIONES AL PERSONAL ESTATUTARIO DEL SESCAM.</v>
      </c>
      <c r="I48" s="3" t="s">
        <v>42</v>
      </c>
      <c r="J48" s="3" t="s">
        <v>41</v>
      </c>
      <c r="K48" s="3" t="s">
        <v>41</v>
      </c>
      <c r="L48" s="3" t="s">
        <v>41</v>
      </c>
    </row>
    <row r="49" spans="1:12" ht="114" customHeight="1">
      <c r="A49" s="3" t="s">
        <v>6235</v>
      </c>
      <c r="B49" s="3" t="s">
        <v>6236</v>
      </c>
      <c r="C49" s="3" t="s">
        <v>45</v>
      </c>
      <c r="D49" s="3" t="s">
        <v>46</v>
      </c>
      <c r="E49" s="3" t="s">
        <v>6081</v>
      </c>
      <c r="F49" s="3" t="s">
        <v>6081</v>
      </c>
      <c r="G49" s="3" t="s">
        <v>6237</v>
      </c>
      <c r="H49" s="3" t="str">
        <f>HYPERLINK("http://www.jccm.es/sede/tramite/JPI","AUTORIZACION DE COMPATIBILIDAD PARA SEGUNDA ACTIVIDAD PUBLICA DEL PERSONAL DE II.SS. DEL SESCAM")</f>
        <v>AUTORIZACION DE COMPATIBILIDAD PARA SEGUNDA ACTIVIDAD PUBLICA DEL PERSONAL DE II.SS. DEL SESCAM</v>
      </c>
      <c r="I49" s="3" t="s">
        <v>42</v>
      </c>
      <c r="J49" s="3" t="s">
        <v>41</v>
      </c>
      <c r="K49" s="3" t="s">
        <v>42</v>
      </c>
      <c r="L49" s="3" t="s">
        <v>41</v>
      </c>
    </row>
    <row r="50" spans="1:12" ht="114" customHeight="1">
      <c r="A50" s="3" t="s">
        <v>6238</v>
      </c>
      <c r="B50" s="3" t="s">
        <v>6239</v>
      </c>
      <c r="C50" s="3" t="s">
        <v>51</v>
      </c>
      <c r="D50" s="3" t="s">
        <v>46</v>
      </c>
      <c r="E50" s="3" t="s">
        <v>6081</v>
      </c>
      <c r="F50" s="3" t="s">
        <v>6081</v>
      </c>
      <c r="G50" s="3" t="s">
        <v>6240</v>
      </c>
      <c r="H50" s="3" t="str">
        <f>HYPERLINK("http://www.jccm.es/sede/tramite/JPK","AUTORIZACION DE COMPATIBILIDAD PARA SEGUNDA ACTIVIDAD PRIVADA DEL PERSONAL DE IISS DEL SESCAM.")</f>
        <v>AUTORIZACION DE COMPATIBILIDAD PARA SEGUNDA ACTIVIDAD PRIVADA DEL PERSONAL DE IISS DEL SESCAM.</v>
      </c>
      <c r="I50" s="3" t="s">
        <v>42</v>
      </c>
      <c r="J50" s="3" t="s">
        <v>41</v>
      </c>
      <c r="K50" s="3" t="s">
        <v>42</v>
      </c>
      <c r="L50" s="3" t="s">
        <v>41</v>
      </c>
    </row>
    <row r="51" spans="1:12" ht="114" customHeight="1">
      <c r="A51" s="3" t="s">
        <v>6241</v>
      </c>
      <c r="B51" s="3" t="s">
        <v>6242</v>
      </c>
      <c r="C51" s="3" t="s">
        <v>45</v>
      </c>
      <c r="D51" s="3" t="s">
        <v>46</v>
      </c>
      <c r="E51" s="3" t="s">
        <v>6081</v>
      </c>
      <c r="F51" s="3" t="s">
        <v>6081</v>
      </c>
      <c r="G51" s="3" t="s">
        <v>6243</v>
      </c>
      <c r="H51" s="3" t="str">
        <f>HYPERLINK("http://www.jccm.es/sede/tramite/JPL","REINGRESO AL SERVICIO ACTIVO.")</f>
        <v>REINGRESO AL SERVICIO ACTIVO.</v>
      </c>
      <c r="I51" s="3" t="s">
        <v>42</v>
      </c>
      <c r="J51" s="3" t="s">
        <v>41</v>
      </c>
      <c r="K51" s="3" t="s">
        <v>42</v>
      </c>
      <c r="L51" s="3" t="s">
        <v>41</v>
      </c>
    </row>
    <row r="52" spans="1:12" ht="114" customHeight="1">
      <c r="A52" s="3" t="s">
        <v>6244</v>
      </c>
      <c r="B52" s="3" t="s">
        <v>6245</v>
      </c>
      <c r="C52" s="3" t="s">
        <v>6223</v>
      </c>
      <c r="D52" s="3" t="s">
        <v>46</v>
      </c>
      <c r="E52" s="3" t="s">
        <v>6081</v>
      </c>
      <c r="F52" s="3" t="s">
        <v>6081</v>
      </c>
      <c r="G52" s="3" t="s">
        <v>6246</v>
      </c>
      <c r="H52" s="3" t="str">
        <f>HYPERLINK("http://www.jccm.es/sede/tramite/JOQ","AUTORIZACION DE COMISIONES DE SERVICIO Y SUS PRORROGAS EL PERSONAL DE IISS DEL SECAM")</f>
        <v>AUTORIZACION DE COMISIONES DE SERVICIO Y SUS PRORROGAS EL PERSONAL DE IISS DEL SECAM</v>
      </c>
      <c r="I52" s="3" t="s">
        <v>41</v>
      </c>
      <c r="J52" s="3" t="s">
        <v>41</v>
      </c>
      <c r="K52" s="3" t="s">
        <v>41</v>
      </c>
      <c r="L52" s="3" t="s">
        <v>41</v>
      </c>
    </row>
    <row r="53" spans="1:12" ht="114" customHeight="1">
      <c r="A53" s="3" t="s">
        <v>6247</v>
      </c>
      <c r="B53" s="3" t="s">
        <v>6248</v>
      </c>
      <c r="C53" s="3" t="s">
        <v>6249</v>
      </c>
      <c r="D53" s="3" t="s">
        <v>46</v>
      </c>
      <c r="E53" s="3" t="s">
        <v>6081</v>
      </c>
      <c r="F53" s="3" t="s">
        <v>6081</v>
      </c>
      <c r="G53" s="3" t="s">
        <v>6250</v>
      </c>
      <c r="H53" s="3" t="str">
        <f>HYPERLINK("http://www.jccm.es/sede/tramite/KDO","SOLICITUD DE ADMISION A LA CONVOCATORIA DE PROVISION DE JEFATURAS DE CARACTER ASISTENCIAL DEL SERVICIO DE SALUD DE CASTILLA-LA MANCHA (SESCAM)")</f>
        <v>SOLICITUD DE ADMISION A LA CONVOCATORIA DE PROVISION DE JEFATURAS DE CARACTER ASISTENCIAL DEL SERVICIO DE SALUD DE CASTILLA-LA MANCHA (SESCAM)</v>
      </c>
      <c r="I53" s="3" t="s">
        <v>41</v>
      </c>
      <c r="J53" s="3" t="s">
        <v>41</v>
      </c>
      <c r="K53" s="3" t="s">
        <v>42</v>
      </c>
      <c r="L53" s="3" t="s">
        <v>41</v>
      </c>
    </row>
    <row r="54" spans="1:12" ht="114" customHeight="1">
      <c r="A54" s="3" t="s">
        <v>6251</v>
      </c>
      <c r="B54" s="3" t="s">
        <v>6252</v>
      </c>
      <c r="C54" s="3" t="s">
        <v>51</v>
      </c>
      <c r="D54" s="3" t="s">
        <v>46</v>
      </c>
      <c r="E54" s="3" t="s">
        <v>6081</v>
      </c>
      <c r="F54" s="3" t="s">
        <v>6179</v>
      </c>
      <c r="G54" s="3" t="s">
        <v>6253</v>
      </c>
      <c r="H54" s="3" t="str">
        <f>HYPERLINK("http://www.jccm.es/sede/tramite/KCZ","PROVISION, POR EL PROCEDIMIENTO DE LIBRE DESIGNACION, DE PUESTO DE TRABAJO VACANTE EN LA ADMINISTRACION DE LA JUNTA DE COMUNIDADES DE CASTILLA-LA MANCHA (LD. SESCAM F2/2022).")</f>
        <v>PROVISION, POR EL PROCEDIMIENTO DE LIBRE DESIGNACION, DE PUESTO DE TRABAJO VACANTE EN LA ADMINISTRACION DE LA JUNTA DE COMUNIDADES DE CASTILLA-LA MANCHA (LD. SESCAM F2/2022).</v>
      </c>
      <c r="I54" s="3" t="s">
        <v>41</v>
      </c>
      <c r="J54" s="3" t="s">
        <v>41</v>
      </c>
      <c r="K54" s="3" t="s">
        <v>42</v>
      </c>
      <c r="L54" s="3" t="s">
        <v>41</v>
      </c>
    </row>
    <row r="55" spans="1:12" ht="114" customHeight="1">
      <c r="A55" s="3" t="s">
        <v>6254</v>
      </c>
      <c r="B55" s="3" t="s">
        <v>6255</v>
      </c>
      <c r="C55" s="3" t="s">
        <v>700</v>
      </c>
      <c r="D55" s="3" t="s">
        <v>46</v>
      </c>
      <c r="E55" s="3" t="s">
        <v>6081</v>
      </c>
      <c r="F55" s="3" t="s">
        <v>6082</v>
      </c>
      <c r="G55" s="3" t="s">
        <v>6256</v>
      </c>
      <c r="H55" s="3" t="str">
        <f>HYPERLINK("http://www.jccm.es/sede/tramite/KEL","PROVISION DE  PUESTOS DE PERSONAL DIRECTIVO DE LAS INSTITUCIONES SANITARIAS DEL SERVICIO DE SALUD DE CASTILLA-LA MANCHA 3/2022.")</f>
        <v>PROVISION DE  PUESTOS DE PERSONAL DIRECTIVO DE LAS INSTITUCIONES SANITARIAS DEL SERVICIO DE SALUD DE CASTILLA-LA MANCHA 3/2022.</v>
      </c>
      <c r="I55" s="3" t="s">
        <v>42</v>
      </c>
      <c r="J55" s="3" t="s">
        <v>41</v>
      </c>
      <c r="K55" s="3" t="s">
        <v>42</v>
      </c>
      <c r="L55" s="3" t="s">
        <v>41</v>
      </c>
    </row>
    <row r="56" spans="1:12" ht="114" customHeight="1">
      <c r="A56" s="3" t="s">
        <v>6257</v>
      </c>
      <c r="B56" s="3" t="s">
        <v>6258</v>
      </c>
      <c r="C56" s="3" t="s">
        <v>62</v>
      </c>
      <c r="D56" s="3" t="s">
        <v>37</v>
      </c>
      <c r="E56" s="3" t="s">
        <v>6081</v>
      </c>
      <c r="F56" s="3" t="s">
        <v>6090</v>
      </c>
      <c r="G56" s="3" t="s">
        <v>6259</v>
      </c>
      <c r="H56" s="3" t="str">
        <f>HYPERLINK("http://www.jccm.es/sede/tramite/K6N","TELETRABAJO DEL PERSONAL DE CENTROS E INSTITUCIONES SANITARIAS DEL SESCAM.")</f>
        <v>TELETRABAJO DEL PERSONAL DE CENTROS E INSTITUCIONES SANITARIAS DEL SESCAM.</v>
      </c>
      <c r="I56" s="3" t="s">
        <v>42</v>
      </c>
      <c r="J56" s="3" t="s">
        <v>41</v>
      </c>
      <c r="K56" s="3" t="s">
        <v>42</v>
      </c>
      <c r="L56" s="3" t="s">
        <v>41</v>
      </c>
    </row>
    <row r="57" spans="1:12" ht="114" customHeight="1">
      <c r="A57" s="3" t="s">
        <v>6260</v>
      </c>
      <c r="B57" s="3" t="s">
        <v>6261</v>
      </c>
      <c r="C57" s="3" t="s">
        <v>95</v>
      </c>
      <c r="D57" s="3" t="s">
        <v>95</v>
      </c>
      <c r="E57" s="3" t="s">
        <v>6081</v>
      </c>
      <c r="F57" s="3" t="s">
        <v>6082</v>
      </c>
      <c r="G57" s="3" t="s">
        <v>6262</v>
      </c>
      <c r="H57" s="3" t="str">
        <f>HYPERLINK("http://www.jccm.es/sede/tramite/KNO","AUTORIZACION PARA SOLICITAR CERTIFICACION DEL REGISTRO CENTRAL DE DELINCUENTES SEXUALES")</f>
        <v>AUTORIZACION PARA SOLICITAR CERTIFICACION DEL REGISTRO CENTRAL DE DELINCUENTES SEXUALES</v>
      </c>
      <c r="I57" s="3" t="s">
        <v>41</v>
      </c>
      <c r="J57" s="3" t="s">
        <v>41</v>
      </c>
      <c r="K57" s="3" t="s">
        <v>42</v>
      </c>
      <c r="L57" s="3" t="s">
        <v>41</v>
      </c>
    </row>
    <row r="58" spans="1:12" ht="114" customHeight="1">
      <c r="A58" s="3" t="s">
        <v>6263</v>
      </c>
      <c r="B58" s="3" t="s">
        <v>6264</v>
      </c>
      <c r="C58" s="3" t="s">
        <v>6265</v>
      </c>
      <c r="D58" s="3" t="s">
        <v>46</v>
      </c>
      <c r="E58" s="3" t="s">
        <v>6081</v>
      </c>
      <c r="F58" s="3" t="s">
        <v>6090</v>
      </c>
      <c r="G58" s="3" t="s">
        <v>6266</v>
      </c>
      <c r="H58" s="3" t="str">
        <f>HYPERLINK("http://www.jccm.es/sede/tramite/IJD","CONCURSO PERMANENTE PARA LA PROVISION DE PUESTOS DE TRABAJO DE LA ESCALA SUPERIOR DE SANITARIOS LOCALES, ESPECIALIDAD MEDICINA, DE LA ADMINISTRACION DE LA JUNTA DE COMUNIDADES DE CLM.")</f>
        <v>CONCURSO PERMANENTE PARA LA PROVISION DE PUESTOS DE TRABAJO DE LA ESCALA SUPERIOR DE SANITARIOS LOCALES, ESPECIALIDAD MEDICINA, DE LA ADMINISTRACION DE LA JUNTA DE COMUNIDADES DE CLM.</v>
      </c>
      <c r="I58" s="3" t="s">
        <v>41</v>
      </c>
      <c r="J58" s="3" t="s">
        <v>41</v>
      </c>
      <c r="K58" s="3" t="s">
        <v>42</v>
      </c>
      <c r="L58" s="3" t="s">
        <v>41</v>
      </c>
    </row>
    <row r="59" spans="1:12" ht="114" customHeight="1">
      <c r="A59" s="3" t="s">
        <v>6267</v>
      </c>
      <c r="B59" s="3" t="s">
        <v>6268</v>
      </c>
      <c r="C59" s="3" t="s">
        <v>232</v>
      </c>
      <c r="D59" s="3" t="s">
        <v>46</v>
      </c>
      <c r="E59" s="3" t="s">
        <v>6081</v>
      </c>
      <c r="F59" s="3" t="s">
        <v>6081</v>
      </c>
      <c r="G59" s="3" t="s">
        <v>6269</v>
      </c>
      <c r="H59" s="3" t="str">
        <f>HYPERLINK("http://www.jccm.es/sede/tramite/LKL","SUBSANACION DEFECTOS PROVISION DE PUESTOS DE TRABAJO POR EL SISTEMA DE CONCURSO DE TRASLADOS PERSONAL ESTATUTARIO (FACULTATIVO)")</f>
        <v>SUBSANACION DEFECTOS PROVISION DE PUESTOS DE TRABAJO POR EL SISTEMA DE CONCURSO DE TRASLADOS PERSONAL ESTATUTARIO (FACULTATIVO)</v>
      </c>
      <c r="I59" s="3" t="s">
        <v>41</v>
      </c>
      <c r="J59" s="3" t="s">
        <v>41</v>
      </c>
      <c r="K59" s="3" t="s">
        <v>42</v>
      </c>
      <c r="L59" s="3" t="s">
        <v>41</v>
      </c>
    </row>
    <row r="60" spans="1:12" ht="114" customHeight="1">
      <c r="A60" s="3" t="s">
        <v>6270</v>
      </c>
      <c r="B60" s="3" t="s">
        <v>6271</v>
      </c>
      <c r="C60" s="3" t="s">
        <v>327</v>
      </c>
      <c r="D60" s="3" t="s">
        <v>46</v>
      </c>
      <c r="E60" s="3" t="s">
        <v>6081</v>
      </c>
      <c r="F60" s="3" t="s">
        <v>6081</v>
      </c>
      <c r="G60" s="3" t="s">
        <v>6272</v>
      </c>
      <c r="H60" s="3" t="str">
        <f>HYPERLINK("http://www.jccm.es/sede/tramite/LKM","SUBSANACION DEFECTOS PROVISION DE PUESTOS DE TRABAJO POR EL SISTEMA DE CONCURSO DE TRASLADOS PERSONAL ESTATUTARIO PERSONAL SANITARIO DE GRADO, DIPLOMADO Y TECNICO Y PERSONAL DE GESTION Y SERVICIOS")</f>
        <v>SUBSANACION DEFECTOS PROVISION DE PUESTOS DE TRABAJO POR EL SISTEMA DE CONCURSO DE TRASLADOS PERSONAL ESTATUTARIO PERSONAL SANITARIO DE GRADO, DIPLOMADO Y TECNICO Y PERSONAL DE GESTION Y SERVICIOS</v>
      </c>
      <c r="I60" s="3" t="s">
        <v>41</v>
      </c>
      <c r="J60" s="3" t="s">
        <v>41</v>
      </c>
      <c r="K60" s="3" t="s">
        <v>42</v>
      </c>
      <c r="L60" s="3" t="s">
        <v>41</v>
      </c>
    </row>
    <row r="61" spans="1:12" ht="114" customHeight="1">
      <c r="A61" s="3" t="s">
        <v>6273</v>
      </c>
      <c r="B61" s="3" t="s">
        <v>6274</v>
      </c>
      <c r="C61" s="3" t="s">
        <v>95</v>
      </c>
      <c r="D61" s="3" t="s">
        <v>95</v>
      </c>
      <c r="E61" s="3" t="s">
        <v>6081</v>
      </c>
      <c r="F61" s="3" t="s">
        <v>6090</v>
      </c>
      <c r="G61" s="3" t="s">
        <v>6275</v>
      </c>
      <c r="H61" s="3" t="str">
        <f>HYPERLINK("http://www.jccm.es/sede/tramite/LLH","CONCURSO PERMANENTE PARA LA PROVISION DE PUESTOS DE TRABAJO DE LA ESCALA TECNICA DE SANITARIOS LOCALES DE LA JUNTA DE COMUNIDADES DE CASTILLA- LA MANCHA.")</f>
        <v>CONCURSO PERMANENTE PARA LA PROVISION DE PUESTOS DE TRABAJO DE LA ESCALA TECNICA DE SANITARIOS LOCALES DE LA JUNTA DE COMUNIDADES DE CASTILLA- LA MANCHA.</v>
      </c>
      <c r="I61" s="3" t="s">
        <v>41</v>
      </c>
      <c r="J61" s="3" t="s">
        <v>41</v>
      </c>
      <c r="K61" s="3" t="s">
        <v>42</v>
      </c>
      <c r="L61" s="3" t="s">
        <v>41</v>
      </c>
    </row>
    <row r="62" spans="1:12" ht="114" customHeight="1">
      <c r="A62" s="3" t="s">
        <v>6276</v>
      </c>
      <c r="B62" s="3" t="s">
        <v>6277</v>
      </c>
      <c r="C62" s="3" t="s">
        <v>45</v>
      </c>
      <c r="D62" s="3" t="s">
        <v>46</v>
      </c>
      <c r="E62" s="3" t="s">
        <v>6081</v>
      </c>
      <c r="F62" s="3" t="s">
        <v>6081</v>
      </c>
      <c r="G62" s="3" t="s">
        <v>6278</v>
      </c>
      <c r="H62" s="3" t="str">
        <f>HYPERLINK("http://www.jccm.es/sede/tramite/LOT","RECLAMACION CONTRA ACUERDO DE LA COMISION DE VALORACION SOBRE RESULTADO PROVISIONAL DE LA CONVOCATORIA DE JEFATURA DE SERVICIO DE DERMATOLOGIA MEDICO-QUIRURGICA Y VENEREOLOGIA. GAI DE ALBACETE")</f>
        <v>RECLAMACION CONTRA ACUERDO DE LA COMISION DE VALORACION SOBRE RESULTADO PROVISIONAL DE LA CONVOCATORIA DE JEFATURA DE SERVICIO DE DERMATOLOGIA MEDICO-QUIRURGICA Y VENEREOLOGIA. GAI DE ALBACETE</v>
      </c>
      <c r="I62" s="3" t="s">
        <v>42</v>
      </c>
      <c r="J62" s="3" t="s">
        <v>41</v>
      </c>
      <c r="K62" s="3" t="s">
        <v>42</v>
      </c>
      <c r="L62" s="3" t="s">
        <v>41</v>
      </c>
    </row>
    <row r="63" spans="1:12" ht="155.25" customHeight="1">
      <c r="A63" s="3" t="s">
        <v>6279</v>
      </c>
      <c r="B63" s="3" t="s">
        <v>6280</v>
      </c>
      <c r="C63" s="3" t="s">
        <v>95</v>
      </c>
      <c r="D63" s="3" t="s">
        <v>46</v>
      </c>
      <c r="E63" s="3" t="s">
        <v>6081</v>
      </c>
      <c r="F63" s="3" t="s">
        <v>6090</v>
      </c>
      <c r="G63" s="3" t="s">
        <v>6281</v>
      </c>
      <c r="H63" s="3" t="str">
        <f>HYPERLINK("http://www.jccm.es/sede/tramite/LS4","MOVILIDAD INTERNA VOLUNTARIA EN EL AMBITO DE LA ATENCION PRIMARIA DEL SERVICIO DE SALUD DE CASTILLA-LA MANCHA (SESCAM)")</f>
        <v>MOVILIDAD INTERNA VOLUNTARIA EN EL AMBITO DE LA ATENCION PRIMARIA DEL SERVICIO DE SALUD DE CASTILLA-LA MANCHA (SESCAM)</v>
      </c>
      <c r="I63" s="3" t="s">
        <v>41</v>
      </c>
      <c r="J63" s="3" t="s">
        <v>41</v>
      </c>
      <c r="K63" s="3" t="s">
        <v>42</v>
      </c>
      <c r="L63" s="3" t="s">
        <v>41</v>
      </c>
    </row>
    <row r="64" spans="1:12" ht="69">
      <c r="A64" s="3" t="s">
        <v>6282</v>
      </c>
      <c r="B64" s="3" t="s">
        <v>6283</v>
      </c>
      <c r="C64" s="3" t="s">
        <v>95</v>
      </c>
      <c r="D64" s="3" t="s">
        <v>46</v>
      </c>
      <c r="E64" s="3" t="s">
        <v>6081</v>
      </c>
      <c r="F64" s="3" t="s">
        <v>6090</v>
      </c>
      <c r="G64" s="3" t="s">
        <v>6284</v>
      </c>
      <c r="H64" s="3" t="str">
        <f>HYPERLINK("http://www.jccm.es/sede/tramite/LS5","MOVILIDAD INTERNA VOLUNTARIA EN EL AMBITO DE LA GERENCIA DE URGENCIAS, EMERGENCIAS Y TRANSPORTE SANITARIO (GUETS)")</f>
        <v>MOVILIDAD INTERNA VOLUNTARIA EN EL AMBITO DE LA GERENCIA DE URGENCIAS, EMERGENCIAS Y TRANSPORTE SANITARIO (GUETS)</v>
      </c>
      <c r="I64" s="3" t="s">
        <v>41</v>
      </c>
      <c r="J64" s="3" t="s">
        <v>41</v>
      </c>
      <c r="K64" s="3" t="s">
        <v>42</v>
      </c>
      <c r="L64" s="3" t="s">
        <v>41</v>
      </c>
    </row>
    <row r="65" spans="1:12" ht="69">
      <c r="A65" s="3" t="s">
        <v>6285</v>
      </c>
      <c r="B65" s="3" t="s">
        <v>6286</v>
      </c>
      <c r="C65" s="3" t="s">
        <v>45</v>
      </c>
      <c r="D65" s="3" t="s">
        <v>46</v>
      </c>
      <c r="E65" s="3" t="s">
        <v>6081</v>
      </c>
      <c r="F65" s="3" t="s">
        <v>6287</v>
      </c>
      <c r="G65" s="3" t="s">
        <v>6288</v>
      </c>
      <c r="H65" s="3" t="str">
        <f>HYPERLINK("http://www.jccm.es/sede/tramite/LZ0","PROVISION DE LA JEFATURA DE SECCION DE NEUROLOGIA  EN LA GERENCIA DE ATENCION ESPECIALIZADA DEL HOSPITAL NACIONAL DE PARAPLEJICOS. SESCAM")</f>
        <v>PROVISION DE LA JEFATURA DE SECCION DE NEUROLOGIA  EN LA GERENCIA DE ATENCION ESPECIALIZADA DEL HOSPITAL NACIONAL DE PARAPLEJICOS. SESCAM</v>
      </c>
      <c r="I65" s="3" t="s">
        <v>41</v>
      </c>
      <c r="J65" s="3" t="s">
        <v>41</v>
      </c>
      <c r="K65" s="3" t="s">
        <v>42</v>
      </c>
      <c r="L65" s="3" t="s">
        <v>41</v>
      </c>
    </row>
    <row r="66" spans="1:12" ht="45.95">
      <c r="A66" s="3" t="s">
        <v>6289</v>
      </c>
      <c r="B66" s="3" t="s">
        <v>6290</v>
      </c>
      <c r="C66" s="3" t="s">
        <v>327</v>
      </c>
      <c r="D66" s="3" t="s">
        <v>46</v>
      </c>
      <c r="E66" s="3" t="s">
        <v>6081</v>
      </c>
      <c r="F66" s="3" t="s">
        <v>6081</v>
      </c>
      <c r="G66" s="3" t="s">
        <v>6291</v>
      </c>
      <c r="H66" s="3" t="str">
        <f>HYPERLINK("http://www.jccm.es/sede/tramite/KA2","PROCESOS DE PROVISION DEL PERSONAL  DE II.SS DEL SESCAM. PERSONAL FACULTATIVO.")</f>
        <v>PROCESOS DE PROVISION DEL PERSONAL  DE II.SS DEL SESCAM. PERSONAL FACULTATIVO.</v>
      </c>
      <c r="I66" s="3" t="s">
        <v>42</v>
      </c>
      <c r="J66" s="3" t="s">
        <v>41</v>
      </c>
      <c r="K66" s="3" t="s">
        <v>42</v>
      </c>
      <c r="L66" s="3" t="s">
        <v>41</v>
      </c>
    </row>
    <row r="67" spans="1:12" ht="80.45">
      <c r="A67" s="3" t="s">
        <v>6292</v>
      </c>
      <c r="B67" s="3" t="s">
        <v>6293</v>
      </c>
      <c r="C67" s="3" t="s">
        <v>327</v>
      </c>
      <c r="D67" s="3" t="s">
        <v>46</v>
      </c>
      <c r="E67" s="3" t="s">
        <v>6081</v>
      </c>
      <c r="F67" s="3" t="s">
        <v>6090</v>
      </c>
      <c r="G67" s="3" t="s">
        <v>6294</v>
      </c>
      <c r="H67" s="3" t="str">
        <f>HYPERLINK("http://www.jccm.es/sede/tramite/L0Z","SOLICITUD SUBSANACION DE LOS DEFECTOS MOTIVO DE EXCLUSION EN EL CONCURSO DE TRASLADOS PARA LA PROVISION DE PLAZAS DE PERSONAL ESTATUTARIO DEL SESCAM")</f>
        <v>SOLICITUD SUBSANACION DE LOS DEFECTOS MOTIVO DE EXCLUSION EN EL CONCURSO DE TRASLADOS PARA LA PROVISION DE PLAZAS DE PERSONAL ESTATUTARIO DEL SESCAM</v>
      </c>
      <c r="I67" s="3" t="s">
        <v>41</v>
      </c>
      <c r="J67" s="3" t="s">
        <v>41</v>
      </c>
      <c r="K67" s="3" t="s">
        <v>42</v>
      </c>
      <c r="L67" s="3" t="s">
        <v>41</v>
      </c>
    </row>
    <row r="68" spans="1:12" ht="45.95">
      <c r="A68" s="3" t="s">
        <v>6295</v>
      </c>
      <c r="B68" s="3" t="s">
        <v>6296</v>
      </c>
      <c r="C68" s="3" t="s">
        <v>327</v>
      </c>
      <c r="D68" s="3" t="s">
        <v>46</v>
      </c>
      <c r="E68" s="3" t="s">
        <v>6081</v>
      </c>
      <c r="F68" s="3" t="s">
        <v>6081</v>
      </c>
      <c r="G68" s="3" t="s">
        <v>6297</v>
      </c>
      <c r="H68" s="3" t="str">
        <f>HYPERLINK("http://www.jccm.es/sede/tramite/KWS","PROCESO DE PROVISION PERSONAL ESTATUTARIO FACULTATIVO ESPECIALISTA DE AREA Y ATENCION PRIMARIA")</f>
        <v>PROCESO DE PROVISION PERSONAL ESTATUTARIO FACULTATIVO ESPECIALISTA DE AREA Y ATENCION PRIMARIA</v>
      </c>
      <c r="I68" s="3" t="s">
        <v>41</v>
      </c>
      <c r="J68" s="3" t="s">
        <v>41</v>
      </c>
      <c r="K68" s="3" t="s">
        <v>42</v>
      </c>
      <c r="L68" s="3" t="s">
        <v>41</v>
      </c>
    </row>
    <row r="69" spans="1:12" ht="69">
      <c r="A69" s="3" t="s">
        <v>6298</v>
      </c>
      <c r="B69" s="3" t="s">
        <v>6299</v>
      </c>
      <c r="C69" s="3" t="s">
        <v>327</v>
      </c>
      <c r="D69" s="3" t="s">
        <v>46</v>
      </c>
      <c r="E69" s="3" t="s">
        <v>6081</v>
      </c>
      <c r="F69" s="3" t="s">
        <v>6081</v>
      </c>
      <c r="G69" s="3" t="s">
        <v>6300</v>
      </c>
      <c r="H69" s="3" t="str">
        <f>HYPERLINK("http://www.jccm.es/sede/tramite/KWT","PROCESO DE PROVISION DE PERSONAL ESTATUTARIO SANITARIO DE GRADO/DIPLOMADO Y SANITARIO TECNICO Y GESTION Y SERVICIOS.")</f>
        <v>PROCESO DE PROVISION DE PERSONAL ESTATUTARIO SANITARIO DE GRADO/DIPLOMADO Y SANITARIO TECNICO Y GESTION Y SERVICIOS.</v>
      </c>
      <c r="I69" s="3" t="s">
        <v>41</v>
      </c>
      <c r="J69" s="3" t="s">
        <v>41</v>
      </c>
      <c r="K69" s="3" t="s">
        <v>42</v>
      </c>
      <c r="L69" s="3" t="s">
        <v>41</v>
      </c>
    </row>
    <row r="70" spans="1:12" ht="80.45">
      <c r="A70" s="3" t="s">
        <v>6301</v>
      </c>
      <c r="B70" s="3" t="s">
        <v>6302</v>
      </c>
      <c r="C70" s="3" t="s">
        <v>327</v>
      </c>
      <c r="D70" s="3" t="s">
        <v>46</v>
      </c>
      <c r="E70" s="3" t="s">
        <v>6081</v>
      </c>
      <c r="F70" s="3" t="s">
        <v>6090</v>
      </c>
      <c r="G70" s="3" t="s">
        <v>6303</v>
      </c>
      <c r="H70" s="3" t="str">
        <f>HYPERLINK("http://www.jccm.es/sede/tramite/L3K","RECLAMACION CONTRA ADJUDICACION PROVISIONAL DE DESTINOS DEL CONCURSO DE TRASLADOS PERSONAL ESTATUTARIO DEL SESCAM, FACULTATIVO ESPECIALISTA DE AREA Y ATENCION PRIMARIA.")</f>
        <v>RECLAMACION CONTRA ADJUDICACION PROVISIONAL DE DESTINOS DEL CONCURSO DE TRASLADOS PERSONAL ESTATUTARIO DEL SESCAM, FACULTATIVO ESPECIALISTA DE AREA Y ATENCION PRIMARIA.</v>
      </c>
      <c r="I70" s="3" t="s">
        <v>41</v>
      </c>
      <c r="J70" s="3" t="s">
        <v>41</v>
      </c>
      <c r="K70" s="3" t="s">
        <v>42</v>
      </c>
      <c r="L70" s="3" t="s">
        <v>41</v>
      </c>
    </row>
    <row r="71" spans="1:12" ht="92.1">
      <c r="A71" s="3" t="s">
        <v>6304</v>
      </c>
      <c r="B71" s="3" t="s">
        <v>6305</v>
      </c>
      <c r="C71" s="3" t="s">
        <v>327</v>
      </c>
      <c r="D71" s="3" t="s">
        <v>46</v>
      </c>
      <c r="E71" s="3" t="s">
        <v>6081</v>
      </c>
      <c r="F71" s="3" t="s">
        <v>6090</v>
      </c>
      <c r="G71" s="3" t="s">
        <v>6306</v>
      </c>
      <c r="H71" s="3" t="str">
        <f>HYPERLINK("http://www.jccm.es/sede/tramite/L76","RECLAMACION ADJUDICACION PROVISIONAL DE DESTINOS DEL CONCURSO DE TRASLADOS PARA LA PROVISION DE PLAZAS DE PERSONAL ESTATUTARIO SANITARIO NO FACULTATIVO Y PERSONAL DE GESTION Y SERVICIOS.")</f>
        <v>RECLAMACION ADJUDICACION PROVISIONAL DE DESTINOS DEL CONCURSO DE TRASLADOS PARA LA PROVISION DE PLAZAS DE PERSONAL ESTATUTARIO SANITARIO NO FACULTATIVO Y PERSONAL DE GESTION Y SERVICIOS.</v>
      </c>
      <c r="I71" s="3" t="s">
        <v>41</v>
      </c>
      <c r="J71" s="3" t="s">
        <v>41</v>
      </c>
      <c r="K71" s="3" t="s">
        <v>42</v>
      </c>
      <c r="L71" s="3" t="s">
        <v>41</v>
      </c>
    </row>
    <row r="72" spans="1:12" ht="45.95">
      <c r="A72" s="3" t="s">
        <v>6307</v>
      </c>
      <c r="B72" s="3" t="s">
        <v>6308</v>
      </c>
      <c r="C72" s="3" t="s">
        <v>95</v>
      </c>
      <c r="D72" s="3" t="s">
        <v>46</v>
      </c>
      <c r="E72" s="3" t="s">
        <v>6081</v>
      </c>
      <c r="F72" s="3" t="s">
        <v>6081</v>
      </c>
      <c r="G72" s="3" t="s">
        <v>6309</v>
      </c>
      <c r="H72" s="3" t="str">
        <f>HYPERLINK("http://www.jccm.es/sede/tramite/L16","LISTADOS PROVISIONALES DE ADMITIDOS Y EXCLUIDOS CONCURSO PERSONAL ESTATUTARIO")</f>
        <v>LISTADOS PROVISIONALES DE ADMITIDOS Y EXCLUIDOS CONCURSO PERSONAL ESTATUTARIO</v>
      </c>
      <c r="I72" s="3" t="s">
        <v>41</v>
      </c>
      <c r="J72" s="3" t="s">
        <v>41</v>
      </c>
      <c r="K72" s="3" t="s">
        <v>42</v>
      </c>
      <c r="L72" s="3" t="s">
        <v>41</v>
      </c>
    </row>
    <row r="73" spans="1:12" ht="80.45">
      <c r="A73" s="3" t="s">
        <v>6310</v>
      </c>
      <c r="B73" s="3" t="s">
        <v>6311</v>
      </c>
      <c r="C73" s="3" t="s">
        <v>95</v>
      </c>
      <c r="D73" s="3" t="s">
        <v>46</v>
      </c>
      <c r="E73" s="3" t="s">
        <v>6081</v>
      </c>
      <c r="F73" s="3" t="s">
        <v>6090</v>
      </c>
      <c r="G73" s="3" t="s">
        <v>6312</v>
      </c>
      <c r="H73" s="3" t="str">
        <f>HYPERLINK("http://www.jccm.es/sede/tramite/L1S","SOLICITUD DE SUBSANACION DE DEFECTOS A LA PROVISION DE PUESTOS DE PERSONAL ESTATUTARIO SANITARIO, NO FACULTATIVO Y PERSONAL DE GESTION Y SERVICIOS DEL SESCAM")</f>
        <v>SOLICITUD DE SUBSANACION DE DEFECTOS A LA PROVISION DE PUESTOS DE PERSONAL ESTATUTARIO SANITARIO, NO FACULTATIVO Y PERSONAL DE GESTION Y SERVICIOS DEL SESCAM</v>
      </c>
      <c r="I73" s="3" t="s">
        <v>41</v>
      </c>
      <c r="J73" s="3" t="s">
        <v>41</v>
      </c>
      <c r="K73" s="3" t="s">
        <v>42</v>
      </c>
      <c r="L73" s="3" t="s">
        <v>41</v>
      </c>
    </row>
    <row r="74" spans="1:12" ht="80.45">
      <c r="A74" s="3" t="s">
        <v>6313</v>
      </c>
      <c r="B74" s="3" t="s">
        <v>6314</v>
      </c>
      <c r="C74" s="3" t="s">
        <v>95</v>
      </c>
      <c r="D74" s="3" t="s">
        <v>46</v>
      </c>
      <c r="E74" s="3" t="s">
        <v>6081</v>
      </c>
      <c r="F74" s="3" t="s">
        <v>6081</v>
      </c>
      <c r="G74" s="3" t="s">
        <v>6315</v>
      </c>
      <c r="H74" s="3" t="str">
        <f>HYPERLINK("http://www.jccm.es/sede/tramite/L2S","SUBSANACION  DE EXCLUSION EN EL CONCURSO DE TRASLADOS PARA LA PROVISION DE PLAZAS DE PERSONAL ESTATUTARIO DEL SESCAM NO FACULTATIVO CATEGORIA GESTION Y SERVICIOS")</f>
        <v>SUBSANACION  DE EXCLUSION EN EL CONCURSO DE TRASLADOS PARA LA PROVISION DE PLAZAS DE PERSONAL ESTATUTARIO DEL SESCAM NO FACULTATIVO CATEGORIA GESTION Y SERVICIOS</v>
      </c>
      <c r="I74" s="3" t="s">
        <v>41</v>
      </c>
      <c r="J74" s="3" t="s">
        <v>41</v>
      </c>
      <c r="K74" s="3" t="s">
        <v>42</v>
      </c>
      <c r="L74" s="3" t="s">
        <v>41</v>
      </c>
    </row>
    <row r="75" spans="1:12" ht="92.1">
      <c r="A75" s="3" t="s">
        <v>6316</v>
      </c>
      <c r="B75" s="3" t="s">
        <v>6317</v>
      </c>
      <c r="C75" s="3" t="s">
        <v>70</v>
      </c>
      <c r="D75" s="3" t="s">
        <v>46</v>
      </c>
      <c r="E75" s="3" t="s">
        <v>6081</v>
      </c>
      <c r="F75" s="3" t="s">
        <v>6318</v>
      </c>
      <c r="G75" s="3" t="s">
        <v>6319</v>
      </c>
      <c r="H75" s="3" t="str">
        <f>HYPERLINK("http://www.jccm.es/sede/tramite/LHI","RECLAMACION A LA RELACION PROVISIONAL DE ADMITIDOS Y EXCLUIDOS APROBADA POR COMISION DE VALORACION PARA LA PROVISION DE LA JEFATURA DE Sº DE ANESTESIOLOGIA Y REANIMACION EN LA GAI DE CIUDAD REAL.")</f>
        <v>RECLAMACION A LA RELACION PROVISIONAL DE ADMITIDOS Y EXCLUIDOS APROBADA POR COMISION DE VALORACION PARA LA PROVISION DE LA JEFATURA DE Sº DE ANESTESIOLOGIA Y REANIMACION EN LA GAI DE CIUDAD REAL.</v>
      </c>
      <c r="I75" s="3" t="s">
        <v>41</v>
      </c>
      <c r="J75" s="3" t="s">
        <v>41</v>
      </c>
      <c r="K75" s="3" t="s">
        <v>42</v>
      </c>
      <c r="L75" s="3" t="s">
        <v>41</v>
      </c>
    </row>
    <row r="76" spans="1:12" ht="103.5">
      <c r="A76" s="3" t="s">
        <v>6320</v>
      </c>
      <c r="B76" s="3" t="s">
        <v>6321</v>
      </c>
      <c r="C76" s="3" t="s">
        <v>70</v>
      </c>
      <c r="D76" s="3" t="s">
        <v>46</v>
      </c>
      <c r="E76" s="3" t="s">
        <v>6081</v>
      </c>
      <c r="F76" s="3" t="s">
        <v>6318</v>
      </c>
      <c r="G76" s="3" t="s">
        <v>6322</v>
      </c>
      <c r="H76" s="3" t="str">
        <f>HYPERLINK("http://www.jccm.es/sede/tramite/LHJ","RECLAMACION CONTRA EL ACUERDO PROVISIONAL DE LA COMISION DE VALORACION SOBRE EL RESULTADO PROVISIONAL DE LA CONVOCATORIA DE JEFE DE SERVICIO DE ANESTESIOLOGIA Y REANIMACION. GAI  DE CIUDAD REAL")</f>
        <v>RECLAMACION CONTRA EL ACUERDO PROVISIONAL DE LA COMISION DE VALORACION SOBRE EL RESULTADO PROVISIONAL DE LA CONVOCATORIA DE JEFE DE SERVICIO DE ANESTESIOLOGIA Y REANIMACION. GAI  DE CIUDAD REAL</v>
      </c>
      <c r="I76" s="3" t="s">
        <v>41</v>
      </c>
      <c r="J76" s="3" t="s">
        <v>41</v>
      </c>
      <c r="K76" s="3" t="s">
        <v>42</v>
      </c>
      <c r="L76" s="3" t="s">
        <v>41</v>
      </c>
    </row>
    <row r="77" spans="1:12" ht="92.1">
      <c r="A77" s="3" t="s">
        <v>6323</v>
      </c>
      <c r="B77" s="3" t="s">
        <v>6324</v>
      </c>
      <c r="C77" s="3" t="s">
        <v>45</v>
      </c>
      <c r="D77" s="3" t="s">
        <v>46</v>
      </c>
      <c r="E77" s="3" t="s">
        <v>6081</v>
      </c>
      <c r="F77" s="3" t="s">
        <v>6287</v>
      </c>
      <c r="G77" s="3" t="s">
        <v>6325</v>
      </c>
      <c r="H77" s="3" t="str">
        <f>HYPERLINK("http://www.jccm.es/sede/tramite/LL0","RECLAMACION RELACION PROVISIONAL PERSONAS ADMITIDAS Y EXCLUIDAS APROBADA POR COMISION DE VALORACION PARA LA PROVISION JEFATURA DE SERVICIO DE NEUMOLOGIA. GAE HNP.")</f>
        <v>RECLAMACION RELACION PROVISIONAL PERSONAS ADMITIDAS Y EXCLUIDAS APROBADA POR COMISION DE VALORACION PARA LA PROVISION JEFATURA DE SERVICIO DE NEUMOLOGIA. GAE HNP.</v>
      </c>
      <c r="I77" s="3" t="s">
        <v>41</v>
      </c>
      <c r="J77" s="3" t="s">
        <v>41</v>
      </c>
      <c r="K77" s="3" t="s">
        <v>42</v>
      </c>
      <c r="L77" s="3" t="s">
        <v>41</v>
      </c>
    </row>
    <row r="78" spans="1:12" ht="80.45">
      <c r="A78" s="3" t="s">
        <v>6326</v>
      </c>
      <c r="B78" s="3" t="s">
        <v>6327</v>
      </c>
      <c r="C78" s="3" t="s">
        <v>45</v>
      </c>
      <c r="D78" s="3" t="s">
        <v>46</v>
      </c>
      <c r="E78" s="3" t="s">
        <v>6081</v>
      </c>
      <c r="F78" s="3" t="s">
        <v>6287</v>
      </c>
      <c r="G78" s="3" t="s">
        <v>6328</v>
      </c>
      <c r="H78" s="3" t="str">
        <f>HYPERLINK("http://www.jccm.es/sede/tramite/LL1","RECLAMACION CONTRA EL ACUERDO PROVISIONAL COMISION DE VALORACION SOBRE EL RESULTADO PROVISIONAL  CONVOCATORIA DE JEFATURA DE SERVICIO DE NEUMOLOGIA. GAE  HNP.")</f>
        <v>RECLAMACION CONTRA EL ACUERDO PROVISIONAL COMISION DE VALORACION SOBRE EL RESULTADO PROVISIONAL  CONVOCATORIA DE JEFATURA DE SERVICIO DE NEUMOLOGIA. GAE  HNP.</v>
      </c>
      <c r="I78" s="3" t="s">
        <v>41</v>
      </c>
      <c r="J78" s="3" t="s">
        <v>41</v>
      </c>
      <c r="K78" s="3" t="s">
        <v>42</v>
      </c>
      <c r="L78" s="3" t="s">
        <v>41</v>
      </c>
    </row>
    <row r="79" spans="1:12" ht="69">
      <c r="A79" s="3" t="s">
        <v>6329</v>
      </c>
      <c r="B79" s="3" t="s">
        <v>6330</v>
      </c>
      <c r="C79" s="3" t="s">
        <v>70</v>
      </c>
      <c r="D79" s="3" t="s">
        <v>46</v>
      </c>
      <c r="E79" s="3" t="s">
        <v>6081</v>
      </c>
      <c r="F79" s="3" t="s">
        <v>6287</v>
      </c>
      <c r="G79" s="3" t="s">
        <v>6331</v>
      </c>
      <c r="H79" s="3" t="str">
        <f>HYPERLINK("http://www.jccm.es/sede/tramite/LM3","SEGUNDA CONVOCATORIA JEFATURA DE SECCION DE MEDICINA FISICA Y REHABILITACION . GERENCIA DE HOSPITAL NACIONAL DE PARAPLEJICOS.")</f>
        <v>SEGUNDA CONVOCATORIA JEFATURA DE SECCION DE MEDICINA FISICA Y REHABILITACION . GERENCIA DE HOSPITAL NACIONAL DE PARAPLEJICOS.</v>
      </c>
      <c r="I79" s="3" t="s">
        <v>41</v>
      </c>
      <c r="J79" s="3" t="s">
        <v>41</v>
      </c>
      <c r="K79" s="3" t="s">
        <v>42</v>
      </c>
      <c r="L79" s="3" t="s">
        <v>41</v>
      </c>
    </row>
    <row r="80" spans="1:12" ht="80.45">
      <c r="A80" s="3" t="s">
        <v>6332</v>
      </c>
      <c r="B80" s="3" t="s">
        <v>6333</v>
      </c>
      <c r="C80" s="3" t="s">
        <v>70</v>
      </c>
      <c r="D80" s="3" t="s">
        <v>46</v>
      </c>
      <c r="E80" s="3" t="s">
        <v>6081</v>
      </c>
      <c r="F80" s="3" t="s">
        <v>6287</v>
      </c>
      <c r="G80" s="3" t="s">
        <v>6334</v>
      </c>
      <c r="H80" s="3" t="str">
        <f>HYPERLINK("http://www.jccm.es/sede/tramite/LM4","RECLAMACION A  RELACION PROVISIONAL  ADMITIDOS/AS Y EXCLUIDOS/AS APROBADA POR COMISION DE VALORACION PARA LA  2ª PROVISION DE JEFE/A DE SECCION DE MED. FISICA Y REHABILITACION. HNP")</f>
        <v>RECLAMACION A  RELACION PROVISIONAL  ADMITIDOS/AS Y EXCLUIDOS/AS APROBADA POR COMISION DE VALORACION PARA LA  2ª PROVISION DE JEFE/A DE SECCION DE MED. FISICA Y REHABILITACION. HNP</v>
      </c>
      <c r="I80" s="3" t="s">
        <v>41</v>
      </c>
      <c r="J80" s="3" t="s">
        <v>41</v>
      </c>
      <c r="K80" s="3" t="s">
        <v>42</v>
      </c>
      <c r="L80" s="3" t="s">
        <v>41</v>
      </c>
    </row>
    <row r="81" spans="1:12" ht="103.5">
      <c r="A81" s="3" t="s">
        <v>6335</v>
      </c>
      <c r="B81" s="3" t="s">
        <v>6336</v>
      </c>
      <c r="C81" s="3" t="s">
        <v>70</v>
      </c>
      <c r="D81" s="3" t="s">
        <v>46</v>
      </c>
      <c r="E81" s="3" t="s">
        <v>6081</v>
      </c>
      <c r="F81" s="3" t="s">
        <v>6287</v>
      </c>
      <c r="G81" s="3" t="s">
        <v>6337</v>
      </c>
      <c r="H81" s="3" t="str">
        <f>HYPERLINK("http://www.jccm.es/sede/tramite/LM5","RECLAMACION CONTRA EL ACUERDO PROVISIONAL DE COMISION DE VALORACION SOBRE RESULTADO PROVISIONAL DE CONVOCATORIA DE JEFE/A DE SECCION DE MED FISICA Y REHABILITACION H.N. PARAPLEJICOS.")</f>
        <v>RECLAMACION CONTRA EL ACUERDO PROVISIONAL DE COMISION DE VALORACION SOBRE RESULTADO PROVISIONAL DE CONVOCATORIA DE JEFE/A DE SECCION DE MED FISICA Y REHABILITACION H.N. PARAPLEJICOS.</v>
      </c>
      <c r="I81" s="3" t="s">
        <v>41</v>
      </c>
      <c r="J81" s="3" t="s">
        <v>41</v>
      </c>
      <c r="K81" s="3" t="s">
        <v>42</v>
      </c>
      <c r="L81" s="3" t="s">
        <v>41</v>
      </c>
    </row>
    <row r="82" spans="1:12" ht="103.5">
      <c r="A82" s="3" t="s">
        <v>6338</v>
      </c>
      <c r="B82" s="3" t="s">
        <v>6339</v>
      </c>
      <c r="C82" s="3" t="s">
        <v>70</v>
      </c>
      <c r="D82" s="3" t="s">
        <v>46</v>
      </c>
      <c r="E82" s="3" t="s">
        <v>6081</v>
      </c>
      <c r="F82" s="3" t="s">
        <v>6162</v>
      </c>
      <c r="G82" s="3" t="s">
        <v>6340</v>
      </c>
      <c r="H82" s="3" t="str">
        <f>HYPERLINK("http://www.jccm.es/sede/tramite/LMW","PROVISION DE JEFATURA DE CARACTER ASISTENCIAL DEL SERVICIO DE SALUD DE CASTILLA LA MANCHA. JEFATURA DE SECCION DE OBSTETRICIA Y GINECOLOGIA. GERENCIA A. INTEGRADA DE ALCAZAR DE SAN JUAN (SESCAM)")</f>
        <v>PROVISION DE JEFATURA DE CARACTER ASISTENCIAL DEL SERVICIO DE SALUD DE CASTILLA LA MANCHA. JEFATURA DE SECCION DE OBSTETRICIA Y GINECOLOGIA. GERENCIA A. INTEGRADA DE ALCAZAR DE SAN JUAN (SESCAM)</v>
      </c>
      <c r="I82" s="3" t="s">
        <v>41</v>
      </c>
      <c r="J82" s="3" t="s">
        <v>41</v>
      </c>
      <c r="K82" s="3" t="s">
        <v>42</v>
      </c>
      <c r="L82" s="3" t="s">
        <v>41</v>
      </c>
    </row>
    <row r="83" spans="1:12" ht="92.1">
      <c r="A83" s="3" t="s">
        <v>6341</v>
      </c>
      <c r="B83" s="3" t="s">
        <v>6342</v>
      </c>
      <c r="C83" s="3" t="s">
        <v>70</v>
      </c>
      <c r="D83" s="3" t="s">
        <v>46</v>
      </c>
      <c r="E83" s="3" t="s">
        <v>6081</v>
      </c>
      <c r="F83" s="3" t="s">
        <v>6162</v>
      </c>
      <c r="G83" s="3" t="s">
        <v>6343</v>
      </c>
      <c r="H83" s="3" t="str">
        <f>HYPERLINK("http://www.jccm.es/sede/tramite/LMX","RECLAMACION A LA RELACION PROVISIONAL DE PERSONAS ADMITIDAS Y EXCLUIDAS APROBADA POR COMISION VALORACION JEFATURA DE SECCION DE OBSTETRICIA Y GINECOLOGIA.GAI ALCAZAR DE SAN JUAN")</f>
        <v>RECLAMACION A LA RELACION PROVISIONAL DE PERSONAS ADMITIDAS Y EXCLUIDAS APROBADA POR COMISION VALORACION JEFATURA DE SECCION DE OBSTETRICIA Y GINECOLOGIA.GAI ALCAZAR DE SAN JUAN</v>
      </c>
      <c r="I83" s="3" t="s">
        <v>42</v>
      </c>
      <c r="J83" s="3" t="s">
        <v>41</v>
      </c>
      <c r="K83" s="3" t="s">
        <v>42</v>
      </c>
      <c r="L83" s="3" t="s">
        <v>41</v>
      </c>
    </row>
    <row r="84" spans="1:12" ht="92.1">
      <c r="A84" s="3" t="s">
        <v>6344</v>
      </c>
      <c r="B84" s="3" t="s">
        <v>6345</v>
      </c>
      <c r="C84" s="3" t="s">
        <v>70</v>
      </c>
      <c r="D84" s="3" t="s">
        <v>46</v>
      </c>
      <c r="E84" s="3" t="s">
        <v>6081</v>
      </c>
      <c r="F84" s="3" t="s">
        <v>6162</v>
      </c>
      <c r="G84" s="3" t="s">
        <v>6346</v>
      </c>
      <c r="H84" s="3" t="str">
        <f>HYPERLINK("http://www.jccm.es/sede/tramite/LMY","RECLAMACION CONTRA EL ACUERDO DE LA COMISION DE VALORACION SOBRE EL RESULTADO PROVISIONAL DE LA CONVOCATORIA DE JEFE DE SECCION DE OBST Y GINEC. GAI DE ALCAZAR SAN JUAN.")</f>
        <v>RECLAMACION CONTRA EL ACUERDO DE LA COMISION DE VALORACION SOBRE EL RESULTADO PROVISIONAL DE LA CONVOCATORIA DE JEFE DE SECCION DE OBST Y GINEC. GAI DE ALCAZAR SAN JUAN.</v>
      </c>
      <c r="I84" s="3" t="s">
        <v>41</v>
      </c>
      <c r="J84" s="3" t="s">
        <v>41</v>
      </c>
      <c r="K84" s="3" t="s">
        <v>42</v>
      </c>
      <c r="L84" s="3" t="s">
        <v>41</v>
      </c>
    </row>
    <row r="85" spans="1:12" ht="103.5">
      <c r="A85" s="3" t="s">
        <v>6347</v>
      </c>
      <c r="B85" s="3" t="s">
        <v>6348</v>
      </c>
      <c r="C85" s="3" t="s">
        <v>45</v>
      </c>
      <c r="D85" s="3" t="s">
        <v>46</v>
      </c>
      <c r="E85" s="3" t="s">
        <v>6081</v>
      </c>
      <c r="F85" s="3" t="s">
        <v>6081</v>
      </c>
      <c r="G85" s="3" t="s">
        <v>6349</v>
      </c>
      <c r="H85" s="3" t="str">
        <f>HYPERLINK("http://www.jccm.es/sede/tramite/LOQ","RECLAMACION A LA RELACION PROVISIONAL DE PERSONAS ADMITIDAS Y EXCLUIDAS APROBADA POR COMISION VALORACION JEFATURA DE SERVICIO DE MEDICINA INTENSIVA. GERENCIA DE ATENCION INTEGRADA DE ALBACETE.")</f>
        <v>RECLAMACION A LA RELACION PROVISIONAL DE PERSONAS ADMITIDAS Y EXCLUIDAS APROBADA POR COMISION VALORACION JEFATURA DE SERVICIO DE MEDICINA INTENSIVA. GERENCIA DE ATENCION INTEGRADA DE ALBACETE.</v>
      </c>
      <c r="I85" s="3" t="s">
        <v>42</v>
      </c>
      <c r="J85" s="3" t="s">
        <v>41</v>
      </c>
      <c r="K85" s="3" t="s">
        <v>42</v>
      </c>
      <c r="L85" s="3" t="s">
        <v>41</v>
      </c>
    </row>
    <row r="86" spans="1:12" ht="92.1">
      <c r="A86" s="3" t="s">
        <v>6350</v>
      </c>
      <c r="B86" s="3" t="s">
        <v>6351</v>
      </c>
      <c r="C86" s="3" t="s">
        <v>45</v>
      </c>
      <c r="D86" s="3" t="s">
        <v>46</v>
      </c>
      <c r="E86" s="3" t="s">
        <v>6081</v>
      </c>
      <c r="F86" s="3" t="s">
        <v>6081</v>
      </c>
      <c r="G86" s="3" t="s">
        <v>6352</v>
      </c>
      <c r="H86" s="3" t="str">
        <f>HYPERLINK("http://www.jccm.es/sede/tramite/LOR","RECLAMACION CONTRA EL ACUERDO DE LA COMISION DE VALORACION SOBRE EL RESULTADO PROVISIONAL DE LA CONVOCATORIA DE LA JEFATURA DE SERVICIO DE MEDICINA INTENSIVA DE LA GAI DE ALBACETE (SESCAM).")</f>
        <v>RECLAMACION CONTRA EL ACUERDO DE LA COMISION DE VALORACION SOBRE EL RESULTADO PROVISIONAL DE LA CONVOCATORIA DE LA JEFATURA DE SERVICIO DE MEDICINA INTENSIVA DE LA GAI DE ALBACETE (SESCAM).</v>
      </c>
      <c r="I86" s="3" t="s">
        <v>41</v>
      </c>
      <c r="J86" s="3" t="s">
        <v>41</v>
      </c>
      <c r="K86" s="3" t="s">
        <v>42</v>
      </c>
      <c r="L86" s="3" t="s">
        <v>41</v>
      </c>
    </row>
    <row r="87" spans="1:12" ht="103.5">
      <c r="A87" s="3" t="s">
        <v>6353</v>
      </c>
      <c r="B87" s="3" t="s">
        <v>6354</v>
      </c>
      <c r="C87" s="3" t="s">
        <v>45</v>
      </c>
      <c r="D87" s="3" t="s">
        <v>46</v>
      </c>
      <c r="E87" s="3" t="s">
        <v>6081</v>
      </c>
      <c r="F87" s="3" t="s">
        <v>6166</v>
      </c>
      <c r="G87" s="3" t="s">
        <v>6355</v>
      </c>
      <c r="H87" s="3" t="str">
        <f>HYPERLINK("http://www.jccm.es/sede/tramite/LOW","RECLAMACION A LA RELACION PROVISIONAL DE PERSONAS ADMITIDAS Y EXCLUIDAS APROBADA POR LA COMISION VALORACION JEFATURA DE SERVICIO DE OBSTETRICIA Y GINECOLOGIA. GAI DE ALBACETE")</f>
        <v>RECLAMACION A LA RELACION PROVISIONAL DE PERSONAS ADMITIDAS Y EXCLUIDAS APROBADA POR LA COMISION VALORACION JEFATURA DE SERVICIO DE OBSTETRICIA Y GINECOLOGIA. GAI DE ALBACETE</v>
      </c>
      <c r="I87" s="3" t="s">
        <v>41</v>
      </c>
      <c r="J87" s="3" t="s">
        <v>41</v>
      </c>
      <c r="K87" s="3" t="s">
        <v>42</v>
      </c>
      <c r="L87" s="3" t="s">
        <v>41</v>
      </c>
    </row>
    <row r="88" spans="1:12" ht="103.5">
      <c r="A88" s="3" t="s">
        <v>6356</v>
      </c>
      <c r="B88" s="3" t="s">
        <v>6357</v>
      </c>
      <c r="C88" s="3" t="s">
        <v>45</v>
      </c>
      <c r="D88" s="3" t="s">
        <v>46</v>
      </c>
      <c r="E88" s="3" t="s">
        <v>6081</v>
      </c>
      <c r="F88" s="3" t="s">
        <v>6166</v>
      </c>
      <c r="G88" s="3" t="s">
        <v>6358</v>
      </c>
      <c r="H88" s="3" t="str">
        <f>HYPERLINK("http://www.jccm.es/sede/tramite/LOX","RECLAMACION CONTRA EL ACUERDO DE LA COMISION DE VALORACION SOBRE EL RESULTADO PROVISIONAL DE LA CONVOCATORIA DE LA JEFATURA DE SERVICIO DE OBSTETRICIA Y GINECOLOGIA. GAI DE ALBACETE (SESCAM)")</f>
        <v>RECLAMACION CONTRA EL ACUERDO DE LA COMISION DE VALORACION SOBRE EL RESULTADO PROVISIONAL DE LA CONVOCATORIA DE LA JEFATURA DE SERVICIO DE OBSTETRICIA Y GINECOLOGIA. GAI DE ALBACETE (SESCAM)</v>
      </c>
      <c r="I88" s="3" t="s">
        <v>41</v>
      </c>
      <c r="J88" s="3" t="s">
        <v>41</v>
      </c>
      <c r="K88" s="3" t="s">
        <v>42</v>
      </c>
      <c r="L88" s="3" t="s">
        <v>41</v>
      </c>
    </row>
    <row r="89" spans="1:12" ht="80.45">
      <c r="A89" s="3" t="s">
        <v>6359</v>
      </c>
      <c r="B89" s="3" t="s">
        <v>6360</v>
      </c>
      <c r="C89" s="3" t="s">
        <v>6361</v>
      </c>
      <c r="D89" s="3" t="s">
        <v>46</v>
      </c>
      <c r="E89" s="3" t="s">
        <v>6081</v>
      </c>
      <c r="F89" s="3" t="s">
        <v>6081</v>
      </c>
      <c r="G89" s="3" t="s">
        <v>6362</v>
      </c>
      <c r="H89" s="3" t="str">
        <f>HYPERLINK("http://www.jccm.es/sede/tramite/LTR","PROVISION DE JEFATURA DE CARACTER ASISTENCIAL DEL SERVICIO DE SALUD DE CASILLA-LA MANCHA. JEFATURA DE SERVICIO DE CARDIOLOGIA, GERENCIA ATENCION INTEGRADA DE CIUDAD REAL.")</f>
        <v>PROVISION DE JEFATURA DE CARACTER ASISTENCIAL DEL SERVICIO DE SALUD DE CASILLA-LA MANCHA. JEFATURA DE SERVICIO DE CARDIOLOGIA, GERENCIA ATENCION INTEGRADA DE CIUDAD REAL.</v>
      </c>
      <c r="I89" s="3" t="s">
        <v>42</v>
      </c>
      <c r="J89" s="3" t="s">
        <v>41</v>
      </c>
      <c r="K89" s="3" t="s">
        <v>42</v>
      </c>
      <c r="L89" s="3" t="s">
        <v>41</v>
      </c>
    </row>
    <row r="90" spans="1:12" ht="80.45">
      <c r="A90" s="3" t="s">
        <v>6363</v>
      </c>
      <c r="B90" s="3" t="s">
        <v>6364</v>
      </c>
      <c r="C90" s="3" t="s">
        <v>6361</v>
      </c>
      <c r="D90" s="3" t="s">
        <v>46</v>
      </c>
      <c r="E90" s="3" t="s">
        <v>6081</v>
      </c>
      <c r="F90" s="3" t="s">
        <v>6081</v>
      </c>
      <c r="G90" s="3" t="s">
        <v>6365</v>
      </c>
      <c r="H90" s="3" t="str">
        <f>HYPERLINK("http://www.jccm.es/sede/tramite/LTS","RECLAMACION A LA RELACION PROVISIONAL DE ADMITIDOS Y EXCLUIDOS APROBADA POR COMISION DE VALORACION EN LA PROVISION DE LA JEFATURA DE SERVICIO DE CARDIOLOGIA GAI DE CIUDAD REAL.")</f>
        <v>RECLAMACION A LA RELACION PROVISIONAL DE ADMITIDOS Y EXCLUIDOS APROBADA POR COMISION DE VALORACION EN LA PROVISION DE LA JEFATURA DE SERVICIO DE CARDIOLOGIA GAI DE CIUDAD REAL.</v>
      </c>
      <c r="I90" s="3" t="s">
        <v>42</v>
      </c>
      <c r="J90" s="3" t="s">
        <v>41</v>
      </c>
      <c r="K90" s="3" t="s">
        <v>42</v>
      </c>
      <c r="L90" s="3" t="s">
        <v>41</v>
      </c>
    </row>
    <row r="91" spans="1:12" ht="92.1">
      <c r="A91" s="3" t="s">
        <v>6366</v>
      </c>
      <c r="B91" s="3" t="s">
        <v>6367</v>
      </c>
      <c r="C91" s="3" t="s">
        <v>6361</v>
      </c>
      <c r="D91" s="3" t="s">
        <v>46</v>
      </c>
      <c r="E91" s="3" t="s">
        <v>6081</v>
      </c>
      <c r="F91" s="3" t="s">
        <v>6081</v>
      </c>
      <c r="G91" s="3" t="s">
        <v>6368</v>
      </c>
      <c r="H91" s="3" t="str">
        <f>HYPERLINK("http://www.jccm.es/sede/tramite/LTT","RECLAMACION CONTRA EL ACUERDO PROVISIONAL DE LA COMISION DE VALORACION SOBRE EL RESULTADO PROVISIONAL DE LA CONVOCATORIA DE JEFATURA DE SERVICIO CARDIOLOGIA  GAI DE CIUDAD REAL.")</f>
        <v>RECLAMACION CONTRA EL ACUERDO PROVISIONAL DE LA COMISION DE VALORACION SOBRE EL RESULTADO PROVISIONAL DE LA CONVOCATORIA DE JEFATURA DE SERVICIO CARDIOLOGIA  GAI DE CIUDAD REAL.</v>
      </c>
      <c r="I91" s="3" t="s">
        <v>42</v>
      </c>
      <c r="J91" s="3" t="s">
        <v>41</v>
      </c>
      <c r="K91" s="3" t="s">
        <v>42</v>
      </c>
      <c r="L91" s="3" t="s">
        <v>41</v>
      </c>
    </row>
    <row r="92" spans="1:12" ht="161.1">
      <c r="A92" s="3" t="s">
        <v>6369</v>
      </c>
      <c r="B92" s="3" t="s">
        <v>6370</v>
      </c>
      <c r="C92" s="3" t="s">
        <v>6371</v>
      </c>
      <c r="D92" s="3" t="s">
        <v>46</v>
      </c>
      <c r="E92" s="3" t="s">
        <v>6081</v>
      </c>
      <c r="F92" s="3" t="s">
        <v>6081</v>
      </c>
      <c r="G92" s="3" t="s">
        <v>6372</v>
      </c>
      <c r="H92" s="3" t="str">
        <f>HYPERLINK("http://www.jccm.es/sede/tramite/LUS","RECLAMACION A LA RELACION PROVISIONAL DE ADMITIDOS Y EXCLUIDOS APROBADA POR COMISION DE VALORACION EN LA PROVISION DE LA JEF. SERV. MEDICINA INTENSIVA GERENCIA DE ATENCION ESPECIALIZADA TOLEDO.")</f>
        <v>RECLAMACION A LA RELACION PROVISIONAL DE ADMITIDOS Y EXCLUIDOS APROBADA POR COMISION DE VALORACION EN LA PROVISION DE LA JEF. SERV. MEDICINA INTENSIVA GERENCIA DE ATENCION ESPECIALIZADA TOLEDO.</v>
      </c>
      <c r="I92" s="3" t="s">
        <v>42</v>
      </c>
      <c r="J92" s="3" t="s">
        <v>41</v>
      </c>
      <c r="K92" s="3" t="s">
        <v>42</v>
      </c>
      <c r="L92" s="3" t="s">
        <v>41</v>
      </c>
    </row>
    <row r="93" spans="1:12" ht="161.1">
      <c r="A93" s="3" t="s">
        <v>6373</v>
      </c>
      <c r="B93" s="3" t="s">
        <v>6374</v>
      </c>
      <c r="C93" s="3" t="s">
        <v>6371</v>
      </c>
      <c r="D93" s="3" t="s">
        <v>46</v>
      </c>
      <c r="E93" s="3" t="s">
        <v>6081</v>
      </c>
      <c r="F93" s="3" t="s">
        <v>6081</v>
      </c>
      <c r="G93" s="3" t="s">
        <v>6375</v>
      </c>
      <c r="H93" s="3" t="str">
        <f>HYPERLINK("http://www.jccm.es/sede/tramite/LUR","RECLAMACION CONTRA EL ACUERDO PROVISIONAL DE LA COMISION DE VALORACION SOBRE EL RESULTADO PROVISIONAL DE LA CONVOCATORIA DE JEF. DE SERV. MEDIC. INTENSIVA GERENCIA ATENCION ESPECIALIZADA TOLEDO.")</f>
        <v>RECLAMACION CONTRA EL ACUERDO PROVISIONAL DE LA COMISION DE VALORACION SOBRE EL RESULTADO PROVISIONAL DE LA CONVOCATORIA DE JEF. DE SERV. MEDIC. INTENSIVA GERENCIA ATENCION ESPECIALIZADA TOLEDO.</v>
      </c>
      <c r="I93" s="3" t="s">
        <v>42</v>
      </c>
      <c r="J93" s="3" t="s">
        <v>41</v>
      </c>
      <c r="K93" s="3" t="s">
        <v>42</v>
      </c>
      <c r="L93" s="3" t="s">
        <v>41</v>
      </c>
    </row>
    <row r="94" spans="1:12" ht="161.1">
      <c r="A94" s="3" t="s">
        <v>6376</v>
      </c>
      <c r="B94" s="3" t="s">
        <v>6377</v>
      </c>
      <c r="C94" s="3" t="s">
        <v>6378</v>
      </c>
      <c r="D94" s="3" t="s">
        <v>46</v>
      </c>
      <c r="E94" s="3" t="s">
        <v>6081</v>
      </c>
      <c r="F94" s="3" t="s">
        <v>6081</v>
      </c>
      <c r="G94" s="3" t="s">
        <v>6379</v>
      </c>
      <c r="H94" s="3" t="str">
        <f>HYPERLINK("http://www.jccm.es/sede/tramite/LUT","PROVISION DE JEFATURA DE CARACTER ASISTENCIAL DEL SERVICIO DE SALUD DE CASILLA-LA MANCHA. JEFATURA DE SERVICIO DE ANESTESILOGIA Y REANIMACION. GERENCIA DE ATENCION INTEGRADA ALBACETE.")</f>
        <v>PROVISION DE JEFATURA DE CARACTER ASISTENCIAL DEL SERVICIO DE SALUD DE CASILLA-LA MANCHA. JEFATURA DE SERVICIO DE ANESTESILOGIA Y REANIMACION. GERENCIA DE ATENCION INTEGRADA ALBACETE.</v>
      </c>
      <c r="I94" s="3" t="s">
        <v>41</v>
      </c>
      <c r="J94" s="3" t="s">
        <v>41</v>
      </c>
      <c r="K94" s="3" t="s">
        <v>42</v>
      </c>
      <c r="L94" s="3" t="s">
        <v>41</v>
      </c>
    </row>
    <row r="95" spans="1:12" ht="161.1">
      <c r="A95" s="3" t="s">
        <v>6380</v>
      </c>
      <c r="B95" s="3" t="s">
        <v>6381</v>
      </c>
      <c r="C95" s="3" t="s">
        <v>6378</v>
      </c>
      <c r="D95" s="3" t="s">
        <v>46</v>
      </c>
      <c r="E95" s="3" t="s">
        <v>6081</v>
      </c>
      <c r="F95" s="3" t="s">
        <v>6081</v>
      </c>
      <c r="G95" s="3" t="s">
        <v>6382</v>
      </c>
      <c r="H95" s="3" t="str">
        <f>HYPERLINK("http://www.jccm.es/sede/tramite/LUV","RECLAMACION CONTRA EL ACUERDO DE LA COMISION DE VALORACION SOBRE EL RESULTADO PROVISIONAL DE LA CONVOCATORIA DE JEFATURA DE SERVICIO DE ANESTESIOLOGIA Y REANIMA. GAI DE ALBACETE. SESCAM.")</f>
        <v>RECLAMACION CONTRA EL ACUERDO DE LA COMISION DE VALORACION SOBRE EL RESULTADO PROVISIONAL DE LA CONVOCATORIA DE JEFATURA DE SERVICIO DE ANESTESIOLOGIA Y REANIMA. GAI DE ALBACETE. SESCAM.</v>
      </c>
      <c r="I95" s="3" t="s">
        <v>42</v>
      </c>
      <c r="J95" s="3" t="s">
        <v>41</v>
      </c>
      <c r="K95" s="3" t="s">
        <v>42</v>
      </c>
      <c r="L95" s="3" t="s">
        <v>41</v>
      </c>
    </row>
    <row r="96" spans="1:12" ht="161.1">
      <c r="A96" s="3" t="s">
        <v>6383</v>
      </c>
      <c r="B96" s="3" t="s">
        <v>6384</v>
      </c>
      <c r="C96" s="3" t="s">
        <v>6378</v>
      </c>
      <c r="D96" s="3" t="s">
        <v>46</v>
      </c>
      <c r="E96" s="3" t="s">
        <v>6081</v>
      </c>
      <c r="F96" s="3" t="s">
        <v>6081</v>
      </c>
      <c r="G96" s="3" t="s">
        <v>6385</v>
      </c>
      <c r="H96" s="3" t="str">
        <f>HYPERLINK("http://www.jccm.es/sede/tramite/LUU","RECLAMACION A LA RELACION PROVISIONAL DE PERSONAS ADMITIDAS Y EXCLUIDAS APROBADA POR COMISION VALORACION JEFATURA DE SERVICIO DE ANESTESIOLOGIA Y REANIMACION. GAI DE ALBACETE.")</f>
        <v>RECLAMACION A LA RELACION PROVISIONAL DE PERSONAS ADMITIDAS Y EXCLUIDAS APROBADA POR COMISION VALORACION JEFATURA DE SERVICIO DE ANESTESIOLOGIA Y REANIMACION. GAI DE ALBACETE.</v>
      </c>
      <c r="I96" s="3" t="s">
        <v>41</v>
      </c>
      <c r="J96" s="3" t="s">
        <v>41</v>
      </c>
      <c r="K96" s="3" t="s">
        <v>42</v>
      </c>
      <c r="L96" s="3" t="s">
        <v>41</v>
      </c>
    </row>
    <row r="97" spans="1:12" ht="103.5">
      <c r="A97" s="3" t="s">
        <v>6386</v>
      </c>
      <c r="B97" s="3" t="s">
        <v>6387</v>
      </c>
      <c r="C97" s="3" t="s">
        <v>45</v>
      </c>
      <c r="D97" s="3" t="s">
        <v>46</v>
      </c>
      <c r="E97" s="3" t="s">
        <v>6081</v>
      </c>
      <c r="F97" s="3" t="s">
        <v>6166</v>
      </c>
      <c r="G97" s="3" t="s">
        <v>6388</v>
      </c>
      <c r="H97" s="3" t="str">
        <f>HYPERLINK("http://www.jccm.es/sede/tramite/LXR","PROVISION DE JEFATURA DE CARACTER ASISTENCIAL DEL SERVICIO DE SALUD DE CASILLA-LA MANCHA. JEFATURA DE SERVICIO DE PEDIATRIA Y SUS AREAS ESPECIFICAS. GERENCIA DE ATENCION INTEGRADA ALBACETE.")</f>
        <v>PROVISION DE JEFATURA DE CARACTER ASISTENCIAL DEL SERVICIO DE SALUD DE CASILLA-LA MANCHA. JEFATURA DE SERVICIO DE PEDIATRIA Y SUS AREAS ESPECIFICAS. GERENCIA DE ATENCION INTEGRADA ALBACETE.</v>
      </c>
      <c r="I97" s="3" t="s">
        <v>41</v>
      </c>
      <c r="J97" s="3" t="s">
        <v>41</v>
      </c>
      <c r="K97" s="3" t="s">
        <v>42</v>
      </c>
      <c r="L97" s="3" t="s">
        <v>41</v>
      </c>
    </row>
    <row r="98" spans="1:12" ht="103.5">
      <c r="A98" s="3" t="s">
        <v>6389</v>
      </c>
      <c r="B98" s="3" t="s">
        <v>6390</v>
      </c>
      <c r="C98" s="3" t="s">
        <v>45</v>
      </c>
      <c r="D98" s="3" t="s">
        <v>46</v>
      </c>
      <c r="E98" s="3" t="s">
        <v>6081</v>
      </c>
      <c r="F98" s="3" t="s">
        <v>6166</v>
      </c>
      <c r="G98" s="3" t="s">
        <v>6391</v>
      </c>
      <c r="H98" s="3" t="str">
        <f>HYPERLINK("http://www.jccm.es/sede/tramite/LXZ","PROVISION DE JEFATURA DE CARACTER ASISTENCIAL DEL SERVICIO DE SALUD DE CASILLA-LA MANCHA. JEFATURA DE SECCION DE CIRUGIA GENERAL Y DEL APARATO DIGESTIVO. GERENCIA DE ATENCION INTEGRADA ALBACETE.")</f>
        <v>PROVISION DE JEFATURA DE CARACTER ASISTENCIAL DEL SERVICIO DE SALUD DE CASILLA-LA MANCHA. JEFATURA DE SECCION DE CIRUGIA GENERAL Y DEL APARATO DIGESTIVO. GERENCIA DE ATENCION INTEGRADA ALBACETE.</v>
      </c>
      <c r="I98" s="3" t="s">
        <v>41</v>
      </c>
      <c r="J98" s="3" t="s">
        <v>41</v>
      </c>
      <c r="K98" s="3" t="s">
        <v>42</v>
      </c>
      <c r="L98" s="3" t="s">
        <v>41</v>
      </c>
    </row>
    <row r="99" spans="1:12" ht="126.6">
      <c r="A99" s="3" t="s">
        <v>6392</v>
      </c>
      <c r="B99" s="3" t="s">
        <v>6393</v>
      </c>
      <c r="C99" s="3" t="s">
        <v>6394</v>
      </c>
      <c r="D99" s="3" t="s">
        <v>46</v>
      </c>
      <c r="E99" s="3" t="s">
        <v>6081</v>
      </c>
      <c r="F99" s="3" t="s">
        <v>6395</v>
      </c>
      <c r="G99" s="3" t="s">
        <v>6396</v>
      </c>
      <c r="H99" s="3" t="str">
        <f>HYPERLINK("http://www.jccm.es/sede/tramite/LYB","PROVISION DE JEFATURA DE CARACTER ASISTENCIAL DEL SERVICIO DE SALUD DE CASTILLA LA MANCHA. JEFATURA DE SECCION DE MEDICINA INTERNA. GERENCIA ATENCION INTEGRADA DE TOMELLOSO (SESCAM)")</f>
        <v>PROVISION DE JEFATURA DE CARACTER ASISTENCIAL DEL SERVICIO DE SALUD DE CASTILLA LA MANCHA. JEFATURA DE SECCION DE MEDICINA INTERNA. GERENCIA ATENCION INTEGRADA DE TOMELLOSO (SESCAM)</v>
      </c>
      <c r="I99" s="3" t="s">
        <v>41</v>
      </c>
      <c r="J99" s="3" t="s">
        <v>41</v>
      </c>
      <c r="K99" s="3" t="s">
        <v>42</v>
      </c>
      <c r="L99" s="3" t="s">
        <v>41</v>
      </c>
    </row>
    <row r="100" spans="1:12" ht="92.1">
      <c r="A100" s="3" t="s">
        <v>6397</v>
      </c>
      <c r="B100" s="3" t="s">
        <v>6398</v>
      </c>
      <c r="C100" s="3" t="s">
        <v>45</v>
      </c>
      <c r="D100" s="3" t="s">
        <v>46</v>
      </c>
      <c r="E100" s="3" t="s">
        <v>6081</v>
      </c>
      <c r="F100" s="3" t="s">
        <v>6395</v>
      </c>
      <c r="G100" s="3" t="s">
        <v>6399</v>
      </c>
      <c r="H100" s="3" t="str">
        <f>HYPERLINK("http://www.jccm.es/sede/tramite/LYE","PROVISION DE JEFATURA DE CARACTER ASISTENCIAL DEL SERVICIO DE SALUD DE CASTILLA LA MANCHA. JEFATURA DE SECCION DE APARATO DIGESTIVO. GERENCIA ATENCION INTEGRADA DE TOMELLOSO (SESCAM)")</f>
        <v>PROVISION DE JEFATURA DE CARACTER ASISTENCIAL DEL SERVICIO DE SALUD DE CASTILLA LA MANCHA. JEFATURA DE SECCION DE APARATO DIGESTIVO. GERENCIA ATENCION INTEGRADA DE TOMELLOSO (SESCAM)</v>
      </c>
      <c r="I100" s="3" t="s">
        <v>41</v>
      </c>
      <c r="J100" s="3" t="s">
        <v>41</v>
      </c>
      <c r="K100" s="3" t="s">
        <v>42</v>
      </c>
      <c r="L100" s="3" t="s">
        <v>41</v>
      </c>
    </row>
    <row r="101" spans="1:12" ht="103.5">
      <c r="A101" s="3" t="s">
        <v>6400</v>
      </c>
      <c r="B101" s="3" t="s">
        <v>6401</v>
      </c>
      <c r="C101" s="3" t="s">
        <v>45</v>
      </c>
      <c r="D101" s="3" t="s">
        <v>46</v>
      </c>
      <c r="E101" s="3" t="s">
        <v>6081</v>
      </c>
      <c r="F101" s="3" t="s">
        <v>6395</v>
      </c>
      <c r="G101" s="3" t="s">
        <v>6402</v>
      </c>
      <c r="H101" s="3" t="str">
        <f>HYPERLINK("http://www.jccm.es/sede/tramite/LYJ","PROVISION DE JEFATURA DE CARACTER ASISTENCIAL DEL SERVICIO DE SALUD DE CASTILLA LA MANCHA. JEFATURA DE SECCION DE CIRUGIA ORTOPEDICA Y TRAUMATO. GERENCIA ATENCION INTEGRADA DE TOMELLOSO (SESCAM)")</f>
        <v>PROVISION DE JEFATURA DE CARACTER ASISTENCIAL DEL SERVICIO DE SALUD DE CASTILLA LA MANCHA. JEFATURA DE SECCION DE CIRUGIA ORTOPEDICA Y TRAUMATO. GERENCIA ATENCION INTEGRADA DE TOMELLOSO (SESCAM)</v>
      </c>
      <c r="I101" s="3" t="s">
        <v>41</v>
      </c>
      <c r="J101" s="3" t="s">
        <v>41</v>
      </c>
      <c r="K101" s="3" t="s">
        <v>42</v>
      </c>
      <c r="L101" s="3" t="s">
        <v>41</v>
      </c>
    </row>
    <row r="102" spans="1:12" ht="92.1">
      <c r="A102" s="3" t="s">
        <v>6403</v>
      </c>
      <c r="B102" s="3" t="s">
        <v>6404</v>
      </c>
      <c r="C102" s="3" t="s">
        <v>45</v>
      </c>
      <c r="D102" s="3" t="s">
        <v>46</v>
      </c>
      <c r="E102" s="3" t="s">
        <v>6081</v>
      </c>
      <c r="F102" s="3" t="s">
        <v>6318</v>
      </c>
      <c r="G102" s="3" t="s">
        <v>6405</v>
      </c>
      <c r="H102" s="3" t="str">
        <f>HYPERLINK("http://www.jccm.es/sede/tramite/LYN","PROVISION DE DOS JEFATURAS DE CARACTER ASISTENCIAL DEL SERVICIO DE SALUD DE CASILLA-LA MANCHA. DOS JEFATURAS DE SECCION DE MEDICINA INTENSIVA, GERENCIA ATENCION INTEGRADA DE CIUDAD REAL.")</f>
        <v>PROVISION DE DOS JEFATURAS DE CARACTER ASISTENCIAL DEL SERVICIO DE SALUD DE CASILLA-LA MANCHA. DOS JEFATURAS DE SECCION DE MEDICINA INTENSIVA, GERENCIA ATENCION INTEGRADA DE CIUDAD REAL.</v>
      </c>
      <c r="I102" s="3" t="s">
        <v>41</v>
      </c>
      <c r="J102" s="3" t="s">
        <v>41</v>
      </c>
      <c r="K102" s="3" t="s">
        <v>42</v>
      </c>
      <c r="L102" s="3" t="s">
        <v>41</v>
      </c>
    </row>
    <row r="103" spans="1:12" ht="92.1">
      <c r="A103" s="3" t="s">
        <v>6406</v>
      </c>
      <c r="B103" s="3" t="s">
        <v>6407</v>
      </c>
      <c r="C103" s="3" t="s">
        <v>45</v>
      </c>
      <c r="D103" s="3" t="s">
        <v>46</v>
      </c>
      <c r="E103" s="3" t="s">
        <v>6081</v>
      </c>
      <c r="F103" s="3" t="s">
        <v>6318</v>
      </c>
      <c r="G103" s="3" t="s">
        <v>6408</v>
      </c>
      <c r="H103" s="3" t="str">
        <f>HYPERLINK("http://www.jccm.es/sede/tramite/LYR","PROVISION DE DOS JEFATURAS DE CARACTER ASISTENCIAL DEL SERVICIO DE SALUD DE CASILLA-LA MANCHA. DOS JEFATURAS DE SECCION DE CIRUGIA GRAL. Y A. DIG., GERENCIA ATENCION INTEGRADA DE CIUDAD REAL.")</f>
        <v>PROVISION DE DOS JEFATURAS DE CARACTER ASISTENCIAL DEL SERVICIO DE SALUD DE CASILLA-LA MANCHA. DOS JEFATURAS DE SECCION DE CIRUGIA GRAL. Y A. DIG., GERENCIA ATENCION INTEGRADA DE CIUDAD REAL.</v>
      </c>
      <c r="I103" s="3" t="s">
        <v>41</v>
      </c>
      <c r="J103" s="3" t="s">
        <v>41</v>
      </c>
      <c r="K103" s="3" t="s">
        <v>42</v>
      </c>
      <c r="L103" s="3" t="s">
        <v>41</v>
      </c>
    </row>
    <row r="104" spans="1:12" ht="103.5">
      <c r="A104" s="3" t="s">
        <v>6409</v>
      </c>
      <c r="B104" s="3" t="s">
        <v>6410</v>
      </c>
      <c r="C104" s="3" t="s">
        <v>6411</v>
      </c>
      <c r="D104" s="3" t="s">
        <v>6412</v>
      </c>
      <c r="E104" s="3" t="s">
        <v>6081</v>
      </c>
      <c r="F104" s="3" t="s">
        <v>6081</v>
      </c>
      <c r="G104" s="3" t="s">
        <v>6413</v>
      </c>
      <c r="H104" s="3" t="str">
        <f>HYPERLINK("http://www.jccm.es/sede/tramite/LOU","RECLAMACION A LA RELACION PROVISIONAL DE PERSONAS ADMITIDAS Y EXCLUIDAS APROBADA POR COMISION VALORACION JEFATURA DE SERVICIO DE DERMATOLOGIA MEDICO-QUIRURGICA Y VENEREOLOGIA. GAI DE ALBACETE.")</f>
        <v>RECLAMACION A LA RELACION PROVISIONAL DE PERSONAS ADMITIDAS Y EXCLUIDAS APROBADA POR COMISION VALORACION JEFATURA DE SERVICIO DE DERMATOLOGIA MEDICO-QUIRURGICA Y VENEREOLOGIA. GAI DE ALBACETE.</v>
      </c>
      <c r="I104" s="3" t="s">
        <v>42</v>
      </c>
      <c r="J104" s="3" t="s">
        <v>41</v>
      </c>
      <c r="K104" s="3" t="s">
        <v>42</v>
      </c>
      <c r="L104" s="3" t="s">
        <v>41</v>
      </c>
    </row>
  </sheetData>
  <phoneticPr fontId="0" type="noConversion"/>
  <printOptions horizontalCentered="1"/>
  <pageMargins left="0.23622047244094491" right="0.15748031496062992" top="0.59055118110236227" bottom="0.47244094488188981" header="0.19685039370078741" footer="0.19685039370078741"/>
  <pageSetup paperSize="9" scale="75" orientation="landscape" r:id="rId1"/>
  <headerFooter alignWithMargins="0">
    <oddHeader>&amp;C&amp;9Servicio de Salud de Castilla-La Mancha (SESCAM)</oddHeader>
    <oddFooter>&amp;CPágina &amp;P</oddFooter>
  </headerFooter>
  <legacy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L103"/>
  <sheetViews>
    <sheetView topLeftCell="C99" zoomScaleNormal="100" workbookViewId="0">
      <selection activeCell="A2" sqref="A2:L103"/>
    </sheetView>
  </sheetViews>
  <sheetFormatPr defaultColWidth="11.42578125" defaultRowHeight="11.45"/>
  <cols>
    <col min="1" max="1" width="15.140625" style="1" customWidth="1"/>
    <col min="2" max="2" width="32.28515625" style="1" customWidth="1"/>
    <col min="3" max="3" width="33.7109375" style="1" customWidth="1"/>
    <col min="4" max="4" width="14.85546875" style="1" customWidth="1"/>
    <col min="5" max="5" width="19.42578125" style="1" customWidth="1"/>
    <col min="6" max="6" width="18.140625" style="1" customWidth="1"/>
    <col min="7" max="7" width="11.140625" style="1" bestFit="1" customWidth="1"/>
    <col min="8" max="8" width="29" style="1" customWidth="1"/>
    <col min="9" max="9" width="11.28515625" style="1" bestFit="1" customWidth="1"/>
    <col min="10" max="10" width="4" style="1" bestFit="1" customWidth="1"/>
    <col min="11" max="11" width="7" style="1" bestFit="1" customWidth="1"/>
    <col min="12" max="12" width="5.5703125" style="1" bestFit="1" customWidth="1"/>
    <col min="13" max="16384" width="11.42578125" style="1"/>
  </cols>
  <sheetData>
    <row r="1" spans="1:12" ht="23.1">
      <c r="A1" s="2" t="s">
        <v>25</v>
      </c>
      <c r="B1" s="2" t="s">
        <v>26</v>
      </c>
      <c r="C1" s="2" t="s">
        <v>27</v>
      </c>
      <c r="D1" s="2" t="s">
        <v>2</v>
      </c>
      <c r="E1" s="2" t="s">
        <v>0</v>
      </c>
      <c r="F1" s="2" t="s">
        <v>3</v>
      </c>
      <c r="G1" s="2" t="s">
        <v>28</v>
      </c>
      <c r="H1" s="2" t="s">
        <v>29</v>
      </c>
      <c r="I1" s="2" t="s">
        <v>30</v>
      </c>
      <c r="J1" s="4" t="s">
        <v>31</v>
      </c>
      <c r="K1" s="2" t="s">
        <v>32</v>
      </c>
      <c r="L1" s="2" t="s">
        <v>33</v>
      </c>
    </row>
    <row r="2" spans="1:12" ht="99.95" customHeight="1">
      <c r="A2" s="3" t="s">
        <v>34</v>
      </c>
      <c r="B2" s="3" t="s">
        <v>35</v>
      </c>
      <c r="C2" s="3" t="s">
        <v>36</v>
      </c>
      <c r="D2" s="3" t="s">
        <v>37</v>
      </c>
      <c r="E2" s="3" t="s">
        <v>38</v>
      </c>
      <c r="F2" s="3" t="s">
        <v>39</v>
      </c>
      <c r="G2" s="3" t="s">
        <v>40</v>
      </c>
      <c r="H2" s="3" t="str">
        <f>HYPERLINK("http://www.jccm.es/sede/tramite/IA5","AUTORIZACION ADMINISTRATIVA DE CENTROS SOCIALES")</f>
        <v>AUTORIZACION ADMINISTRATIVA DE CENTROS SOCIALES</v>
      </c>
      <c r="I2" s="3" t="s">
        <v>41</v>
      </c>
      <c r="J2" s="3" t="s">
        <v>41</v>
      </c>
      <c r="K2" s="3" t="s">
        <v>42</v>
      </c>
      <c r="L2" s="3" t="s">
        <v>42</v>
      </c>
    </row>
    <row r="3" spans="1:12" ht="99.95" customHeight="1">
      <c r="A3" s="3" t="s">
        <v>43</v>
      </c>
      <c r="B3" s="3" t="s">
        <v>44</v>
      </c>
      <c r="C3" s="3" t="s">
        <v>45</v>
      </c>
      <c r="D3" s="3" t="s">
        <v>46</v>
      </c>
      <c r="E3" s="3" t="s">
        <v>38</v>
      </c>
      <c r="F3" s="3" t="s">
        <v>47</v>
      </c>
      <c r="G3" s="3" t="s">
        <v>48</v>
      </c>
      <c r="H3" s="3" t="str">
        <f>HYPERLINK("http://www.jccm.es/sede/tramite/D22","TARJETA DE ESTACIONAMIENTO PARA PERSONAS CON DISCAPACIDAD CON MOVILIDAD REDUCIDA")</f>
        <v>TARJETA DE ESTACIONAMIENTO PARA PERSONAS CON DISCAPACIDAD CON MOVILIDAD REDUCIDA</v>
      </c>
      <c r="I3" s="3" t="s">
        <v>42</v>
      </c>
      <c r="J3" s="3" t="s">
        <v>41</v>
      </c>
      <c r="K3" s="3" t="s">
        <v>42</v>
      </c>
      <c r="L3" s="3" t="s">
        <v>41</v>
      </c>
    </row>
    <row r="4" spans="1:12" ht="99.95" customHeight="1">
      <c r="A4" s="3" t="s">
        <v>49</v>
      </c>
      <c r="B4" s="3" t="s">
        <v>50</v>
      </c>
      <c r="C4" s="3" t="s">
        <v>51</v>
      </c>
      <c r="D4" s="3" t="s">
        <v>37</v>
      </c>
      <c r="E4" s="3" t="s">
        <v>38</v>
      </c>
      <c r="F4" s="3" t="s">
        <v>47</v>
      </c>
      <c r="G4" s="3" t="s">
        <v>52</v>
      </c>
      <c r="H4" s="3" t="str">
        <f>HYPERLINK("http://www.jccm.es/sede/tramite/LLL","RECONOCIMIENTO OFICIAL DE LA ENTIDAD DE ADIESTRAMIENTO DE PERROS DE ASISTENCIA, BAJA O MODIFICACION DE DATOS EN EL REGISTRO DE UNIDADES DE VINCULACION.")</f>
        <v>RECONOCIMIENTO OFICIAL DE LA ENTIDAD DE ADIESTRAMIENTO DE PERROS DE ASISTENCIA, BAJA O MODIFICACION DE DATOS EN EL REGISTRO DE UNIDADES DE VINCULACION.</v>
      </c>
      <c r="I4" s="3" t="s">
        <v>41</v>
      </c>
      <c r="J4" s="3" t="s">
        <v>41</v>
      </c>
      <c r="K4" s="3" t="s">
        <v>42</v>
      </c>
      <c r="L4" s="3" t="s">
        <v>41</v>
      </c>
    </row>
    <row r="5" spans="1:12" ht="99.95" customHeight="1">
      <c r="A5" s="3" t="s">
        <v>53</v>
      </c>
      <c r="B5" s="3" t="s">
        <v>54</v>
      </c>
      <c r="C5" s="3" t="s">
        <v>55</v>
      </c>
      <c r="D5" s="3" t="s">
        <v>37</v>
      </c>
      <c r="E5" s="3" t="s">
        <v>38</v>
      </c>
      <c r="F5" s="3" t="s">
        <v>39</v>
      </c>
      <c r="G5" s="3" t="s">
        <v>56</v>
      </c>
      <c r="H5" s="3" t="str">
        <f>HYPERLINK("http://www.jccm.es/sede/tramite/LSS","COMUNICACION DE CAMBIO DE ENTIDAD TITULAR O GESTORA, CESE DE ACTIVIDAD DE UN SERVICIO SOCIAL")</f>
        <v>COMUNICACION DE CAMBIO DE ENTIDAD TITULAR O GESTORA, CESE DE ACTIVIDAD DE UN SERVICIO SOCIAL</v>
      </c>
      <c r="I5" s="3" t="s">
        <v>41</v>
      </c>
      <c r="J5" s="3" t="s">
        <v>41</v>
      </c>
      <c r="K5" s="3" t="s">
        <v>42</v>
      </c>
      <c r="L5" s="3" t="s">
        <v>41</v>
      </c>
    </row>
    <row r="6" spans="1:12" ht="99.95" customHeight="1">
      <c r="A6" s="3" t="s">
        <v>57</v>
      </c>
      <c r="B6" s="3" t="s">
        <v>58</v>
      </c>
      <c r="C6" s="3" t="s">
        <v>36</v>
      </c>
      <c r="D6" s="3" t="s">
        <v>37</v>
      </c>
      <c r="E6" s="3" t="s">
        <v>38</v>
      </c>
      <c r="F6" s="3" t="s">
        <v>38</v>
      </c>
      <c r="G6" s="3" t="s">
        <v>59</v>
      </c>
      <c r="H6" s="3" t="str">
        <f>HYPERLINK("http://www.jccm.es/sede/tramite/LZB","AUTORIZACION ADMINISTRATIVA DE SERVICIOS SOCIALES")</f>
        <v>AUTORIZACION ADMINISTRATIVA DE SERVICIOS SOCIALES</v>
      </c>
      <c r="I6" s="3" t="s">
        <v>41</v>
      </c>
      <c r="J6" s="3" t="s">
        <v>41</v>
      </c>
      <c r="K6" s="3" t="s">
        <v>42</v>
      </c>
      <c r="L6" s="3" t="s">
        <v>41</v>
      </c>
    </row>
    <row r="7" spans="1:12" ht="99.95" customHeight="1">
      <c r="A7" s="3" t="s">
        <v>60</v>
      </c>
      <c r="B7" s="3" t="s">
        <v>61</v>
      </c>
      <c r="C7" s="3" t="s">
        <v>62</v>
      </c>
      <c r="D7" s="3" t="s">
        <v>37</v>
      </c>
      <c r="E7" s="3" t="s">
        <v>38</v>
      </c>
      <c r="F7" s="3" t="s">
        <v>63</v>
      </c>
      <c r="G7" s="3" t="s">
        <v>64</v>
      </c>
      <c r="H7" s="3" t="str">
        <f>HYPERLINK("http://www.jccm.es/sede/tramite/C13","ACREDITACION E INSCRIPCION REGISTRAL DE ENTIDADES DE VOLUNTARIADO")</f>
        <v>ACREDITACION E INSCRIPCION REGISTRAL DE ENTIDADES DE VOLUNTARIADO</v>
      </c>
      <c r="I7" s="3" t="s">
        <v>42</v>
      </c>
      <c r="J7" s="3" t="s">
        <v>41</v>
      </c>
      <c r="K7" s="3" t="s">
        <v>42</v>
      </c>
      <c r="L7" s="3" t="s">
        <v>41</v>
      </c>
    </row>
    <row r="8" spans="1:12" ht="99.95" customHeight="1">
      <c r="A8" s="3" t="s">
        <v>65</v>
      </c>
      <c r="B8" s="3" t="s">
        <v>66</v>
      </c>
      <c r="C8" s="3" t="s">
        <v>51</v>
      </c>
      <c r="D8" s="3" t="s">
        <v>37</v>
      </c>
      <c r="E8" s="3" t="s">
        <v>38</v>
      </c>
      <c r="F8" s="3" t="s">
        <v>47</v>
      </c>
      <c r="G8" s="3" t="s">
        <v>67</v>
      </c>
      <c r="H8" s="3" t="str">
        <f>HYPERLINK("http://www.jccm.es/sede/tramite/LLJ","PROCEDIMIENTO DE RECONOCIMIENTO DE LA UNIDAD DE VINCULACION CON PERRO DE ASISTENCIA/ PERRO DE ASISTENCIA JUBILADO,SOLICITUD DE DUPLICADOS CARNETS Y DISTINTIVOS Y BAJA EN EL REGISTRO DE UNIDADES")</f>
        <v>PROCEDIMIENTO DE RECONOCIMIENTO DE LA UNIDAD DE VINCULACION CON PERRO DE ASISTENCIA/ PERRO DE ASISTENCIA JUBILADO,SOLICITUD DE DUPLICADOS CARNETS Y DISTINTIVOS Y BAJA EN EL REGISTRO DE UNIDADES</v>
      </c>
      <c r="I8" s="3" t="s">
        <v>42</v>
      </c>
      <c r="J8" s="3" t="s">
        <v>41</v>
      </c>
      <c r="K8" s="3" t="s">
        <v>42</v>
      </c>
      <c r="L8" s="3" t="s">
        <v>41</v>
      </c>
    </row>
    <row r="9" spans="1:12" ht="99.95" customHeight="1">
      <c r="A9" s="3" t="s">
        <v>68</v>
      </c>
      <c r="B9" s="3" t="s">
        <v>69</v>
      </c>
      <c r="C9" s="3" t="s">
        <v>70</v>
      </c>
      <c r="D9" s="3" t="s">
        <v>46</v>
      </c>
      <c r="E9" s="3" t="s">
        <v>38</v>
      </c>
      <c r="F9" s="3" t="s">
        <v>71</v>
      </c>
      <c r="G9" s="3" t="s">
        <v>72</v>
      </c>
      <c r="H9" s="3" t="str">
        <f>HYPERLINK("http://www.jccm.es/sede/tramite/IR9","AYUDAS ECONOMICAS DE APOYO POR ACOGIMIENTO FAMILIAR DE MENORES.")</f>
        <v>AYUDAS ECONOMICAS DE APOYO POR ACOGIMIENTO FAMILIAR DE MENORES.</v>
      </c>
      <c r="I9" s="3" t="s">
        <v>42</v>
      </c>
      <c r="J9" s="3" t="s">
        <v>41</v>
      </c>
      <c r="K9" s="3" t="s">
        <v>42</v>
      </c>
      <c r="L9" s="3" t="s">
        <v>41</v>
      </c>
    </row>
    <row r="10" spans="1:12" ht="99.95" customHeight="1">
      <c r="A10" s="3" t="s">
        <v>73</v>
      </c>
      <c r="B10" s="3" t="s">
        <v>74</v>
      </c>
      <c r="C10" s="3" t="s">
        <v>45</v>
      </c>
      <c r="D10" s="3" t="s">
        <v>46</v>
      </c>
      <c r="E10" s="3" t="s">
        <v>38</v>
      </c>
      <c r="F10" s="3" t="s">
        <v>71</v>
      </c>
      <c r="G10" s="3" t="s">
        <v>75</v>
      </c>
      <c r="H10" s="3" t="str">
        <f>HYPERLINK("http://www.jccm.es/sede/tramite/H80","AYUDAS DE AUTONOMIA PERSONAL")</f>
        <v>AYUDAS DE AUTONOMIA PERSONAL</v>
      </c>
      <c r="I10" s="3" t="s">
        <v>42</v>
      </c>
      <c r="J10" s="3" t="s">
        <v>41</v>
      </c>
      <c r="K10" s="3" t="s">
        <v>42</v>
      </c>
      <c r="L10" s="3" t="s">
        <v>41</v>
      </c>
    </row>
    <row r="11" spans="1:12" ht="99.95" customHeight="1">
      <c r="A11" s="3" t="s">
        <v>76</v>
      </c>
      <c r="B11" s="3" t="s">
        <v>77</v>
      </c>
      <c r="C11" s="3" t="s">
        <v>62</v>
      </c>
      <c r="D11" s="3" t="s">
        <v>46</v>
      </c>
      <c r="E11" s="3" t="s">
        <v>38</v>
      </c>
      <c r="F11" s="3" t="s">
        <v>78</v>
      </c>
      <c r="G11" s="3" t="s">
        <v>79</v>
      </c>
      <c r="H11" s="3" t="str">
        <f>HYPERLINK("http://www.jccm.es/sede/tramite/609","AYUDAS DE EMERGENCIA SOCIAL")</f>
        <v>AYUDAS DE EMERGENCIA SOCIAL</v>
      </c>
      <c r="I11" s="3" t="s">
        <v>42</v>
      </c>
      <c r="J11" s="3" t="s">
        <v>41</v>
      </c>
      <c r="K11" s="3" t="s">
        <v>42</v>
      </c>
      <c r="L11" s="3" t="s">
        <v>41</v>
      </c>
    </row>
    <row r="12" spans="1:12" ht="99.95" customHeight="1">
      <c r="A12" s="3" t="s">
        <v>80</v>
      </c>
      <c r="B12" s="3" t="s">
        <v>81</v>
      </c>
      <c r="C12" s="3" t="s">
        <v>45</v>
      </c>
      <c r="D12" s="3" t="s">
        <v>46</v>
      </c>
      <c r="E12" s="3" t="s">
        <v>38</v>
      </c>
      <c r="F12" s="3" t="s">
        <v>78</v>
      </c>
      <c r="G12" s="3" t="s">
        <v>82</v>
      </c>
      <c r="H12" s="3" t="str">
        <f>HYPERLINK("http://www.jccm.es/sede/tramite/IIJ","AYUDAS ECONOMICAS A FAMILIAS NUMEROSAS")</f>
        <v>AYUDAS ECONOMICAS A FAMILIAS NUMEROSAS</v>
      </c>
      <c r="I12" s="3" t="s">
        <v>42</v>
      </c>
      <c r="J12" s="3" t="s">
        <v>41</v>
      </c>
      <c r="K12" s="3" t="s">
        <v>42</v>
      </c>
      <c r="L12" s="3" t="s">
        <v>41</v>
      </c>
    </row>
    <row r="13" spans="1:12" ht="99.95" customHeight="1">
      <c r="A13" s="3" t="s">
        <v>83</v>
      </c>
      <c r="B13" s="3" t="s">
        <v>84</v>
      </c>
      <c r="C13" s="3" t="s">
        <v>62</v>
      </c>
      <c r="D13" s="3" t="s">
        <v>46</v>
      </c>
      <c r="E13" s="3" t="s">
        <v>38</v>
      </c>
      <c r="F13" s="3" t="s">
        <v>78</v>
      </c>
      <c r="G13" s="3" t="s">
        <v>85</v>
      </c>
      <c r="H13" s="3" t="str">
        <f>HYPERLINK("http://www.jccm.es/sede/tramite/513","INGRESO MINIMO DE SOLIDARIDAD")</f>
        <v>INGRESO MINIMO DE SOLIDARIDAD</v>
      </c>
      <c r="I13" s="3" t="s">
        <v>42</v>
      </c>
      <c r="J13" s="3" t="s">
        <v>41</v>
      </c>
      <c r="K13" s="3" t="s">
        <v>42</v>
      </c>
      <c r="L13" s="3" t="s">
        <v>41</v>
      </c>
    </row>
    <row r="14" spans="1:12" ht="99.95" customHeight="1">
      <c r="A14" s="3" t="s">
        <v>86</v>
      </c>
      <c r="B14" s="3" t="s">
        <v>87</v>
      </c>
      <c r="C14" s="3" t="s">
        <v>45</v>
      </c>
      <c r="D14" s="3" t="s">
        <v>46</v>
      </c>
      <c r="E14" s="3" t="s">
        <v>38</v>
      </c>
      <c r="F14" s="3" t="s">
        <v>78</v>
      </c>
      <c r="G14" s="3" t="s">
        <v>88</v>
      </c>
      <c r="H14" s="3" t="str">
        <f>HYPERLINK("http://www.jccm.es/sede/tramite/IYY","SOLICITUD DE AYUDA PARA EL MANTENIMIENTO DE LAS CONDICIONES BASICAS DE VIDA")</f>
        <v>SOLICITUD DE AYUDA PARA EL MANTENIMIENTO DE LAS CONDICIONES BASICAS DE VIDA</v>
      </c>
      <c r="I14" s="3" t="s">
        <v>42</v>
      </c>
      <c r="J14" s="3" t="s">
        <v>41</v>
      </c>
      <c r="K14" s="3" t="s">
        <v>42</v>
      </c>
      <c r="L14" s="3" t="s">
        <v>41</v>
      </c>
    </row>
    <row r="15" spans="1:12" ht="99.95" customHeight="1">
      <c r="A15" s="3" t="s">
        <v>89</v>
      </c>
      <c r="B15" s="3" t="s">
        <v>90</v>
      </c>
      <c r="C15" s="3" t="s">
        <v>70</v>
      </c>
      <c r="D15" s="3" t="s">
        <v>46</v>
      </c>
      <c r="E15" s="3" t="s">
        <v>38</v>
      </c>
      <c r="F15" s="3" t="s">
        <v>91</v>
      </c>
      <c r="G15" s="3" t="s">
        <v>92</v>
      </c>
      <c r="H15" s="3" t="str">
        <f>HYPERLINK("http://www.jccm.es/sede/tramite/IMZ","SOLICITUD DE SUBVENCIONES A EATIM, MUNICIPIOS, MANCOMUNIDADES Y AGRUPACIONES MUNICIPALES PARA EL DESARROLLO DE PROGRAMAS Y PROYECTOS DE ATENCION A PERSONAS MAYORES.")</f>
        <v>SOLICITUD DE SUBVENCIONES A EATIM, MUNICIPIOS, MANCOMUNIDADES Y AGRUPACIONES MUNICIPALES PARA EL DESARROLLO DE PROGRAMAS Y PROYECTOS DE ATENCION A PERSONAS MAYORES.</v>
      </c>
      <c r="I15" s="3" t="s">
        <v>41</v>
      </c>
      <c r="J15" s="3" t="s">
        <v>41</v>
      </c>
      <c r="K15" s="3" t="s">
        <v>42</v>
      </c>
      <c r="L15" s="3" t="s">
        <v>41</v>
      </c>
    </row>
    <row r="16" spans="1:12" ht="99.95" customHeight="1">
      <c r="A16" s="3" t="s">
        <v>6414</v>
      </c>
      <c r="B16" s="3" t="s">
        <v>6415</v>
      </c>
      <c r="C16" s="3" t="s">
        <v>70</v>
      </c>
      <c r="D16" s="3" t="s">
        <v>46</v>
      </c>
      <c r="E16" s="3" t="s">
        <v>38</v>
      </c>
      <c r="F16" s="3" t="s">
        <v>91</v>
      </c>
      <c r="G16" s="3" t="s">
        <v>6416</v>
      </c>
      <c r="H16" s="3" t="str">
        <f>HYPERLINK("http://www.jccm.es/sede/tramite/IXK","SUBVENCIONES A EATIM,  MUNICIPIOS,MANCOMUNIDADES Y AGRUPACIONES TERRITORIALES, PARA EL MANTENIMIENTO DE PLAZAS EN CENTROS DE ATENCION A PERSONAS MAYORES EN CASTILLA-LA MANCHA.")</f>
        <v>SUBVENCIONES A EATIM,  MUNICIPIOS,MANCOMUNIDADES Y AGRUPACIONES TERRITORIALES, PARA EL MANTENIMIENTO DE PLAZAS EN CENTROS DE ATENCION A PERSONAS MAYORES EN CASTILLA-LA MANCHA.</v>
      </c>
      <c r="I16" s="3" t="s">
        <v>41</v>
      </c>
      <c r="J16" s="3" t="s">
        <v>41</v>
      </c>
      <c r="K16" s="3" t="s">
        <v>42</v>
      </c>
      <c r="L16" s="3" t="s">
        <v>41</v>
      </c>
    </row>
    <row r="17" spans="1:12" ht="99.95" customHeight="1">
      <c r="A17" s="3" t="s">
        <v>6417</v>
      </c>
      <c r="B17" s="3" t="s">
        <v>6418</v>
      </c>
      <c r="C17" s="3" t="s">
        <v>6419</v>
      </c>
      <c r="D17" s="3" t="s">
        <v>46</v>
      </c>
      <c r="E17" s="3" t="s">
        <v>38</v>
      </c>
      <c r="F17" s="3" t="s">
        <v>78</v>
      </c>
      <c r="G17" s="3" t="s">
        <v>6420</v>
      </c>
      <c r="H17" s="3" t="str">
        <f>HYPERLINK("http://www.jccm.es/sede/tramite/IU2","SUBVENCIONES PARA LA REALIZACION DE PROYECTOS DE COOPERACION INTERNACIONAL PARA EL DESARROLLO")</f>
        <v>SUBVENCIONES PARA LA REALIZACION DE PROYECTOS DE COOPERACION INTERNACIONAL PARA EL DESARROLLO</v>
      </c>
      <c r="I17" s="3" t="s">
        <v>41</v>
      </c>
      <c r="J17" s="3" t="s">
        <v>41</v>
      </c>
      <c r="K17" s="3" t="s">
        <v>42</v>
      </c>
      <c r="L17" s="3" t="s">
        <v>41</v>
      </c>
    </row>
    <row r="18" spans="1:12" ht="99.95" customHeight="1">
      <c r="A18" s="3" t="s">
        <v>6421</v>
      </c>
      <c r="B18" s="3" t="s">
        <v>6422</v>
      </c>
      <c r="C18" s="3" t="s">
        <v>70</v>
      </c>
      <c r="D18" s="3" t="s">
        <v>46</v>
      </c>
      <c r="E18" s="3" t="s">
        <v>38</v>
      </c>
      <c r="F18" s="3" t="s">
        <v>78</v>
      </c>
      <c r="G18" s="3" t="s">
        <v>6423</v>
      </c>
      <c r="H18" s="3" t="str">
        <f>HYPERLINK("http://www.jccm.es/sede/tramite/IX1","SUBVENCIONES PARA LA REALIZACION DE PROYECTOS DE EDUCACION PARA EL DESARROLLO")</f>
        <v>SUBVENCIONES PARA LA REALIZACION DE PROYECTOS DE EDUCACION PARA EL DESARROLLO</v>
      </c>
      <c r="I18" s="3" t="s">
        <v>41</v>
      </c>
      <c r="J18" s="3" t="s">
        <v>41</v>
      </c>
      <c r="K18" s="3" t="s">
        <v>42</v>
      </c>
      <c r="L18" s="3" t="s">
        <v>41</v>
      </c>
    </row>
    <row r="19" spans="1:12" ht="99.95" customHeight="1">
      <c r="A19" s="3" t="s">
        <v>6424</v>
      </c>
      <c r="B19" s="3" t="s">
        <v>6425</v>
      </c>
      <c r="C19" s="3" t="s">
        <v>6426</v>
      </c>
      <c r="D19" s="3" t="s">
        <v>46</v>
      </c>
      <c r="E19" s="3" t="s">
        <v>38</v>
      </c>
      <c r="F19" s="3" t="s">
        <v>78</v>
      </c>
      <c r="G19" s="3" t="s">
        <v>6427</v>
      </c>
      <c r="H19" s="3" t="str">
        <f>HYPERLINK("http://www.jccm.es/sede/tramite/973","SUBVENCIONES PARA LA REALIZACION DE PROYECTOS DE ACCION HUMANITARIA Y DE EMERGENCIA")</f>
        <v>SUBVENCIONES PARA LA REALIZACION DE PROYECTOS DE ACCION HUMANITARIA Y DE EMERGENCIA</v>
      </c>
      <c r="I19" s="3" t="s">
        <v>41</v>
      </c>
      <c r="J19" s="3" t="s">
        <v>41</v>
      </c>
      <c r="K19" s="3" t="s">
        <v>42</v>
      </c>
      <c r="L19" s="3" t="s">
        <v>41</v>
      </c>
    </row>
    <row r="20" spans="1:12" ht="99.95" customHeight="1">
      <c r="A20" s="3" t="s">
        <v>6428</v>
      </c>
      <c r="B20" s="3" t="s">
        <v>6429</v>
      </c>
      <c r="C20" s="3" t="s">
        <v>6430</v>
      </c>
      <c r="D20" s="3" t="s">
        <v>46</v>
      </c>
      <c r="E20" s="3" t="s">
        <v>38</v>
      </c>
      <c r="F20" s="3" t="s">
        <v>63</v>
      </c>
      <c r="G20" s="3" t="s">
        <v>6431</v>
      </c>
      <c r="H20" s="3" t="str">
        <f>HYPERLINK("http://www.jccm.es/sede/tramite/JPA","RECONOCIMIENTO A LA INICIATIVA SOCIAL DE CASTILLA-LA MANCHA.")</f>
        <v>RECONOCIMIENTO A LA INICIATIVA SOCIAL DE CASTILLA-LA MANCHA.</v>
      </c>
      <c r="I20" s="3" t="s">
        <v>41</v>
      </c>
      <c r="J20" s="3" t="s">
        <v>41</v>
      </c>
      <c r="K20" s="3" t="s">
        <v>42</v>
      </c>
      <c r="L20" s="3" t="s">
        <v>41</v>
      </c>
    </row>
    <row r="21" spans="1:12" ht="99.95" customHeight="1">
      <c r="A21" s="3" t="s">
        <v>6432</v>
      </c>
      <c r="B21" s="3" t="s">
        <v>6433</v>
      </c>
      <c r="C21" s="3" t="s">
        <v>51</v>
      </c>
      <c r="D21" s="3" t="s">
        <v>46</v>
      </c>
      <c r="E21" s="3" t="s">
        <v>38</v>
      </c>
      <c r="F21" s="3" t="s">
        <v>47</v>
      </c>
      <c r="G21" s="3" t="s">
        <v>6434</v>
      </c>
      <c r="H21" s="3" t="str">
        <f>HYPERLINK("http://www.jccm.es/sede/tramite/KJG","SUBVENCIONES A ENTIDADES PRIVADAS PARA EL DESARROLLO DE PROGRAMAS DESTINADOS AL DESEMPEÑO DE LAS MEDIDAS JUDICIALES DE APOYO A PERSONAS CON DISCAPACIDAD PARA EL EJERCICIO DE SU CAPACIDAD JURIDICA")</f>
        <v>SUBVENCIONES A ENTIDADES PRIVADAS PARA EL DESARROLLO DE PROGRAMAS DESTINADOS AL DESEMPEÑO DE LAS MEDIDAS JUDICIALES DE APOYO A PERSONAS CON DISCAPACIDAD PARA EL EJERCICIO DE SU CAPACIDAD JURIDICA</v>
      </c>
      <c r="I21" s="3" t="s">
        <v>41</v>
      </c>
      <c r="J21" s="3" t="s">
        <v>41</v>
      </c>
      <c r="K21" s="3" t="s">
        <v>42</v>
      </c>
      <c r="L21" s="3" t="s">
        <v>41</v>
      </c>
    </row>
    <row r="22" spans="1:12" ht="99.95" customHeight="1">
      <c r="A22" s="3" t="s">
        <v>6435</v>
      </c>
      <c r="B22" s="3" t="s">
        <v>6436</v>
      </c>
      <c r="C22" s="3" t="s">
        <v>45</v>
      </c>
      <c r="D22" s="3" t="s">
        <v>46</v>
      </c>
      <c r="E22" s="3" t="s">
        <v>38</v>
      </c>
      <c r="F22" s="3" t="s">
        <v>91</v>
      </c>
      <c r="G22" s="3" t="s">
        <v>6437</v>
      </c>
      <c r="H22" s="3" t="str">
        <f>HYPERLINK("http://www.jccm.es/sede/tramite/H93","SOLICITUD DE PLAZA EN PROGRAMA DE TERMALISMO DE CASTILLA-LA MANCHA")</f>
        <v>SOLICITUD DE PLAZA EN PROGRAMA DE TERMALISMO DE CASTILLA-LA MANCHA</v>
      </c>
      <c r="I22" s="3" t="s">
        <v>42</v>
      </c>
      <c r="J22" s="3" t="s">
        <v>41</v>
      </c>
      <c r="K22" s="3" t="s">
        <v>42</v>
      </c>
      <c r="L22" s="3" t="s">
        <v>41</v>
      </c>
    </row>
    <row r="23" spans="1:12" ht="99.95" customHeight="1">
      <c r="A23" s="3" t="s">
        <v>6438</v>
      </c>
      <c r="B23" s="3" t="s">
        <v>6439</v>
      </c>
      <c r="C23" s="3" t="s">
        <v>192</v>
      </c>
      <c r="D23" s="3" t="s">
        <v>46</v>
      </c>
      <c r="E23" s="3" t="s">
        <v>38</v>
      </c>
      <c r="F23" s="3" t="s">
        <v>6440</v>
      </c>
      <c r="G23" s="3" t="s">
        <v>6441</v>
      </c>
      <c r="H23" s="3" t="str">
        <f>HYPERLINK("http://www.jccm.es/sede/tramite/KLV","SUBVENCIONES A ENTIDADES DE INICIATIVA SOCIAL PARA PROGRAMAS DEL SERVICIO DE PROMOCION DE  AUTONOMIA PERSONAL Y PROGRAMAS DE PREVENCION DE PERSONAS EN SITUACION DE DEPENDENCIA O EN RIESGO")</f>
        <v>SUBVENCIONES A ENTIDADES DE INICIATIVA SOCIAL PARA PROGRAMAS DEL SERVICIO DE PROMOCION DE  AUTONOMIA PERSONAL Y PROGRAMAS DE PREVENCION DE PERSONAS EN SITUACION DE DEPENDENCIA O EN RIESGO</v>
      </c>
      <c r="I23" s="3" t="s">
        <v>41</v>
      </c>
      <c r="J23" s="3" t="s">
        <v>41</v>
      </c>
      <c r="K23" s="3" t="s">
        <v>42</v>
      </c>
      <c r="L23" s="3" t="s">
        <v>41</v>
      </c>
    </row>
    <row r="24" spans="1:12" ht="99.95" customHeight="1">
      <c r="A24" s="3" t="s">
        <v>6442</v>
      </c>
      <c r="B24" s="3" t="s">
        <v>6443</v>
      </c>
      <c r="C24" s="3" t="s">
        <v>6444</v>
      </c>
      <c r="D24" s="3" t="s">
        <v>46</v>
      </c>
      <c r="E24" s="3" t="s">
        <v>38</v>
      </c>
      <c r="F24" s="3" t="s">
        <v>78</v>
      </c>
      <c r="G24" s="3" t="s">
        <v>6445</v>
      </c>
      <c r="H24" s="3" t="str">
        <f>HYPERLINK("http://www.jccm.es/sede/tramite/KTS","SUBVENCIONES PARA LA REALIZACION DE PROYECTOS DE INTERES GENERAL CON CARGO A LA ASIGNACION TRIBUTARIA DEL IMPUESTO SOBRE LA RENTA DE LAS PERSONAS FISICAS, EN EL AMBITO DE CASTILLA-LA MANCHA.")</f>
        <v>SUBVENCIONES PARA LA REALIZACION DE PROYECTOS DE INTERES GENERAL CON CARGO A LA ASIGNACION TRIBUTARIA DEL IMPUESTO SOBRE LA RENTA DE LAS PERSONAS FISICAS, EN EL AMBITO DE CASTILLA-LA MANCHA.</v>
      </c>
      <c r="I24" s="3" t="s">
        <v>41</v>
      </c>
      <c r="J24" s="3" t="s">
        <v>41</v>
      </c>
      <c r="K24" s="3" t="s">
        <v>42</v>
      </c>
      <c r="L24" s="3" t="s">
        <v>41</v>
      </c>
    </row>
    <row r="25" spans="1:12" ht="99.95" customHeight="1">
      <c r="A25" s="3" t="s">
        <v>6446</v>
      </c>
      <c r="B25" s="3" t="s">
        <v>6447</v>
      </c>
      <c r="C25" s="3" t="s">
        <v>192</v>
      </c>
      <c r="D25" s="3" t="s">
        <v>46</v>
      </c>
      <c r="E25" s="3" t="s">
        <v>38</v>
      </c>
      <c r="F25" s="3" t="s">
        <v>6440</v>
      </c>
      <c r="G25" s="3" t="s">
        <v>6448</v>
      </c>
      <c r="H25" s="3" t="str">
        <f>HYPERLINK("http://www.jccm.es/sede/tramite/KU2","SUBVENCIONES A ENTIDADES LOCALES PARA PROGRAMAS DESTINADOS AL SERVICIO DE PROMOCION DE LA AUTONOMIA PERSONAL DE PERSONAS EN SITUACION DE DEPENDENCIA EN CASTILLA-LA MANCHA.")</f>
        <v>SUBVENCIONES A ENTIDADES LOCALES PARA PROGRAMAS DESTINADOS AL SERVICIO DE PROMOCION DE LA AUTONOMIA PERSONAL DE PERSONAS EN SITUACION DE DEPENDENCIA EN CASTILLA-LA MANCHA.</v>
      </c>
      <c r="I25" s="3" t="s">
        <v>41</v>
      </c>
      <c r="J25" s="3" t="s">
        <v>41</v>
      </c>
      <c r="K25" s="3" t="s">
        <v>42</v>
      </c>
      <c r="L25" s="3" t="s">
        <v>41</v>
      </c>
    </row>
    <row r="26" spans="1:12" ht="99.95" customHeight="1">
      <c r="A26" s="3" t="s">
        <v>6449</v>
      </c>
      <c r="B26" s="3" t="s">
        <v>6450</v>
      </c>
      <c r="C26" s="3" t="s">
        <v>327</v>
      </c>
      <c r="D26" s="3" t="s">
        <v>37</v>
      </c>
      <c r="E26" s="3" t="s">
        <v>38</v>
      </c>
      <c r="F26" s="3" t="s">
        <v>91</v>
      </c>
      <c r="G26" s="3" t="s">
        <v>6451</v>
      </c>
      <c r="H26" s="3" t="str">
        <f>HYPERLINK("http://www.jccm.es/sede/tramite/L3F","TARJETA DORADA DE TRANSPORTE PARA MAYORES DE 65 AÑOS")</f>
        <v>TARJETA DORADA DE TRANSPORTE PARA MAYORES DE 65 AÑOS</v>
      </c>
      <c r="I26" s="3" t="s">
        <v>42</v>
      </c>
      <c r="J26" s="3" t="s">
        <v>41</v>
      </c>
      <c r="K26" s="3" t="s">
        <v>42</v>
      </c>
      <c r="L26" s="3" t="s">
        <v>41</v>
      </c>
    </row>
    <row r="27" spans="1:12" ht="99.95" customHeight="1">
      <c r="A27" s="3" t="s">
        <v>6452</v>
      </c>
      <c r="B27" s="3" t="s">
        <v>6453</v>
      </c>
      <c r="C27" s="3" t="s">
        <v>374</v>
      </c>
      <c r="D27" s="3" t="s">
        <v>46</v>
      </c>
      <c r="E27" s="3" t="s">
        <v>38</v>
      </c>
      <c r="F27" s="3" t="s">
        <v>78</v>
      </c>
      <c r="G27" s="3" t="s">
        <v>6454</v>
      </c>
      <c r="H27" s="3" t="str">
        <f>HYPERLINK("http://www.jccm.es/sede/tramite/LDH","SOLICITUD DE AYUDA EMERGENCIA EXCEPCIONAL COVID19 PARA PERSONAS CON CERTIFICADO DIGITAL Y PRESOLICITUD DE AYUDA DE EMERGENCIA EXCEPCIONAL PARA PERSONAS SIN CERTIFICADO DIGITAL")</f>
        <v>SOLICITUD DE AYUDA EMERGENCIA EXCEPCIONAL COVID19 PARA PERSONAS CON CERTIFICADO DIGITAL Y PRESOLICITUD DE AYUDA DE EMERGENCIA EXCEPCIONAL PARA PERSONAS SIN CERTIFICADO DIGITAL</v>
      </c>
      <c r="I27" s="3" t="s">
        <v>42</v>
      </c>
      <c r="J27" s="3" t="s">
        <v>41</v>
      </c>
      <c r="K27" s="3" t="s">
        <v>42</v>
      </c>
      <c r="L27" s="3" t="s">
        <v>41</v>
      </c>
    </row>
    <row r="28" spans="1:12" ht="99.95" customHeight="1">
      <c r="A28" s="3" t="s">
        <v>6455</v>
      </c>
      <c r="B28" s="3" t="s">
        <v>6456</v>
      </c>
      <c r="C28" s="3" t="s">
        <v>95</v>
      </c>
      <c r="D28" s="3" t="s">
        <v>95</v>
      </c>
      <c r="E28" s="3" t="s">
        <v>38</v>
      </c>
      <c r="F28" s="3" t="s">
        <v>78</v>
      </c>
      <c r="G28" s="3" t="s">
        <v>6457</v>
      </c>
      <c r="H28" s="3" t="str">
        <f>HYPERLINK("http://www.jccm.es/sede/tramite/LQ3","DECRETO 118/2021, DE 30 DE NOVIEMBRE POR EL QUE SE REGULA LA CONCESION DIRECTA DE UNA SUBVENCION A UNICEF COMITE ESPAÑOL, PARA LA DISTRIBUCION SEGURA Y EQUITATIVA DE LAS VACUNAS CONTRA LA COVID-19.")</f>
        <v>DECRETO 118/2021, DE 30 DE NOVIEMBRE POR EL QUE SE REGULA LA CONCESION DIRECTA DE UNA SUBVENCION A UNICEF COMITE ESPAÑOL, PARA LA DISTRIBUCION SEGURA Y EQUITATIVA DE LAS VACUNAS CONTRA LA COVID-19.</v>
      </c>
      <c r="I28" s="3" t="s">
        <v>41</v>
      </c>
      <c r="J28" s="3" t="s">
        <v>41</v>
      </c>
      <c r="K28" s="3" t="s">
        <v>42</v>
      </c>
      <c r="L28" s="3" t="s">
        <v>41</v>
      </c>
    </row>
    <row r="29" spans="1:12" ht="99.95" customHeight="1">
      <c r="A29" s="3" t="s">
        <v>6458</v>
      </c>
      <c r="B29" s="3" t="s">
        <v>6459</v>
      </c>
      <c r="C29" s="3" t="s">
        <v>95</v>
      </c>
      <c r="D29" s="3" t="s">
        <v>95</v>
      </c>
      <c r="E29" s="3" t="s">
        <v>38</v>
      </c>
      <c r="F29" s="3" t="s">
        <v>63</v>
      </c>
      <c r="G29" s="3" t="s">
        <v>6460</v>
      </c>
      <c r="H29" s="3" t="str">
        <f>HYPERLINK("http://www.jccm.es/sede/tramite/LR9","CONCESION DIRECTA DE SUBVENCIONES A LAS DIPUTACIONES PROVINCIALES  PARA LA GARANTIA DE CUIDADOS DE LAS PERSONAS EN SU ENTORNO.")</f>
        <v>CONCESION DIRECTA DE SUBVENCIONES A LAS DIPUTACIONES PROVINCIALES  PARA LA GARANTIA DE CUIDADOS DE LAS PERSONAS EN SU ENTORNO.</v>
      </c>
      <c r="I29" s="3" t="s">
        <v>41</v>
      </c>
      <c r="J29" s="3" t="s">
        <v>41</v>
      </c>
      <c r="K29" s="3" t="s">
        <v>42</v>
      </c>
      <c r="L29" s="3" t="s">
        <v>41</v>
      </c>
    </row>
    <row r="30" spans="1:12" ht="99.95" customHeight="1">
      <c r="A30" s="3" t="s">
        <v>6461</v>
      </c>
      <c r="B30" s="3" t="s">
        <v>6462</v>
      </c>
      <c r="C30" s="3" t="s">
        <v>6463</v>
      </c>
      <c r="D30" s="3" t="s">
        <v>46</v>
      </c>
      <c r="E30" s="3" t="s">
        <v>38</v>
      </c>
      <c r="F30" s="3" t="s">
        <v>71</v>
      </c>
      <c r="G30" s="3" t="s">
        <v>6464</v>
      </c>
      <c r="H30" s="3" t="str">
        <f>HYPERLINK("http://www.jccm.es/sede/tramite/LRA","SUBVENCIONES PARA LA REALIZACION DE PROYECTOS DESTINADOS A LA MEJORA DE LOS MODELOS DE ATENCION RESIDENCIAL Y ACOGIMIENTO FAMILIAR Y A PROYECTOS DE INNOVACION EN SERVICIOS SOCIALES")</f>
        <v>SUBVENCIONES PARA LA REALIZACION DE PROYECTOS DESTINADOS A LA MEJORA DE LOS MODELOS DE ATENCION RESIDENCIAL Y ACOGIMIENTO FAMILIAR Y A PROYECTOS DE INNOVACION EN SERVICIOS SOCIALES</v>
      </c>
      <c r="I30" s="3" t="s">
        <v>41</v>
      </c>
      <c r="J30" s="3" t="s">
        <v>41</v>
      </c>
      <c r="K30" s="3" t="s">
        <v>42</v>
      </c>
      <c r="L30" s="3" t="s">
        <v>41</v>
      </c>
    </row>
    <row r="31" spans="1:12" ht="99.95" customHeight="1">
      <c r="A31" s="3" t="s">
        <v>6465</v>
      </c>
      <c r="B31" s="3" t="s">
        <v>6466</v>
      </c>
      <c r="C31" s="3" t="s">
        <v>95</v>
      </c>
      <c r="D31" s="3" t="s">
        <v>95</v>
      </c>
      <c r="E31" s="3" t="s">
        <v>38</v>
      </c>
      <c r="F31" s="3" t="s">
        <v>63</v>
      </c>
      <c r="G31" s="3" t="s">
        <v>6467</v>
      </c>
      <c r="H31" s="3" t="str">
        <f>HYPERLINK("http://www.jccm.es/sede/tramite/LSU","DECRETO 34/22 DE 3 DE MAYO, DE CONCESION DIRECTA DE SUBVENCION A LA ENTIDAD EAPN-CLM, PARA EL DESARROLLO Y MEJORA DE LAS CAPACIDADES DIGITALES DE LA POBLACION MAS VULNERABLE DE LA REGION,")</f>
        <v>DECRETO 34/22 DE 3 DE MAYO, DE CONCESION DIRECTA DE SUBVENCION A LA ENTIDAD EAPN-CLM, PARA EL DESARROLLO Y MEJORA DE LAS CAPACIDADES DIGITALES DE LA POBLACION MAS VULNERABLE DE LA REGION,</v>
      </c>
      <c r="I31" s="3" t="s">
        <v>41</v>
      </c>
      <c r="J31" s="3" t="s">
        <v>41</v>
      </c>
      <c r="K31" s="3" t="s">
        <v>42</v>
      </c>
      <c r="L31" s="3" t="s">
        <v>41</v>
      </c>
    </row>
    <row r="32" spans="1:12" ht="99.95" customHeight="1">
      <c r="A32" s="3" t="s">
        <v>6468</v>
      </c>
      <c r="B32" s="3" t="s">
        <v>6469</v>
      </c>
      <c r="C32" s="3" t="s">
        <v>6470</v>
      </c>
      <c r="D32" s="3" t="s">
        <v>46</v>
      </c>
      <c r="E32" s="3" t="s">
        <v>38</v>
      </c>
      <c r="F32" s="3" t="s">
        <v>91</v>
      </c>
      <c r="G32" s="3" t="s">
        <v>6471</v>
      </c>
      <c r="H32" s="3" t="str">
        <f>HYPERLINK("http://www.jccm.es/sede/tramite/LTK","SOLICITUD DE SUBVENCION PARA FINANCIACION DE PROYECTOS DE INVERSION EN VIVIENDAS Y CENTROS DE MAYORES DE TITULARIDAD MUNICIPAL.")</f>
        <v>SOLICITUD DE SUBVENCION PARA FINANCIACION DE PROYECTOS DE INVERSION EN VIVIENDAS Y CENTROS DE MAYORES DE TITULARIDAD MUNICIPAL.</v>
      </c>
      <c r="I32" s="3" t="s">
        <v>41</v>
      </c>
      <c r="J32" s="3" t="s">
        <v>41</v>
      </c>
      <c r="K32" s="3" t="s">
        <v>42</v>
      </c>
      <c r="L32" s="3" t="s">
        <v>41</v>
      </c>
    </row>
    <row r="33" spans="1:12" ht="99.95" customHeight="1">
      <c r="A33" s="3" t="s">
        <v>6472</v>
      </c>
      <c r="B33" s="3" t="s">
        <v>6473</v>
      </c>
      <c r="C33" s="3" t="s">
        <v>6474</v>
      </c>
      <c r="D33" s="3" t="s">
        <v>46</v>
      </c>
      <c r="E33" s="3" t="s">
        <v>38</v>
      </c>
      <c r="F33" s="3" t="s">
        <v>91</v>
      </c>
      <c r="G33" s="3" t="s">
        <v>6475</v>
      </c>
      <c r="H33" s="3" t="str">
        <f>HYPERLINK("http://www.jccm.es/sede/tramite/LTL","SOLICITUD DE SUBVENCION PARA LA FINANCIACION DE PROYECTOS DE CONSTRUCCION DE RESIDENCIAS DESTINADAS A PERSONAS MAYORES, CON CARGO AL PLAN DE RECUPERACION, TRANSFORMACION Y RESILIENCIA.")</f>
        <v>SOLICITUD DE SUBVENCION PARA LA FINANCIACION DE PROYECTOS DE CONSTRUCCION DE RESIDENCIAS DESTINADAS A PERSONAS MAYORES, CON CARGO AL PLAN DE RECUPERACION, TRANSFORMACION Y RESILIENCIA.</v>
      </c>
      <c r="I33" s="3" t="s">
        <v>41</v>
      </c>
      <c r="J33" s="3" t="s">
        <v>41</v>
      </c>
      <c r="K33" s="3" t="s">
        <v>42</v>
      </c>
      <c r="L33" s="3" t="s">
        <v>41</v>
      </c>
    </row>
    <row r="34" spans="1:12" ht="99.95" customHeight="1">
      <c r="A34" s="3" t="s">
        <v>6476</v>
      </c>
      <c r="B34" s="3" t="s">
        <v>6477</v>
      </c>
      <c r="C34" s="3" t="s">
        <v>95</v>
      </c>
      <c r="D34" s="3" t="s">
        <v>95</v>
      </c>
      <c r="E34" s="3" t="s">
        <v>38</v>
      </c>
      <c r="F34" s="3" t="s">
        <v>71</v>
      </c>
      <c r="G34" s="3" t="s">
        <v>6478</v>
      </c>
      <c r="H34" s="3" t="str">
        <f>HYPERLINK("http://www.jccm.es/sede/tramite/LU7","CONCESION DIRECTA DE SUBVENCIONES A DIVERSAS ENTIDADES DE INICIATIVA SOCIAL PARA LA INFORMACION, FORMACION Y VALORACION DE IDONEIDAD DE FAMILIAS PARA ACOGIMIENTO FAMILIAR.")</f>
        <v>CONCESION DIRECTA DE SUBVENCIONES A DIVERSAS ENTIDADES DE INICIATIVA SOCIAL PARA LA INFORMACION, FORMACION Y VALORACION DE IDONEIDAD DE FAMILIAS PARA ACOGIMIENTO FAMILIAR.</v>
      </c>
      <c r="I34" s="3" t="s">
        <v>41</v>
      </c>
      <c r="J34" s="3" t="s">
        <v>41</v>
      </c>
      <c r="K34" s="3" t="s">
        <v>42</v>
      </c>
      <c r="L34" s="3" t="s">
        <v>41</v>
      </c>
    </row>
    <row r="35" spans="1:12" ht="99.95" customHeight="1">
      <c r="A35" s="3" t="s">
        <v>6479</v>
      </c>
      <c r="B35" s="3" t="s">
        <v>6480</v>
      </c>
      <c r="C35" s="3" t="s">
        <v>45</v>
      </c>
      <c r="D35" s="3" t="s">
        <v>46</v>
      </c>
      <c r="E35" s="3" t="s">
        <v>38</v>
      </c>
      <c r="F35" s="3" t="s">
        <v>39</v>
      </c>
      <c r="G35" s="3" t="s">
        <v>6481</v>
      </c>
      <c r="H35" s="3" t="str">
        <f>HYPERLINK("http://www.jccm.es/sede/tramite/LVL","SUBVENCIONES A PERSONAS MAYORES CON DISCAPACIDAD O EN SITUACION DE DEPENDENCIA QUE VIVEN EN ZONAS DE RIESGO O DE EXTREMA/INTENSA DESPOBLACION PARA MEJORA DE LA ACCESIBILIDAD DE SUS VIVIENDAS.")</f>
        <v>SUBVENCIONES A PERSONAS MAYORES CON DISCAPACIDAD O EN SITUACION DE DEPENDENCIA QUE VIVEN EN ZONAS DE RIESGO O DE EXTREMA/INTENSA DESPOBLACION PARA MEJORA DE LA ACCESIBILIDAD DE SUS VIVIENDAS.</v>
      </c>
      <c r="I35" s="3" t="s">
        <v>42</v>
      </c>
      <c r="J35" s="3" t="s">
        <v>41</v>
      </c>
      <c r="K35" s="3" t="s">
        <v>42</v>
      </c>
      <c r="L35" s="3" t="s">
        <v>41</v>
      </c>
    </row>
    <row r="36" spans="1:12" ht="99.95" customHeight="1">
      <c r="A36" s="3" t="s">
        <v>6482</v>
      </c>
      <c r="B36" s="3" t="s">
        <v>6483</v>
      </c>
      <c r="C36" s="3" t="s">
        <v>95</v>
      </c>
      <c r="D36" s="3" t="s">
        <v>95</v>
      </c>
      <c r="E36" s="3" t="s">
        <v>38</v>
      </c>
      <c r="F36" s="3" t="s">
        <v>71</v>
      </c>
      <c r="G36" s="3" t="s">
        <v>6484</v>
      </c>
      <c r="H36" s="3" t="str">
        <f>HYPERLINK("http://www.jccm.es/sede/tramite/LVR","CONCESION DIRECTA DE UNA SUBVENCION A LA POI-CLM, DENTRO DEL MECANISMO DE RECUPERACION, TRANSFORMACION Y RESILIENCIA, NEXT GENERATION EU.")</f>
        <v>CONCESION DIRECTA DE UNA SUBVENCION A LA POI-CLM, DENTRO DEL MECANISMO DE RECUPERACION, TRANSFORMACION Y RESILIENCIA, NEXT GENERATION EU.</v>
      </c>
      <c r="I36" s="3" t="s">
        <v>41</v>
      </c>
      <c r="J36" s="3" t="s">
        <v>41</v>
      </c>
      <c r="K36" s="3" t="s">
        <v>42</v>
      </c>
      <c r="L36" s="3" t="s">
        <v>41</v>
      </c>
    </row>
    <row r="37" spans="1:12" ht="99.95" customHeight="1">
      <c r="A37" s="3" t="s">
        <v>6485</v>
      </c>
      <c r="B37" s="3" t="s">
        <v>6486</v>
      </c>
      <c r="C37" s="3" t="s">
        <v>45</v>
      </c>
      <c r="D37" s="3" t="s">
        <v>46</v>
      </c>
      <c r="E37" s="3" t="s">
        <v>38</v>
      </c>
      <c r="F37" s="3" t="s">
        <v>71</v>
      </c>
      <c r="G37" s="3" t="s">
        <v>6487</v>
      </c>
      <c r="H37" s="3" t="str">
        <f>HYPERLINK("http://www.jccm.es/sede/tramite/I9C","SOLICITUD DE SUBVENCIONES PARA EL DESARROLLO DE PROGRAMAS DE ACTIVIDADES DESTINADAS A MENORES AFECTADOS POR MEDIDAS DE PROTECCION O JUDICIALES.")</f>
        <v>SOLICITUD DE SUBVENCIONES PARA EL DESARROLLO DE PROGRAMAS DE ACTIVIDADES DESTINADAS A MENORES AFECTADOS POR MEDIDAS DE PROTECCION O JUDICIALES.</v>
      </c>
      <c r="I37" s="3" t="s">
        <v>41</v>
      </c>
      <c r="J37" s="3" t="s">
        <v>41</v>
      </c>
      <c r="K37" s="3" t="s">
        <v>42</v>
      </c>
      <c r="L37" s="3" t="s">
        <v>41</v>
      </c>
    </row>
    <row r="38" spans="1:12" ht="99.95" customHeight="1">
      <c r="A38" s="3" t="s">
        <v>6488</v>
      </c>
      <c r="B38" s="3" t="s">
        <v>6489</v>
      </c>
      <c r="C38" s="3" t="s">
        <v>45</v>
      </c>
      <c r="D38" s="3" t="s">
        <v>46</v>
      </c>
      <c r="E38" s="3" t="s">
        <v>38</v>
      </c>
      <c r="F38" s="3" t="s">
        <v>71</v>
      </c>
      <c r="G38" s="3" t="s">
        <v>6490</v>
      </c>
      <c r="H38" s="3" t="str">
        <f>HYPERLINK("http://www.jccm.es/sede/tramite/KQE","JUSTIFICACION SUBVENCIONES PARA EL DESARROLLO DE PROGRAMAS DE ACTIVIDADES DESTINADAS A MENORES AFECTADOS POR MEDIDAS DE PROTECCION O JUDICIALES.")</f>
        <v>JUSTIFICACION SUBVENCIONES PARA EL DESARROLLO DE PROGRAMAS DE ACTIVIDADES DESTINADAS A MENORES AFECTADOS POR MEDIDAS DE PROTECCION O JUDICIALES.</v>
      </c>
      <c r="I38" s="3" t="s">
        <v>41</v>
      </c>
      <c r="J38" s="3" t="s">
        <v>41</v>
      </c>
      <c r="K38" s="3" t="s">
        <v>42</v>
      </c>
      <c r="L38" s="3" t="s">
        <v>41</v>
      </c>
    </row>
    <row r="39" spans="1:12" ht="99.95" customHeight="1">
      <c r="A39" s="3" t="s">
        <v>6491</v>
      </c>
      <c r="B39" s="3" t="s">
        <v>6492</v>
      </c>
      <c r="C39" s="3" t="s">
        <v>45</v>
      </c>
      <c r="D39" s="3" t="s">
        <v>46</v>
      </c>
      <c r="E39" s="3" t="s">
        <v>38</v>
      </c>
      <c r="F39" s="3" t="s">
        <v>91</v>
      </c>
      <c r="G39" s="3" t="s">
        <v>6493</v>
      </c>
      <c r="H39" s="3" t="str">
        <f>HYPERLINK("http://www.jccm.es/sede/tramite/KQP","JUSTIFICACION DE SUBVENCION A ENTIDADES PRIVADAS DE INICIATIVA SOCIAL PARA EL DESARROLLO DE PROGRAMAS DE ATENCION A PERSONAS MAYORES.")</f>
        <v>JUSTIFICACION DE SUBVENCION A ENTIDADES PRIVADAS DE INICIATIVA SOCIAL PARA EL DESARROLLO DE PROGRAMAS DE ATENCION A PERSONAS MAYORES.</v>
      </c>
      <c r="I39" s="3" t="s">
        <v>41</v>
      </c>
      <c r="J39" s="3" t="s">
        <v>41</v>
      </c>
      <c r="K39" s="3" t="s">
        <v>42</v>
      </c>
      <c r="L39" s="3" t="s">
        <v>41</v>
      </c>
    </row>
    <row r="40" spans="1:12" ht="99.95" customHeight="1">
      <c r="A40" s="3" t="s">
        <v>6494</v>
      </c>
      <c r="B40" s="3" t="s">
        <v>6495</v>
      </c>
      <c r="C40" s="3" t="s">
        <v>45</v>
      </c>
      <c r="D40" s="3" t="s">
        <v>46</v>
      </c>
      <c r="E40" s="3" t="s">
        <v>38</v>
      </c>
      <c r="F40" s="3" t="s">
        <v>91</v>
      </c>
      <c r="G40" s="3" t="s">
        <v>6496</v>
      </c>
      <c r="H40" s="3" t="str">
        <f>HYPERLINK("http://www.jccm.es/sede/tramite/IUF","SOLICITUD DE SUBVENCION A ENTIDADES PRIVADAS DE INICIATIVA SOCIAL PARA EL DESARROLLO DE PROGRAMAS DE ATENCION A PERSONAS MAYORES")</f>
        <v>SOLICITUD DE SUBVENCION A ENTIDADES PRIVADAS DE INICIATIVA SOCIAL PARA EL DESARROLLO DE PROGRAMAS DE ATENCION A PERSONAS MAYORES</v>
      </c>
      <c r="I40" s="3" t="s">
        <v>41</v>
      </c>
      <c r="J40" s="3" t="s">
        <v>41</v>
      </c>
      <c r="K40" s="3" t="s">
        <v>42</v>
      </c>
      <c r="L40" s="3" t="s">
        <v>41</v>
      </c>
    </row>
    <row r="41" spans="1:12" ht="99.95" customHeight="1">
      <c r="A41" s="3" t="s">
        <v>6497</v>
      </c>
      <c r="B41" s="3" t="s">
        <v>6498</v>
      </c>
      <c r="C41" s="3" t="s">
        <v>45</v>
      </c>
      <c r="D41" s="3" t="s">
        <v>46</v>
      </c>
      <c r="E41" s="3" t="s">
        <v>38</v>
      </c>
      <c r="F41" s="3" t="s">
        <v>47</v>
      </c>
      <c r="G41" s="3" t="s">
        <v>6499</v>
      </c>
      <c r="H41" s="3" t="str">
        <f>HYPERLINK("http://www.jccm.es/sede/tramite/KS3","JUSTIFICACION DE SUBVENCION A ENTIDADES PRIVADAS, DE INICIATIVA SOCIAL, PARA MANTENIMIENTO DE CENTROS, SERVICIOS Y DESARROLLO DE PROGRAMAS PARA LA ATENCION A PERSONAS CON DISCAPACIDAD.")</f>
        <v>JUSTIFICACION DE SUBVENCION A ENTIDADES PRIVADAS, DE INICIATIVA SOCIAL, PARA MANTENIMIENTO DE CENTROS, SERVICIOS Y DESARROLLO DE PROGRAMAS PARA LA ATENCION A PERSONAS CON DISCAPACIDAD.</v>
      </c>
      <c r="I41" s="3" t="s">
        <v>41</v>
      </c>
      <c r="J41" s="3" t="s">
        <v>41</v>
      </c>
      <c r="K41" s="3" t="s">
        <v>42</v>
      </c>
      <c r="L41" s="3" t="s">
        <v>41</v>
      </c>
    </row>
    <row r="42" spans="1:12" ht="116.25" customHeight="1">
      <c r="A42" s="3" t="s">
        <v>6500</v>
      </c>
      <c r="B42" s="3" t="s">
        <v>6501</v>
      </c>
      <c r="C42" s="3" t="s">
        <v>45</v>
      </c>
      <c r="D42" s="3" t="s">
        <v>46</v>
      </c>
      <c r="E42" s="3" t="s">
        <v>38</v>
      </c>
      <c r="F42" s="3" t="s">
        <v>47</v>
      </c>
      <c r="G42" s="3" t="s">
        <v>6502</v>
      </c>
      <c r="H42" s="3" t="str">
        <f>HYPERLINK("http://www.jccm.es/sede/tramite/H58","SUBVENCION A ENTIDADES PRIVADAS, DE INICIATIVA SOCIAL, PARA MANTENIMIENTO DE CENTROS, SERVICIOS Y DESARROLLO DE PROGRAMAS PARA LA ATENCION A PERSONAS CON DISCAPACIDAD.")</f>
        <v>SUBVENCION A ENTIDADES PRIVADAS, DE INICIATIVA SOCIAL, PARA MANTENIMIENTO DE CENTROS, SERVICIOS Y DESARROLLO DE PROGRAMAS PARA LA ATENCION A PERSONAS CON DISCAPACIDAD.</v>
      </c>
      <c r="I42" s="3" t="s">
        <v>41</v>
      </c>
      <c r="J42" s="3" t="s">
        <v>41</v>
      </c>
      <c r="K42" s="3" t="s">
        <v>42</v>
      </c>
      <c r="L42" s="3" t="s">
        <v>41</v>
      </c>
    </row>
    <row r="43" spans="1:12" ht="99.95" customHeight="1">
      <c r="A43" s="3" t="s">
        <v>6503</v>
      </c>
      <c r="B43" s="3" t="s">
        <v>6504</v>
      </c>
      <c r="C43" s="3" t="s">
        <v>70</v>
      </c>
      <c r="D43" s="3" t="s">
        <v>46</v>
      </c>
      <c r="E43" s="3" t="s">
        <v>38</v>
      </c>
      <c r="F43" s="3" t="s">
        <v>71</v>
      </c>
      <c r="G43" s="3" t="s">
        <v>6505</v>
      </c>
      <c r="H43" s="3" t="str">
        <f>HYPERLINK("http://www.jccm.es/sede/tramite/B55","SOLICITUD DE SUBVENCIONES PARA EL MANTENIMIENTO DE CENTROS DESTINADOS A MENORES AFECTADOS POR MEDIDAS DE PROTECCION O JUDICIALES.")</f>
        <v>SOLICITUD DE SUBVENCIONES PARA EL MANTENIMIENTO DE CENTROS DESTINADOS A MENORES AFECTADOS POR MEDIDAS DE PROTECCION O JUDICIALES.</v>
      </c>
      <c r="I43" s="3" t="s">
        <v>41</v>
      </c>
      <c r="J43" s="3" t="s">
        <v>41</v>
      </c>
      <c r="K43" s="3" t="s">
        <v>42</v>
      </c>
      <c r="L43" s="3" t="s">
        <v>41</v>
      </c>
    </row>
    <row r="44" spans="1:12" ht="99.95" customHeight="1">
      <c r="A44" s="3" t="s">
        <v>6506</v>
      </c>
      <c r="B44" s="3" t="s">
        <v>6507</v>
      </c>
      <c r="C44" s="3" t="s">
        <v>70</v>
      </c>
      <c r="D44" s="3" t="s">
        <v>46</v>
      </c>
      <c r="E44" s="3" t="s">
        <v>38</v>
      </c>
      <c r="F44" s="3" t="s">
        <v>71</v>
      </c>
      <c r="G44" s="3" t="s">
        <v>6508</v>
      </c>
      <c r="H44" s="3" t="str">
        <f>HYPERLINK("http://www.jccm.es/sede/tramite/KP2","JUSTIFICACION DE SUBVENCIONES PARA EL MANTENIMIENTO DE CENTROS DESTINADOS A MENORES AFECTADOS POR MEDIDAS DE PROTECCION O JUDICIALES.")</f>
        <v>JUSTIFICACION DE SUBVENCIONES PARA EL MANTENIMIENTO DE CENTROS DESTINADOS A MENORES AFECTADOS POR MEDIDAS DE PROTECCION O JUDICIALES.</v>
      </c>
      <c r="I44" s="3" t="s">
        <v>41</v>
      </c>
      <c r="J44" s="3" t="s">
        <v>41</v>
      </c>
      <c r="K44" s="3" t="s">
        <v>42</v>
      </c>
      <c r="L44" s="3" t="s">
        <v>41</v>
      </c>
    </row>
    <row r="45" spans="1:12" ht="99.95" customHeight="1">
      <c r="A45" s="3" t="s">
        <v>6509</v>
      </c>
      <c r="B45" s="3" t="s">
        <v>6510</v>
      </c>
      <c r="C45" s="3" t="s">
        <v>45</v>
      </c>
      <c r="D45" s="3" t="s">
        <v>46</v>
      </c>
      <c r="E45" s="3" t="s">
        <v>38</v>
      </c>
      <c r="F45" s="3" t="s">
        <v>63</v>
      </c>
      <c r="G45" s="3" t="s">
        <v>6511</v>
      </c>
      <c r="H45" s="3" t="str">
        <f>HYPERLINK("http://www.jccm.es/sede/tramite/IR1","SUBVENCION PARA LA FINANCIACION DE PROYECTOS DE INCLUSION SOCIAL DEL SISTEMA PUBLICO DE SERVICIOS SOCIALES.")</f>
        <v>SUBVENCION PARA LA FINANCIACION DE PROYECTOS DE INCLUSION SOCIAL DEL SISTEMA PUBLICO DE SERVICIOS SOCIALES.</v>
      </c>
      <c r="I45" s="3" t="s">
        <v>41</v>
      </c>
      <c r="J45" s="3" t="s">
        <v>41</v>
      </c>
      <c r="K45" s="3" t="s">
        <v>42</v>
      </c>
      <c r="L45" s="3" t="s">
        <v>41</v>
      </c>
    </row>
    <row r="46" spans="1:12" ht="99.95" customHeight="1">
      <c r="A46" s="3" t="s">
        <v>6512</v>
      </c>
      <c r="B46" s="3" t="s">
        <v>6513</v>
      </c>
      <c r="C46" s="3" t="s">
        <v>45</v>
      </c>
      <c r="D46" s="3" t="s">
        <v>46</v>
      </c>
      <c r="E46" s="3" t="s">
        <v>38</v>
      </c>
      <c r="F46" s="3" t="s">
        <v>63</v>
      </c>
      <c r="G46" s="3" t="s">
        <v>6514</v>
      </c>
      <c r="H46" s="3" t="str">
        <f>HYPERLINK("http://www.jccm.es/sede/tramite/KU4","JUSTIFICACION DE SUBVENCION PARA LA FINANCIACION DE PROYECTOS DE INCLUSION SOCIAL DEL SISTEMA PUBLICO DE SERVICIOS SOCIALES")</f>
        <v>JUSTIFICACION DE SUBVENCION PARA LA FINANCIACION DE PROYECTOS DE INCLUSION SOCIAL DEL SISTEMA PUBLICO DE SERVICIOS SOCIALES</v>
      </c>
      <c r="I46" s="3" t="s">
        <v>41</v>
      </c>
      <c r="J46" s="3" t="s">
        <v>41</v>
      </c>
      <c r="K46" s="3" t="s">
        <v>42</v>
      </c>
      <c r="L46" s="3" t="s">
        <v>41</v>
      </c>
    </row>
    <row r="47" spans="1:12" ht="99.95" customHeight="1">
      <c r="A47" s="3" t="s">
        <v>6515</v>
      </c>
      <c r="B47" s="3" t="s">
        <v>6516</v>
      </c>
      <c r="C47" s="3" t="s">
        <v>6517</v>
      </c>
      <c r="D47" s="3" t="s">
        <v>46</v>
      </c>
      <c r="E47" s="3" t="s">
        <v>38</v>
      </c>
      <c r="F47" s="3" t="s">
        <v>47</v>
      </c>
      <c r="G47" s="3" t="s">
        <v>6518</v>
      </c>
      <c r="H47" s="3" t="str">
        <f>HYPERLINK("http://www.jccm.es/sede/tramite/J2X","SUBVENCIONES A ENTIDADES LOCALES EN EL AMBITO DE LA ATENCION A LAS PERSONAS CON DISCAPACIDAD INTELECTUAL EN CASTILLA-LA MANCHA.")</f>
        <v>SUBVENCIONES A ENTIDADES LOCALES EN EL AMBITO DE LA ATENCION A LAS PERSONAS CON DISCAPACIDAD INTELECTUAL EN CASTILLA-LA MANCHA.</v>
      </c>
      <c r="I47" s="3" t="s">
        <v>41</v>
      </c>
      <c r="J47" s="3" t="s">
        <v>41</v>
      </c>
      <c r="K47" s="3" t="s">
        <v>42</v>
      </c>
      <c r="L47" s="3" t="s">
        <v>41</v>
      </c>
    </row>
    <row r="48" spans="1:12" ht="99.95" customHeight="1">
      <c r="A48" s="3" t="s">
        <v>6519</v>
      </c>
      <c r="B48" s="3" t="s">
        <v>6520</v>
      </c>
      <c r="C48" s="3" t="s">
        <v>70</v>
      </c>
      <c r="D48" s="3" t="s">
        <v>46</v>
      </c>
      <c r="E48" s="3" t="s">
        <v>38</v>
      </c>
      <c r="F48" s="3" t="s">
        <v>47</v>
      </c>
      <c r="G48" s="3" t="s">
        <v>6521</v>
      </c>
      <c r="H48" s="3" t="str">
        <f>HYPERLINK("http://www.jccm.es/sede/tramite/KTF","JUSTIFICACION DE LAS SUBVENCIONES A ENTIDADES LOCALES EN EL AMBITO DE LA ATENCION A LAS PERSONAS CON DISCAPACIDAD INTELECTUAL EN CASTILLA-LA MANCHA.")</f>
        <v>JUSTIFICACION DE LAS SUBVENCIONES A ENTIDADES LOCALES EN EL AMBITO DE LA ATENCION A LAS PERSONAS CON DISCAPACIDAD INTELECTUAL EN CASTILLA-LA MANCHA.</v>
      </c>
      <c r="I48" s="3" t="s">
        <v>41</v>
      </c>
      <c r="J48" s="3" t="s">
        <v>41</v>
      </c>
      <c r="K48" s="3" t="s">
        <v>42</v>
      </c>
      <c r="L48" s="3" t="s">
        <v>41</v>
      </c>
    </row>
    <row r="49" spans="1:12" ht="99.95" customHeight="1">
      <c r="A49" s="3" t="s">
        <v>6522</v>
      </c>
      <c r="B49" s="3" t="s">
        <v>6523</v>
      </c>
      <c r="C49" s="3" t="s">
        <v>45</v>
      </c>
      <c r="D49" s="3" t="s">
        <v>46</v>
      </c>
      <c r="E49" s="3" t="s">
        <v>38</v>
      </c>
      <c r="F49" s="3" t="s">
        <v>71</v>
      </c>
      <c r="G49" s="3" t="s">
        <v>6524</v>
      </c>
      <c r="H49" s="3" t="str">
        <f>HYPERLINK("http://www.jccm.es/sede/tramite/JLO","SOLICITUD SUBVENCIONES A ENTIDADES PARA EL MANTENIMIENTO DE SERVICIOS Y PROGRAMAS DE ATENCION A INFANCIA Y FAMILIA.")</f>
        <v>SOLICITUD SUBVENCIONES A ENTIDADES PARA EL MANTENIMIENTO DE SERVICIOS Y PROGRAMAS DE ATENCION A INFANCIA Y FAMILIA.</v>
      </c>
      <c r="I49" s="3" t="s">
        <v>41</v>
      </c>
      <c r="J49" s="3" t="s">
        <v>41</v>
      </c>
      <c r="K49" s="3" t="s">
        <v>42</v>
      </c>
      <c r="L49" s="3" t="s">
        <v>41</v>
      </c>
    </row>
    <row r="50" spans="1:12" ht="99.95" customHeight="1">
      <c r="A50" s="3" t="s">
        <v>6525</v>
      </c>
      <c r="B50" s="3" t="s">
        <v>6526</v>
      </c>
      <c r="C50" s="3" t="s">
        <v>45</v>
      </c>
      <c r="D50" s="3" t="s">
        <v>46</v>
      </c>
      <c r="E50" s="3" t="s">
        <v>38</v>
      </c>
      <c r="F50" s="3" t="s">
        <v>71</v>
      </c>
      <c r="G50" s="3" t="s">
        <v>6527</v>
      </c>
      <c r="H50" s="3" t="str">
        <f>HYPERLINK("http://www.jccm.es/sede/tramite/KPH","JUSTIFICACION SUBVENCIONES PARA EL DESARROLLO DE SERVICIOS Y PROGRAMAS DE PREVENCION Y ATENCION A LA INFANCIA Y A LAS FAMILIAS.")</f>
        <v>JUSTIFICACION SUBVENCIONES PARA EL DESARROLLO DE SERVICIOS Y PROGRAMAS DE PREVENCION Y ATENCION A LA INFANCIA Y A LAS FAMILIAS.</v>
      </c>
      <c r="I50" s="3" t="s">
        <v>41</v>
      </c>
      <c r="J50" s="3" t="s">
        <v>41</v>
      </c>
      <c r="K50" s="3" t="s">
        <v>42</v>
      </c>
      <c r="L50" s="3" t="s">
        <v>41</v>
      </c>
    </row>
    <row r="51" spans="1:12" ht="99.95" customHeight="1">
      <c r="A51" s="3" t="s">
        <v>6528</v>
      </c>
      <c r="B51" s="3" t="s">
        <v>6529</v>
      </c>
      <c r="C51" s="3" t="s">
        <v>45</v>
      </c>
      <c r="D51" s="3" t="s">
        <v>46</v>
      </c>
      <c r="E51" s="3" t="s">
        <v>38</v>
      </c>
      <c r="F51" s="3" t="s">
        <v>91</v>
      </c>
      <c r="G51" s="3" t="s">
        <v>6530</v>
      </c>
      <c r="H51" s="3" t="str">
        <f>HYPERLINK("http://www.jccm.es/sede/tramite/L4Y","JUSTIFICACION DE LAS RUTAS CONCEDIDAS EN EL MARCO DEL PROGRAMA MAYORES ACTIVOS. RUTAS CULTURALES Y DE OCIO PARA PERSONAS MAYORES DE CASTILLA-LA MANCHA.")</f>
        <v>JUSTIFICACION DE LAS RUTAS CONCEDIDAS EN EL MARCO DEL PROGRAMA MAYORES ACTIVOS. RUTAS CULTURALES Y DE OCIO PARA PERSONAS MAYORES DE CASTILLA-LA MANCHA.</v>
      </c>
      <c r="I51" s="3" t="s">
        <v>41</v>
      </c>
      <c r="J51" s="3" t="s">
        <v>41</v>
      </c>
      <c r="K51" s="3" t="s">
        <v>42</v>
      </c>
      <c r="L51" s="3" t="s">
        <v>41</v>
      </c>
    </row>
    <row r="52" spans="1:12" ht="99.95" customHeight="1">
      <c r="A52" s="3" t="s">
        <v>6531</v>
      </c>
      <c r="B52" s="3" t="s">
        <v>6532</v>
      </c>
      <c r="C52" s="3" t="s">
        <v>45</v>
      </c>
      <c r="D52" s="3" t="s">
        <v>46</v>
      </c>
      <c r="E52" s="3" t="s">
        <v>38</v>
      </c>
      <c r="F52" s="3" t="s">
        <v>91</v>
      </c>
      <c r="G52" s="3" t="s">
        <v>6533</v>
      </c>
      <c r="H52" s="3" t="str">
        <f>HYPERLINK("http://www.jccm.es/sede/tramite/L3G","PROGRAMA MAYORES ACTIVOS. RUTAS CULTURALES Y DE OCIO PARA PERSONAS MAYORES DE CASTILLA-LA MANCHA")</f>
        <v>PROGRAMA MAYORES ACTIVOS. RUTAS CULTURALES Y DE OCIO PARA PERSONAS MAYORES DE CASTILLA-LA MANCHA</v>
      </c>
      <c r="I52" s="3" t="s">
        <v>41</v>
      </c>
      <c r="J52" s="3" t="s">
        <v>41</v>
      </c>
      <c r="K52" s="3" t="s">
        <v>42</v>
      </c>
      <c r="L52" s="3" t="s">
        <v>41</v>
      </c>
    </row>
    <row r="53" spans="1:12" ht="99.95" customHeight="1">
      <c r="A53" s="3" t="s">
        <v>6534</v>
      </c>
      <c r="B53" s="3" t="s">
        <v>6535</v>
      </c>
      <c r="C53" s="3" t="s">
        <v>6536</v>
      </c>
      <c r="D53" s="3" t="s">
        <v>46</v>
      </c>
      <c r="E53" s="3" t="s">
        <v>38</v>
      </c>
      <c r="F53" s="3" t="s">
        <v>91</v>
      </c>
      <c r="G53" s="3" t="s">
        <v>6537</v>
      </c>
      <c r="H53" s="3" t="str">
        <f>HYPERLINK("http://www.jccm.es/sede/tramite/LFG","JUSTIFICACION DE LA SUBVENCION A CENTROS RESIDENCIALES, COMO CONSECUENCIA DE LA COVID-19, PARA LA ATENCION Y CUIDADO DE LAS PERSONAS MAYORES.")</f>
        <v>JUSTIFICACION DE LA SUBVENCION A CENTROS RESIDENCIALES, COMO CONSECUENCIA DE LA COVID-19, PARA LA ATENCION Y CUIDADO DE LAS PERSONAS MAYORES.</v>
      </c>
      <c r="I53" s="3" t="s">
        <v>41</v>
      </c>
      <c r="J53" s="3" t="s">
        <v>41</v>
      </c>
      <c r="K53" s="3" t="s">
        <v>42</v>
      </c>
      <c r="L53" s="3" t="s">
        <v>41</v>
      </c>
    </row>
    <row r="54" spans="1:12" ht="99.95" customHeight="1">
      <c r="A54" s="3" t="s">
        <v>6538</v>
      </c>
      <c r="B54" s="3" t="s">
        <v>6539</v>
      </c>
      <c r="C54" s="3" t="s">
        <v>6536</v>
      </c>
      <c r="D54" s="3" t="s">
        <v>46</v>
      </c>
      <c r="E54" s="3" t="s">
        <v>38</v>
      </c>
      <c r="F54" s="3" t="s">
        <v>91</v>
      </c>
      <c r="G54" s="3" t="s">
        <v>6540</v>
      </c>
      <c r="H54" s="3" t="str">
        <f>HYPERLINK("http://www.jccm.es/sede/tramite/LFF","SOLICITUD DE SUBVENCION A CENTROS RESIDENCIALES, COMO CONSECUENCIA DE LA COVID-19, PARA LA ATENCION Y CUIDADO DE LAS PERSONAS MAYORES.")</f>
        <v>SOLICITUD DE SUBVENCION A CENTROS RESIDENCIALES, COMO CONSECUENCIA DE LA COVID-19, PARA LA ATENCION Y CUIDADO DE LAS PERSONAS MAYORES.</v>
      </c>
      <c r="I54" s="3" t="s">
        <v>41</v>
      </c>
      <c r="J54" s="3" t="s">
        <v>41</v>
      </c>
      <c r="K54" s="3" t="s">
        <v>42</v>
      </c>
      <c r="L54" s="3" t="s">
        <v>41</v>
      </c>
    </row>
    <row r="55" spans="1:12" ht="99.95" customHeight="1">
      <c r="A55" s="3" t="s">
        <v>6541</v>
      </c>
      <c r="B55" s="3" t="s">
        <v>6542</v>
      </c>
      <c r="C55" s="3" t="s">
        <v>45</v>
      </c>
      <c r="D55" s="3" t="s">
        <v>46</v>
      </c>
      <c r="E55" s="3" t="s">
        <v>38</v>
      </c>
      <c r="F55" s="3" t="s">
        <v>91</v>
      </c>
      <c r="G55" s="3" t="s">
        <v>6543</v>
      </c>
      <c r="H55" s="3" t="str">
        <f>HYPERLINK("http://www.jccm.es/sede/tramite/LJN","SOLICITUD DE SUBVENCION LINEA 1. CENTROS Y SERVICIOS DE ATENCION A PERSONAS MAYORES.")</f>
        <v>SOLICITUD DE SUBVENCION LINEA 1. CENTROS Y SERVICIOS DE ATENCION A PERSONAS MAYORES.</v>
      </c>
      <c r="I55" s="3" t="s">
        <v>41</v>
      </c>
      <c r="J55" s="3" t="s">
        <v>41</v>
      </c>
      <c r="K55" s="3" t="s">
        <v>42</v>
      </c>
      <c r="L55" s="3" t="s">
        <v>41</v>
      </c>
    </row>
    <row r="56" spans="1:12" ht="99.95" customHeight="1">
      <c r="A56" s="3" t="s">
        <v>6544</v>
      </c>
      <c r="B56" s="3" t="s">
        <v>6545</v>
      </c>
      <c r="C56" s="3" t="s">
        <v>45</v>
      </c>
      <c r="D56" s="3" t="s">
        <v>46</v>
      </c>
      <c r="E56" s="3" t="s">
        <v>38</v>
      </c>
      <c r="F56" s="3" t="s">
        <v>47</v>
      </c>
      <c r="G56" s="3" t="s">
        <v>6546</v>
      </c>
      <c r="H56" s="3" t="str">
        <f>HYPERLINK("http://www.jccm.es/sede/tramite/LJP","SOLICITUD DE SUBVENCION LINEA 2. CENTROS Y SERVICIOS DE ATENCION A PERSONAS CON DISCAPACIDAD")</f>
        <v>SOLICITUD DE SUBVENCION LINEA 2. CENTROS Y SERVICIOS DE ATENCION A PERSONAS CON DISCAPACIDAD</v>
      </c>
      <c r="I56" s="3" t="s">
        <v>41</v>
      </c>
      <c r="J56" s="3" t="s">
        <v>41</v>
      </c>
      <c r="K56" s="3" t="s">
        <v>42</v>
      </c>
      <c r="L56" s="3" t="s">
        <v>41</v>
      </c>
    </row>
    <row r="57" spans="1:12" ht="99.95" customHeight="1">
      <c r="A57" s="3" t="s">
        <v>6547</v>
      </c>
      <c r="B57" s="3" t="s">
        <v>6548</v>
      </c>
      <c r="C57" s="3" t="s">
        <v>45</v>
      </c>
      <c r="D57" s="3" t="s">
        <v>46</v>
      </c>
      <c r="E57" s="3" t="s">
        <v>38</v>
      </c>
      <c r="F57" s="3" t="s">
        <v>63</v>
      </c>
      <c r="G57" s="3" t="s">
        <v>6549</v>
      </c>
      <c r="H57" s="3" t="str">
        <f>HYPERLINK("http://www.jccm.es/sede/tramite/LJR","SOLICITUD DE SUBVENCION LINEA 3. CENTROS Y SERVICIOS DE ATENCION A PERSONAS SIN HOGAR")</f>
        <v>SOLICITUD DE SUBVENCION LINEA 3. CENTROS Y SERVICIOS DE ATENCION A PERSONAS SIN HOGAR</v>
      </c>
      <c r="I57" s="3" t="s">
        <v>41</v>
      </c>
      <c r="J57" s="3" t="s">
        <v>41</v>
      </c>
      <c r="K57" s="3" t="s">
        <v>42</v>
      </c>
      <c r="L57" s="3" t="s">
        <v>41</v>
      </c>
    </row>
    <row r="58" spans="1:12" ht="99.95" customHeight="1">
      <c r="A58" s="3" t="s">
        <v>6550</v>
      </c>
      <c r="B58" s="3" t="s">
        <v>6551</v>
      </c>
      <c r="C58" s="3" t="s">
        <v>45</v>
      </c>
      <c r="D58" s="3" t="s">
        <v>46</v>
      </c>
      <c r="E58" s="3" t="s">
        <v>38</v>
      </c>
      <c r="F58" s="3" t="s">
        <v>6440</v>
      </c>
      <c r="G58" s="3" t="s">
        <v>6552</v>
      </c>
      <c r="H58" s="3" t="str">
        <f>HYPERLINK("http://www.jccm.es/sede/tramite/LJT","SOLICITUD DE SUBVENCION LINEA 4. SERVICIOS DE PROMOCION DE LA AUTONOMIA PERSONAL (SEPAP MERJORAT) Y SERVICIOS DE PREVENCION DE LA DEPENDENCIA")</f>
        <v>SOLICITUD DE SUBVENCION LINEA 4. SERVICIOS DE PROMOCION DE LA AUTONOMIA PERSONAL (SEPAP MERJORAT) Y SERVICIOS DE PREVENCION DE LA DEPENDENCIA</v>
      </c>
      <c r="I58" s="3" t="s">
        <v>41</v>
      </c>
      <c r="J58" s="3" t="s">
        <v>41</v>
      </c>
      <c r="K58" s="3" t="s">
        <v>42</v>
      </c>
      <c r="L58" s="3" t="s">
        <v>41</v>
      </c>
    </row>
    <row r="59" spans="1:12" ht="99.95" customHeight="1">
      <c r="A59" s="3" t="s">
        <v>6553</v>
      </c>
      <c r="B59" s="3" t="s">
        <v>6554</v>
      </c>
      <c r="C59" s="3" t="s">
        <v>45</v>
      </c>
      <c r="D59" s="3" t="s">
        <v>46</v>
      </c>
      <c r="E59" s="3" t="s">
        <v>38</v>
      </c>
      <c r="F59" s="3" t="s">
        <v>71</v>
      </c>
      <c r="G59" s="3" t="s">
        <v>6555</v>
      </c>
      <c r="H59" s="3" t="str">
        <f>HYPERLINK("http://www.jccm.es/sede/tramite/LJV","SOLICITUD DE SUBVENCION LINEA 5. CENTROS Y HOGARES DE ATENCION RESIDENCIAL DE NIÑOS, NIÑAS Y ADOLESCENTES TUTELADOS, SERVICIOS DE APOYO A MENORES.")</f>
        <v>SOLICITUD DE SUBVENCION LINEA 5. CENTROS Y HOGARES DE ATENCION RESIDENCIAL DE NIÑOS, NIÑAS Y ADOLESCENTES TUTELADOS, SERVICIOS DE APOYO A MENORES.</v>
      </c>
      <c r="I59" s="3" t="s">
        <v>41</v>
      </c>
      <c r="J59" s="3" t="s">
        <v>41</v>
      </c>
      <c r="K59" s="3" t="s">
        <v>42</v>
      </c>
      <c r="L59" s="3" t="s">
        <v>41</v>
      </c>
    </row>
    <row r="60" spans="1:12" ht="99.95" customHeight="1">
      <c r="A60" s="3" t="s">
        <v>6556</v>
      </c>
      <c r="B60" s="3" t="s">
        <v>6557</v>
      </c>
      <c r="C60" s="3" t="s">
        <v>45</v>
      </c>
      <c r="D60" s="3" t="s">
        <v>46</v>
      </c>
      <c r="E60" s="3" t="s">
        <v>38</v>
      </c>
      <c r="F60" s="3" t="s">
        <v>78</v>
      </c>
      <c r="G60" s="3" t="s">
        <v>6558</v>
      </c>
      <c r="H60" s="3" t="str">
        <f>HYPERLINK("http://www.jccm.es/sede/tramite/LJX","SOLICITUD DE SUBVENCION LINEA 6. ENTIDADES DEL TERCER SECTOR DE ACCION SOCIAL")</f>
        <v>SOLICITUD DE SUBVENCION LINEA 6. ENTIDADES DEL TERCER SECTOR DE ACCION SOCIAL</v>
      </c>
      <c r="I60" s="3" t="s">
        <v>41</v>
      </c>
      <c r="J60" s="3" t="s">
        <v>41</v>
      </c>
      <c r="K60" s="3" t="s">
        <v>42</v>
      </c>
      <c r="L60" s="3" t="s">
        <v>41</v>
      </c>
    </row>
    <row r="61" spans="1:12" ht="99.95" customHeight="1">
      <c r="A61" s="3" t="s">
        <v>6559</v>
      </c>
      <c r="B61" s="3" t="s">
        <v>6560</v>
      </c>
      <c r="C61" s="3" t="s">
        <v>45</v>
      </c>
      <c r="D61" s="3" t="s">
        <v>46</v>
      </c>
      <c r="E61" s="3" t="s">
        <v>38</v>
      </c>
      <c r="F61" s="3" t="s">
        <v>39</v>
      </c>
      <c r="G61" s="3" t="s">
        <v>6561</v>
      </c>
      <c r="H61" s="3" t="str">
        <f>HYPERLINK("http://www.jccm.es/sede/tramite/LOL","MODELO DE CUENTA JUSTIFICATIVA SIMPLIFICADA DE SUBVENCIONES DESTINADAS A LA MEJORA DE LA ACCESIBILIDAD DE INFRAESTRUCTURAS Y EQUIPAMIENTOS EELL  CON POBLACION INFERIOR O IGUAL A 1000 HABITANTES")</f>
        <v>MODELO DE CUENTA JUSTIFICATIVA SIMPLIFICADA DE SUBVENCIONES DESTINADAS A LA MEJORA DE LA ACCESIBILIDAD DE INFRAESTRUCTURAS Y EQUIPAMIENTOS EELL  CON POBLACION INFERIOR O IGUAL A 1000 HABITANTES</v>
      </c>
      <c r="I61" s="3" t="s">
        <v>41</v>
      </c>
      <c r="J61" s="3" t="s">
        <v>41</v>
      </c>
      <c r="K61" s="3" t="s">
        <v>42</v>
      </c>
      <c r="L61" s="3" t="s">
        <v>41</v>
      </c>
    </row>
    <row r="62" spans="1:12" ht="99.95" customHeight="1">
      <c r="A62" s="3" t="s">
        <v>6562</v>
      </c>
      <c r="B62" s="3" t="s">
        <v>6563</v>
      </c>
      <c r="C62" s="3" t="s">
        <v>45</v>
      </c>
      <c r="D62" s="3" t="s">
        <v>46</v>
      </c>
      <c r="E62" s="3" t="s">
        <v>38</v>
      </c>
      <c r="F62" s="3" t="s">
        <v>39</v>
      </c>
      <c r="G62" s="3" t="s">
        <v>6564</v>
      </c>
      <c r="H62" s="3" t="str">
        <f>HYPERLINK("http://www.jccm.es/sede/tramite/LOK","SUBVENCIONES A ENTIDADES LOCALES DE CASTILLA-LA MANCHA CON POBLACION INFERIOR O IGUAL A MIL HABITANTES PARA MEJORA DE LA ACCESIBILIDAD DE SUS INFRAESTRUCTURAS Y EQUIPAMIENTOS.")</f>
        <v>SUBVENCIONES A ENTIDADES LOCALES DE CASTILLA-LA MANCHA CON POBLACION INFERIOR O IGUAL A MIL HABITANTES PARA MEJORA DE LA ACCESIBILIDAD DE SUS INFRAESTRUCTURAS Y EQUIPAMIENTOS.</v>
      </c>
      <c r="I62" s="3" t="s">
        <v>41</v>
      </c>
      <c r="J62" s="3" t="s">
        <v>41</v>
      </c>
      <c r="K62" s="3" t="s">
        <v>42</v>
      </c>
      <c r="L62" s="3" t="s">
        <v>41</v>
      </c>
    </row>
    <row r="63" spans="1:12" ht="99.95" customHeight="1">
      <c r="A63" s="3" t="s">
        <v>6565</v>
      </c>
      <c r="B63" s="3" t="s">
        <v>6566</v>
      </c>
      <c r="C63" s="3" t="s">
        <v>70</v>
      </c>
      <c r="D63" s="3" t="s">
        <v>46</v>
      </c>
      <c r="E63" s="3" t="s">
        <v>38</v>
      </c>
      <c r="F63" s="3" t="s">
        <v>47</v>
      </c>
      <c r="G63" s="3" t="s">
        <v>6567</v>
      </c>
      <c r="H63" s="3" t="str">
        <f>HYPERLINK("http://www.jccm.es/sede/tramite/LP5","SOLICITUD DE SUBVENCION LINEA 2. CENTROS DE TITULARIDAD MUNICIPAL DE ATENCION A PERSONAS CON DISCAPACIDAD")</f>
        <v>SOLICITUD DE SUBVENCION LINEA 2. CENTROS DE TITULARIDAD MUNICIPAL DE ATENCION A PERSONAS CON DISCAPACIDAD</v>
      </c>
      <c r="I63" s="3" t="s">
        <v>41</v>
      </c>
      <c r="J63" s="3" t="s">
        <v>41</v>
      </c>
      <c r="K63" s="3" t="s">
        <v>42</v>
      </c>
      <c r="L63" s="3" t="s">
        <v>41</v>
      </c>
    </row>
    <row r="64" spans="1:12" ht="99.95" customHeight="1">
      <c r="A64" s="3" t="s">
        <v>6568</v>
      </c>
      <c r="B64" s="3" t="s">
        <v>6569</v>
      </c>
      <c r="C64" s="3" t="s">
        <v>70</v>
      </c>
      <c r="D64" s="3" t="s">
        <v>46</v>
      </c>
      <c r="E64" s="3" t="s">
        <v>38</v>
      </c>
      <c r="F64" s="3" t="s">
        <v>91</v>
      </c>
      <c r="G64" s="3" t="s">
        <v>6570</v>
      </c>
      <c r="H64" s="3" t="str">
        <f>HYPERLINK("http://www.jccm.es/sede/tramite/LP4","SOLICITUD DE SUBVENCION LINEA 1. CENTROS DE TITULARIDAD MUNICIPAL DE ATENCION A PERSONAS MAYORES.")</f>
        <v>SOLICITUD DE SUBVENCION LINEA 1. CENTROS DE TITULARIDAD MUNICIPAL DE ATENCION A PERSONAS MAYORES.</v>
      </c>
      <c r="I64" s="3" t="s">
        <v>41</v>
      </c>
      <c r="J64" s="3" t="s">
        <v>41</v>
      </c>
      <c r="K64" s="3" t="s">
        <v>42</v>
      </c>
      <c r="L64" s="3" t="s">
        <v>41</v>
      </c>
    </row>
    <row r="65" spans="1:12" ht="99.95" customHeight="1">
      <c r="A65" s="3" t="s">
        <v>6571</v>
      </c>
      <c r="B65" s="3" t="s">
        <v>6572</v>
      </c>
      <c r="C65" s="3" t="s">
        <v>45</v>
      </c>
      <c r="D65" s="3" t="s">
        <v>46</v>
      </c>
      <c r="E65" s="3" t="s">
        <v>38</v>
      </c>
      <c r="F65" s="3" t="s">
        <v>39</v>
      </c>
      <c r="G65" s="3" t="s">
        <v>6573</v>
      </c>
      <c r="H65" s="3" t="str">
        <f>HYPERLINK("http://www.jccm.es/sede/tramite/824","ACREDITACION DE ESTABLECIMIENTOS, INSTALACIONES Y VEHICULOS DE TRANSPORTE PUBLICO ACCESIBLES")</f>
        <v>ACREDITACION DE ESTABLECIMIENTOS, INSTALACIONES Y VEHICULOS DE TRANSPORTE PUBLICO ACCESIBLES</v>
      </c>
      <c r="I65" s="3" t="s">
        <v>42</v>
      </c>
      <c r="J65" s="3" t="s">
        <v>41</v>
      </c>
      <c r="K65" s="3" t="s">
        <v>42</v>
      </c>
      <c r="L65" s="3" t="s">
        <v>41</v>
      </c>
    </row>
    <row r="66" spans="1:12" ht="99.95" customHeight="1">
      <c r="A66" s="3" t="s">
        <v>6574</v>
      </c>
      <c r="B66" s="3" t="s">
        <v>6575</v>
      </c>
      <c r="C66" s="3" t="s">
        <v>45</v>
      </c>
      <c r="D66" s="3" t="s">
        <v>46</v>
      </c>
      <c r="E66" s="3" t="s">
        <v>38</v>
      </c>
      <c r="F66" s="3" t="s">
        <v>39</v>
      </c>
      <c r="G66" s="3" t="s">
        <v>6576</v>
      </c>
      <c r="H66" s="3" t="str">
        <f>HYPERLINK("http://www.jccm.es/sede/tramite/B00","ACREDITACION DE LA CALIDAD DE LOS SERVICIOS")</f>
        <v>ACREDITACION DE LA CALIDAD DE LOS SERVICIOS</v>
      </c>
      <c r="I66" s="3" t="s">
        <v>41</v>
      </c>
      <c r="J66" s="3" t="s">
        <v>41</v>
      </c>
      <c r="K66" s="3" t="s">
        <v>42</v>
      </c>
      <c r="L66" s="3" t="s">
        <v>41</v>
      </c>
    </row>
    <row r="67" spans="1:12" ht="99.95" customHeight="1">
      <c r="A67" s="3" t="s">
        <v>6577</v>
      </c>
      <c r="B67" s="3" t="s">
        <v>6578</v>
      </c>
      <c r="C67" s="3" t="s">
        <v>327</v>
      </c>
      <c r="D67" s="3" t="s">
        <v>46</v>
      </c>
      <c r="E67" s="3" t="s">
        <v>38</v>
      </c>
      <c r="F67" s="3" t="s">
        <v>47</v>
      </c>
      <c r="G67" s="3" t="s">
        <v>6579</v>
      </c>
      <c r="H67" s="3" t="str">
        <f>HYPERLINK("http://www.jccm.es/sede/tramite/B19","RECONOCIMIENTO DEL GRADO DE DISCAPACIDAD")</f>
        <v>RECONOCIMIENTO DEL GRADO DE DISCAPACIDAD</v>
      </c>
      <c r="I67" s="3" t="s">
        <v>42</v>
      </c>
      <c r="J67" s="3" t="s">
        <v>41</v>
      </c>
      <c r="K67" s="3" t="s">
        <v>42</v>
      </c>
      <c r="L67" s="3" t="s">
        <v>41</v>
      </c>
    </row>
    <row r="68" spans="1:12" ht="108.75" customHeight="1">
      <c r="A68" s="3" t="s">
        <v>6580</v>
      </c>
      <c r="B68" s="3" t="s">
        <v>6581</v>
      </c>
      <c r="C68" s="3" t="s">
        <v>62</v>
      </c>
      <c r="D68" s="3" t="s">
        <v>46</v>
      </c>
      <c r="E68" s="3" t="s">
        <v>38</v>
      </c>
      <c r="F68" s="3" t="s">
        <v>78</v>
      </c>
      <c r="G68" s="3" t="s">
        <v>6582</v>
      </c>
      <c r="H68" s="3" t="str">
        <f>HYPERLINK("http://www.jccm.es/sede/tramite/A11","TITULO DE FAMILIA NUMEROSA")</f>
        <v>TITULO DE FAMILIA NUMEROSA</v>
      </c>
      <c r="I68" s="3" t="s">
        <v>42</v>
      </c>
      <c r="J68" s="3" t="s">
        <v>41</v>
      </c>
      <c r="K68" s="3" t="s">
        <v>42</v>
      </c>
      <c r="L68" s="3" t="s">
        <v>41</v>
      </c>
    </row>
    <row r="69" spans="1:12" ht="99.95" customHeight="1">
      <c r="A69" s="3" t="s">
        <v>6583</v>
      </c>
      <c r="B69" s="3" t="s">
        <v>6584</v>
      </c>
      <c r="C69" s="3" t="s">
        <v>700</v>
      </c>
      <c r="D69" s="3" t="s">
        <v>46</v>
      </c>
      <c r="E69" s="3" t="s">
        <v>38</v>
      </c>
      <c r="F69" s="3" t="s">
        <v>47</v>
      </c>
      <c r="G69" s="3" t="s">
        <v>6585</v>
      </c>
      <c r="H69" s="3" t="str">
        <f>HYPERLINK("http://www.jccm.es/sede/tramite/JJ2","TARJETA ACREDITATIVA DE GRADO DE DISCAPACIDAD")</f>
        <v>TARJETA ACREDITATIVA DE GRADO DE DISCAPACIDAD</v>
      </c>
      <c r="I69" s="3" t="s">
        <v>42</v>
      </c>
      <c r="J69" s="3" t="s">
        <v>41</v>
      </c>
      <c r="K69" s="3" t="s">
        <v>42</v>
      </c>
      <c r="L69" s="3" t="s">
        <v>41</v>
      </c>
    </row>
    <row r="70" spans="1:12" ht="99.95" customHeight="1">
      <c r="A70" s="3" t="s">
        <v>6586</v>
      </c>
      <c r="B70" s="3" t="s">
        <v>6587</v>
      </c>
      <c r="C70" s="3" t="s">
        <v>327</v>
      </c>
      <c r="D70" s="3" t="s">
        <v>37</v>
      </c>
      <c r="E70" s="3" t="s">
        <v>38</v>
      </c>
      <c r="F70" s="3" t="s">
        <v>39</v>
      </c>
      <c r="G70" s="3" t="s">
        <v>6588</v>
      </c>
      <c r="H70" s="3" t="str">
        <f>HYPERLINK("http://www.jccm.es/sede/tramite/K1J","ACREDITACION DE LOS SERVICIOS DE ATENCION DOMICILIARIA: AYUDA A DOMICILIO Y TELEASISTENCIA.")</f>
        <v>ACREDITACION DE LOS SERVICIOS DE ATENCION DOMICILIARIA: AYUDA A DOMICILIO Y TELEASISTENCIA.</v>
      </c>
      <c r="I70" s="3" t="s">
        <v>42</v>
      </c>
      <c r="J70" s="3" t="s">
        <v>41</v>
      </c>
      <c r="K70" s="3" t="s">
        <v>42</v>
      </c>
      <c r="L70" s="3" t="s">
        <v>41</v>
      </c>
    </row>
    <row r="71" spans="1:12" ht="99.95" customHeight="1">
      <c r="A71" s="3" t="s">
        <v>6589</v>
      </c>
      <c r="B71" s="3" t="s">
        <v>6590</v>
      </c>
      <c r="C71" s="3" t="s">
        <v>327</v>
      </c>
      <c r="D71" s="3" t="s">
        <v>46</v>
      </c>
      <c r="E71" s="3" t="s">
        <v>38</v>
      </c>
      <c r="F71" s="3" t="s">
        <v>6440</v>
      </c>
      <c r="G71" s="3" t="s">
        <v>6591</v>
      </c>
      <c r="H71" s="3" t="str">
        <f>HYPERLINK("http://www.jccm.es/sede/tramite/KJM","HABILITACION DE PROFESIONALES DE CENTROS Y SERVICIOS DEL SISTEMA DE AUTONOMIA Y ATENCION A LA DEPENDENCIA.")</f>
        <v>HABILITACION DE PROFESIONALES DE CENTROS Y SERVICIOS DEL SISTEMA DE AUTONOMIA Y ATENCION A LA DEPENDENCIA.</v>
      </c>
      <c r="I71" s="3" t="s">
        <v>42</v>
      </c>
      <c r="J71" s="3" t="s">
        <v>41</v>
      </c>
      <c r="K71" s="3" t="s">
        <v>42</v>
      </c>
      <c r="L71" s="3" t="s">
        <v>41</v>
      </c>
    </row>
    <row r="72" spans="1:12" ht="99.95" customHeight="1">
      <c r="A72" s="3" t="s">
        <v>6592</v>
      </c>
      <c r="B72" s="3" t="s">
        <v>6593</v>
      </c>
      <c r="C72" s="3" t="s">
        <v>6594</v>
      </c>
      <c r="D72" s="3" t="s">
        <v>95</v>
      </c>
      <c r="E72" s="3" t="s">
        <v>38</v>
      </c>
      <c r="F72" s="3" t="s">
        <v>39</v>
      </c>
      <c r="G72" s="3" t="s">
        <v>6595</v>
      </c>
      <c r="H72" s="3" t="str">
        <f>HYPERLINK("http://www.jccm.es/sede/tramite/L55","INFORME SECTORIAL DE CUMPLIMIENTO DE LA NORMATIVA DE ACCESIBILIDAD POR LOS PLANES DE ORDENACION MUNICIPAL.")</f>
        <v>INFORME SECTORIAL DE CUMPLIMIENTO DE LA NORMATIVA DE ACCESIBILIDAD POR LOS PLANES DE ORDENACION MUNICIPAL.</v>
      </c>
      <c r="I72" s="3" t="s">
        <v>41</v>
      </c>
      <c r="J72" s="3" t="s">
        <v>41</v>
      </c>
      <c r="K72" s="3" t="s">
        <v>42</v>
      </c>
      <c r="L72" s="3" t="s">
        <v>41</v>
      </c>
    </row>
    <row r="73" spans="1:12" ht="99.95" customHeight="1">
      <c r="A73" s="3" t="s">
        <v>6596</v>
      </c>
      <c r="B73" s="3" t="s">
        <v>6597</v>
      </c>
      <c r="C73" s="3" t="s">
        <v>45</v>
      </c>
      <c r="D73" s="3" t="s">
        <v>46</v>
      </c>
      <c r="E73" s="3" t="s">
        <v>38</v>
      </c>
      <c r="F73" s="3" t="s">
        <v>39</v>
      </c>
      <c r="G73" s="3" t="s">
        <v>6598</v>
      </c>
      <c r="H73" s="3" t="str">
        <f>HYPERLINK("http://www.jccm.es/sede/tramite/LSR","INFORME PREVIO SOBRE ADECUACION DEL PROYECTO A LA NORMATIVA ESPECIFICA DEL SERVICIO PUBLICO A PRESTAR")</f>
        <v>INFORME PREVIO SOBRE ADECUACION DEL PROYECTO A LA NORMATIVA ESPECIFICA DEL SERVICIO PUBLICO A PRESTAR</v>
      </c>
      <c r="I73" s="3" t="s">
        <v>41</v>
      </c>
      <c r="J73" s="3" t="s">
        <v>41</v>
      </c>
      <c r="K73" s="3" t="s">
        <v>42</v>
      </c>
      <c r="L73" s="3" t="s">
        <v>41</v>
      </c>
    </row>
    <row r="74" spans="1:12" ht="99.95" customHeight="1">
      <c r="A74" s="3" t="s">
        <v>6599</v>
      </c>
      <c r="B74" s="3" t="s">
        <v>6600</v>
      </c>
      <c r="C74" s="3" t="s">
        <v>3100</v>
      </c>
      <c r="D74" s="3" t="s">
        <v>46</v>
      </c>
      <c r="E74" s="3" t="s">
        <v>38</v>
      </c>
      <c r="F74" s="3" t="s">
        <v>91</v>
      </c>
      <c r="G74" s="3" t="s">
        <v>6601</v>
      </c>
      <c r="H74" s="3" t="str">
        <f>HYPERLINK("http://www.jccm.es/sede/tramite/LUX","CONVOCATORIA DE CONCIERTO SOCIAL PARA EL SERVICIO DE PLAZAS RESIDENCIALES EN LA JUNTA DE COMUNIDADES DE CASTILLA-LA MANCHA VINCULADAS A LA CONSTRUCCION DE RESIDENCIAS PARA PERSONAS MAYORES.")</f>
        <v>CONVOCATORIA DE CONCIERTO SOCIAL PARA EL SERVICIO DE PLAZAS RESIDENCIALES EN LA JUNTA DE COMUNIDADES DE CASTILLA-LA MANCHA VINCULADAS A LA CONSTRUCCION DE RESIDENCIAS PARA PERSONAS MAYORES.</v>
      </c>
      <c r="I74" s="3" t="s">
        <v>41</v>
      </c>
      <c r="J74" s="3" t="s">
        <v>41</v>
      </c>
      <c r="K74" s="3" t="s">
        <v>42</v>
      </c>
      <c r="L74" s="3" t="s">
        <v>41</v>
      </c>
    </row>
    <row r="75" spans="1:12" ht="99.95" customHeight="1">
      <c r="A75" s="3" t="s">
        <v>6602</v>
      </c>
      <c r="B75" s="3" t="s">
        <v>6603</v>
      </c>
      <c r="C75" s="3" t="s">
        <v>327</v>
      </c>
      <c r="D75" s="3" t="s">
        <v>46</v>
      </c>
      <c r="E75" s="3" t="s">
        <v>38</v>
      </c>
      <c r="F75" s="3" t="s">
        <v>91</v>
      </c>
      <c r="G75" s="3" t="s">
        <v>6604</v>
      </c>
      <c r="H75" s="3" t="str">
        <f>HYPERLINK("http://www.jccm.es/sede/tramite/031","ADMISION EN CENTROS RESIDENCIALES DE MAYORES DE LA RED PUBLICA DE CASTILLA LA MANCHA")</f>
        <v>ADMISION EN CENTROS RESIDENCIALES DE MAYORES DE LA RED PUBLICA DE CASTILLA LA MANCHA</v>
      </c>
      <c r="I75" s="3" t="s">
        <v>42</v>
      </c>
      <c r="J75" s="3" t="s">
        <v>41</v>
      </c>
      <c r="K75" s="3" t="s">
        <v>42</v>
      </c>
      <c r="L75" s="3" t="s">
        <v>41</v>
      </c>
    </row>
    <row r="76" spans="1:12" ht="132.75" customHeight="1">
      <c r="A76" s="3" t="s">
        <v>6605</v>
      </c>
      <c r="B76" s="3" t="s">
        <v>6606</v>
      </c>
      <c r="C76" s="3" t="s">
        <v>45</v>
      </c>
      <c r="D76" s="3" t="s">
        <v>46</v>
      </c>
      <c r="E76" s="3" t="s">
        <v>38</v>
      </c>
      <c r="F76" s="3" t="s">
        <v>91</v>
      </c>
      <c r="G76" s="3" t="s">
        <v>6607</v>
      </c>
      <c r="H76" s="3" t="str">
        <f>HYPERLINK("http://www.jccm.es/sede/tramite/I32","TRAMITACION DE ESTANCIAS TEMPORALES EN RESIDENCIAS DE MAYORES")</f>
        <v>TRAMITACION DE ESTANCIAS TEMPORALES EN RESIDENCIAS DE MAYORES</v>
      </c>
      <c r="I76" s="3" t="s">
        <v>42</v>
      </c>
      <c r="J76" s="3" t="s">
        <v>41</v>
      </c>
      <c r="K76" s="3" t="s">
        <v>42</v>
      </c>
      <c r="L76" s="3" t="s">
        <v>41</v>
      </c>
    </row>
    <row r="77" spans="1:12" ht="45.95">
      <c r="A77" s="3" t="s">
        <v>6608</v>
      </c>
      <c r="B77" s="3" t="s">
        <v>6609</v>
      </c>
      <c r="C77" s="3" t="s">
        <v>327</v>
      </c>
      <c r="D77" s="3" t="s">
        <v>46</v>
      </c>
      <c r="E77" s="3" t="s">
        <v>38</v>
      </c>
      <c r="F77" s="3" t="s">
        <v>91</v>
      </c>
      <c r="G77" s="3" t="s">
        <v>6610</v>
      </c>
      <c r="H77" s="3" t="str">
        <f>HYPERLINK("http://www.jccm.es/sede/tramite/A16","TRASLADOS VOLUNTARIOS EN CENTROS RESIDENCIALES DE MAYORES DE LA RED PUBLICA DE CASTILLA-LA MANCHA")</f>
        <v>TRASLADOS VOLUNTARIOS EN CENTROS RESIDENCIALES DE MAYORES DE LA RED PUBLICA DE CASTILLA-LA MANCHA</v>
      </c>
      <c r="I77" s="3" t="s">
        <v>42</v>
      </c>
      <c r="J77" s="3" t="s">
        <v>41</v>
      </c>
      <c r="K77" s="3" t="s">
        <v>42</v>
      </c>
      <c r="L77" s="3" t="s">
        <v>41</v>
      </c>
    </row>
    <row r="78" spans="1:12" ht="45.95">
      <c r="A78" s="3" t="s">
        <v>6611</v>
      </c>
      <c r="B78" s="3" t="s">
        <v>6612</v>
      </c>
      <c r="C78" s="3" t="s">
        <v>327</v>
      </c>
      <c r="D78" s="3" t="s">
        <v>46</v>
      </c>
      <c r="E78" s="3" t="s">
        <v>38</v>
      </c>
      <c r="F78" s="3" t="s">
        <v>47</v>
      </c>
      <c r="G78" s="3" t="s">
        <v>6613</v>
      </c>
      <c r="H78" s="3" t="str">
        <f>HYPERLINK("http://www.jccm.es/sede/tramite/H76","INGRESO EN CENTROS DE ATENCION PARA PERSONAS CON DISCAPACIDAD INTELECTUAL")</f>
        <v>INGRESO EN CENTROS DE ATENCION PARA PERSONAS CON DISCAPACIDAD INTELECTUAL</v>
      </c>
      <c r="I78" s="3" t="s">
        <v>42</v>
      </c>
      <c r="J78" s="3" t="s">
        <v>41</v>
      </c>
      <c r="K78" s="3" t="s">
        <v>42</v>
      </c>
      <c r="L78" s="3" t="s">
        <v>41</v>
      </c>
    </row>
    <row r="79" spans="1:12" ht="45.95">
      <c r="A79" s="3" t="s">
        <v>6614</v>
      </c>
      <c r="B79" s="3" t="s">
        <v>6615</v>
      </c>
      <c r="C79" s="3" t="s">
        <v>45</v>
      </c>
      <c r="D79" s="3" t="s">
        <v>46</v>
      </c>
      <c r="E79" s="3" t="s">
        <v>38</v>
      </c>
      <c r="F79" s="3" t="s">
        <v>47</v>
      </c>
      <c r="G79" s="3" t="s">
        <v>6616</v>
      </c>
      <c r="H79" s="3" t="str">
        <f>HYPERLINK("http://www.jccm.es/sede/tramite/IL4","TRASLADOS DE CENTROS DE ATENCION DE PERSONAS CON DISCAPACIDAD INTELECTUAL")</f>
        <v>TRASLADOS DE CENTROS DE ATENCION DE PERSONAS CON DISCAPACIDAD INTELECTUAL</v>
      </c>
      <c r="I79" s="3" t="s">
        <v>42</v>
      </c>
      <c r="J79" s="3" t="s">
        <v>41</v>
      </c>
      <c r="K79" s="3" t="s">
        <v>42</v>
      </c>
      <c r="L79" s="3" t="s">
        <v>41</v>
      </c>
    </row>
    <row r="80" spans="1:12" ht="45.95">
      <c r="A80" s="3" t="s">
        <v>6617</v>
      </c>
      <c r="B80" s="3" t="s">
        <v>6618</v>
      </c>
      <c r="C80" s="3" t="s">
        <v>327</v>
      </c>
      <c r="D80" s="3" t="s">
        <v>46</v>
      </c>
      <c r="E80" s="3" t="s">
        <v>38</v>
      </c>
      <c r="F80" s="3" t="s">
        <v>47</v>
      </c>
      <c r="G80" s="3" t="s">
        <v>6619</v>
      </c>
      <c r="H80" s="3" t="str">
        <f>HYPERLINK("http://www.jccm.es/sede/tramite/ISG","INGRESO EN CENTROS DE ATENCION A PERSONAS CON DISCAPACIDAD FISICA")</f>
        <v>INGRESO EN CENTROS DE ATENCION A PERSONAS CON DISCAPACIDAD FISICA</v>
      </c>
      <c r="I80" s="3" t="s">
        <v>42</v>
      </c>
      <c r="J80" s="3" t="s">
        <v>41</v>
      </c>
      <c r="K80" s="3" t="s">
        <v>42</v>
      </c>
      <c r="L80" s="3" t="s">
        <v>41</v>
      </c>
    </row>
    <row r="81" spans="1:12" ht="45.95">
      <c r="A81" s="3" t="s">
        <v>6620</v>
      </c>
      <c r="B81" s="3" t="s">
        <v>6621</v>
      </c>
      <c r="C81" s="3" t="s">
        <v>327</v>
      </c>
      <c r="D81" s="3" t="s">
        <v>46</v>
      </c>
      <c r="E81" s="3" t="s">
        <v>38</v>
      </c>
      <c r="F81" s="3" t="s">
        <v>47</v>
      </c>
      <c r="G81" s="3" t="s">
        <v>6622</v>
      </c>
      <c r="H81" s="3" t="str">
        <f>HYPERLINK("http://www.jccm.es/sede/tramite/ISJ","PERMUTA EN CENTROS DE ATENCION A PERSONAS CON DISCAPACIDAD FISICA")</f>
        <v>PERMUTA EN CENTROS DE ATENCION A PERSONAS CON DISCAPACIDAD FISICA</v>
      </c>
      <c r="I81" s="3" t="s">
        <v>42</v>
      </c>
      <c r="J81" s="3" t="s">
        <v>41</v>
      </c>
      <c r="K81" s="3" t="s">
        <v>42</v>
      </c>
      <c r="L81" s="3" t="s">
        <v>41</v>
      </c>
    </row>
    <row r="82" spans="1:12" ht="45.95">
      <c r="A82" s="3" t="s">
        <v>6623</v>
      </c>
      <c r="B82" s="3" t="s">
        <v>6624</v>
      </c>
      <c r="C82" s="3" t="s">
        <v>62</v>
      </c>
      <c r="D82" s="3" t="s">
        <v>46</v>
      </c>
      <c r="E82" s="3" t="s">
        <v>38</v>
      </c>
      <c r="F82" s="3" t="s">
        <v>47</v>
      </c>
      <c r="G82" s="3" t="s">
        <v>6625</v>
      </c>
      <c r="H82" s="3" t="str">
        <f>HYPERLINK("http://www.jccm.es/sede/tramite/ISI","ALOJAMIENTOS TEMPORALES EN CENTROS DE ATENCION A PERSONAS CON DISCAPACIDAD FISICA")</f>
        <v>ALOJAMIENTOS TEMPORALES EN CENTROS DE ATENCION A PERSONAS CON DISCAPACIDAD FISICA</v>
      </c>
      <c r="I82" s="3" t="s">
        <v>42</v>
      </c>
      <c r="J82" s="3" t="s">
        <v>41</v>
      </c>
      <c r="K82" s="3" t="s">
        <v>42</v>
      </c>
      <c r="L82" s="3" t="s">
        <v>41</v>
      </c>
    </row>
    <row r="83" spans="1:12" ht="69">
      <c r="A83" s="3" t="s">
        <v>6626</v>
      </c>
      <c r="B83" s="3" t="s">
        <v>6627</v>
      </c>
      <c r="C83" s="3" t="s">
        <v>45</v>
      </c>
      <c r="D83" s="3" t="s">
        <v>46</v>
      </c>
      <c r="E83" s="3" t="s">
        <v>38</v>
      </c>
      <c r="F83" s="3" t="s">
        <v>78</v>
      </c>
      <c r="G83" s="3" t="s">
        <v>6628</v>
      </c>
      <c r="H83" s="3" t="str">
        <f>HYPERLINK("http://www.jccm.es/sede/tramite/664","PENSIONES NO CONTRIBUTIVAS DE LA SEGURIDAD SOCIAL POR INVALIDEZ Y A MAYORES DE 65 AÑOS")</f>
        <v>PENSIONES NO CONTRIBUTIVAS DE LA SEGURIDAD SOCIAL POR INVALIDEZ Y A MAYORES DE 65 AÑOS</v>
      </c>
      <c r="I83" s="3" t="s">
        <v>42</v>
      </c>
      <c r="J83" s="3" t="s">
        <v>41</v>
      </c>
      <c r="K83" s="3" t="s">
        <v>42</v>
      </c>
      <c r="L83" s="3" t="s">
        <v>41</v>
      </c>
    </row>
    <row r="84" spans="1:12" ht="69">
      <c r="A84" s="3" t="s">
        <v>6629</v>
      </c>
      <c r="B84" s="3" t="s">
        <v>6630</v>
      </c>
      <c r="C84" s="3" t="s">
        <v>327</v>
      </c>
      <c r="D84" s="3" t="s">
        <v>46</v>
      </c>
      <c r="E84" s="3" t="s">
        <v>38</v>
      </c>
      <c r="F84" s="3" t="s">
        <v>78</v>
      </c>
      <c r="G84" s="3" t="s">
        <v>6631</v>
      </c>
      <c r="H84" s="3" t="str">
        <f>HYPERLINK("http://www.jccm.es/sede/tramite/H79","PRESTACIONES SOCIALES Y ECONOMICAS PARA PERSONAS CON DISCAPACIDAD DERIVADAS DE LA LEY DE INTEGRACION SOCIAL DE MINUSVALIDOS (LISMI)")</f>
        <v>PRESTACIONES SOCIALES Y ECONOMICAS PARA PERSONAS CON DISCAPACIDAD DERIVADAS DE LA LEY DE INTEGRACION SOCIAL DE MINUSVALIDOS (LISMI)</v>
      </c>
      <c r="I84" s="3" t="s">
        <v>42</v>
      </c>
      <c r="J84" s="3" t="s">
        <v>41</v>
      </c>
      <c r="K84" s="3" t="s">
        <v>42</v>
      </c>
      <c r="L84" s="3" t="s">
        <v>41</v>
      </c>
    </row>
    <row r="85" spans="1:12" ht="57.6">
      <c r="A85" s="3" t="s">
        <v>6632</v>
      </c>
      <c r="B85" s="3" t="s">
        <v>6633</v>
      </c>
      <c r="C85" s="3" t="s">
        <v>327</v>
      </c>
      <c r="D85" s="3" t="s">
        <v>46</v>
      </c>
      <c r="E85" s="3" t="s">
        <v>38</v>
      </c>
      <c r="F85" s="3" t="s">
        <v>91</v>
      </c>
      <c r="G85" s="3" t="s">
        <v>6634</v>
      </c>
      <c r="H85" s="3" t="str">
        <f>HYPERLINK("http://www.jccm.es/sede/tramite/I33","ADMISION EN SERVICIOS DE ESTANCIAS DIURNAS EN CENTROS DE MAYORES DE LA RED PUBLICA DE CASTILLA-LA MANCHA")</f>
        <v>ADMISION EN SERVICIOS DE ESTANCIAS DIURNAS EN CENTROS DE MAYORES DE LA RED PUBLICA DE CASTILLA-LA MANCHA</v>
      </c>
      <c r="I85" s="3" t="s">
        <v>42</v>
      </c>
      <c r="J85" s="3" t="s">
        <v>41</v>
      </c>
      <c r="K85" s="3" t="s">
        <v>42</v>
      </c>
      <c r="L85" s="3" t="s">
        <v>41</v>
      </c>
    </row>
    <row r="86" spans="1:12" ht="92.1">
      <c r="A86" s="3" t="s">
        <v>6635</v>
      </c>
      <c r="B86" s="3" t="s">
        <v>6636</v>
      </c>
      <c r="C86" s="3" t="s">
        <v>6637</v>
      </c>
      <c r="D86" s="3" t="s">
        <v>46</v>
      </c>
      <c r="E86" s="3" t="s">
        <v>38</v>
      </c>
      <c r="F86" s="3" t="s">
        <v>6440</v>
      </c>
      <c r="G86" s="3" t="s">
        <v>6638</v>
      </c>
      <c r="H86" s="3" t="str">
        <f>HYPERLINK("http://www.jccm.es/sede/tramite/IYI","RECONOCIMIENTO DE LA SITUACION DE DEPENDENCIA Y DEL DERECHO DE ACCESO A LOS SERVICIOS Y PRESTACIONES ECONOMICAS DEL SISTEMA PARA LA AUTONOMIA Y ATENCION A LA DEPENDENCIA EN CASTILLA LA MANCHA.")</f>
        <v>RECONOCIMIENTO DE LA SITUACION DE DEPENDENCIA Y DEL DERECHO DE ACCESO A LOS SERVICIOS Y PRESTACIONES ECONOMICAS DEL SISTEMA PARA LA AUTONOMIA Y ATENCION A LA DEPENDENCIA EN CASTILLA LA MANCHA.</v>
      </c>
      <c r="I86" s="3" t="s">
        <v>42</v>
      </c>
      <c r="J86" s="3" t="s">
        <v>41</v>
      </c>
      <c r="K86" s="3" t="s">
        <v>42</v>
      </c>
      <c r="L86" s="3" t="s">
        <v>41</v>
      </c>
    </row>
    <row r="87" spans="1:12" ht="45.95">
      <c r="A87" s="3" t="s">
        <v>6639</v>
      </c>
      <c r="B87" s="3" t="s">
        <v>6640</v>
      </c>
      <c r="C87" s="3" t="s">
        <v>327</v>
      </c>
      <c r="D87" s="3" t="s">
        <v>46</v>
      </c>
      <c r="E87" s="3" t="s">
        <v>38</v>
      </c>
      <c r="F87" s="3" t="s">
        <v>47</v>
      </c>
      <c r="G87" s="3" t="s">
        <v>6641</v>
      </c>
      <c r="H87" s="3" t="str">
        <f>HYPERLINK("http://www.jccm.es/sede/tramite/ISH","TRASLADO DE CENTROS DE ATENCION A PERSONAS CON DISCAPACIDAD FISICA")</f>
        <v>TRASLADO DE CENTROS DE ATENCION A PERSONAS CON DISCAPACIDAD FISICA</v>
      </c>
      <c r="I87" s="3" t="s">
        <v>42</v>
      </c>
      <c r="J87" s="3" t="s">
        <v>41</v>
      </c>
      <c r="K87" s="3" t="s">
        <v>42</v>
      </c>
      <c r="L87" s="3" t="s">
        <v>41</v>
      </c>
    </row>
    <row r="88" spans="1:12" ht="69">
      <c r="A88" s="3" t="s">
        <v>6642</v>
      </c>
      <c r="B88" s="3" t="s">
        <v>6643</v>
      </c>
      <c r="C88" s="3" t="s">
        <v>45</v>
      </c>
      <c r="D88" s="3" t="s">
        <v>46</v>
      </c>
      <c r="E88" s="3" t="s">
        <v>38</v>
      </c>
      <c r="F88" s="3" t="s">
        <v>78</v>
      </c>
      <c r="G88" s="3" t="s">
        <v>6644</v>
      </c>
      <c r="H88" s="3" t="str">
        <f>HYPERLINK("http://www.jccm.es/sede/tramite/IZN","COMPLEMENTO PARA TITULARES DE PENSION NO CONTRIBUTIVA QUE RESIDAN EN UNA VIVIENDA ALQUILADA.")</f>
        <v>COMPLEMENTO PARA TITULARES DE PENSION NO CONTRIBUTIVA QUE RESIDAN EN UNA VIVIENDA ALQUILADA.</v>
      </c>
      <c r="I88" s="3" t="s">
        <v>42</v>
      </c>
      <c r="J88" s="3" t="s">
        <v>41</v>
      </c>
      <c r="K88" s="3" t="s">
        <v>42</v>
      </c>
      <c r="L88" s="3" t="s">
        <v>41</v>
      </c>
    </row>
    <row r="89" spans="1:12" ht="80.45">
      <c r="A89" s="3" t="s">
        <v>6645</v>
      </c>
      <c r="B89" s="3" t="s">
        <v>6646</v>
      </c>
      <c r="C89" s="3" t="s">
        <v>45</v>
      </c>
      <c r="D89" s="3" t="s">
        <v>46</v>
      </c>
      <c r="E89" s="3" t="s">
        <v>38</v>
      </c>
      <c r="F89" s="3" t="s">
        <v>6440</v>
      </c>
      <c r="G89" s="3" t="s">
        <v>6647</v>
      </c>
      <c r="H89" s="3" t="str">
        <f>HYPERLINK("http://www.jccm.es/sede/tramite/JX5","SERVICIO DE TELEASISTENCIA")</f>
        <v>SERVICIO DE TELEASISTENCIA</v>
      </c>
      <c r="I89" s="3" t="s">
        <v>42</v>
      </c>
      <c r="J89" s="3" t="s">
        <v>41</v>
      </c>
      <c r="K89" s="3" t="s">
        <v>42</v>
      </c>
      <c r="L89" s="3" t="s">
        <v>41</v>
      </c>
    </row>
    <row r="90" spans="1:12" ht="45.95">
      <c r="A90" s="3" t="s">
        <v>6648</v>
      </c>
      <c r="B90" s="3" t="s">
        <v>6649</v>
      </c>
      <c r="C90" s="3" t="s">
        <v>327</v>
      </c>
      <c r="D90" s="3" t="s">
        <v>46</v>
      </c>
      <c r="E90" s="3" t="s">
        <v>38</v>
      </c>
      <c r="F90" s="3" t="s">
        <v>47</v>
      </c>
      <c r="G90" s="3" t="s">
        <v>6650</v>
      </c>
      <c r="H90" s="3" t="str">
        <f>HYPERLINK("http://www.jccm.es/sede/tramite/JX7","PERMUTA ENTRE CENTROS  DE ATENCION A PERSONAS CON DISCAPACIDAD INTELECTUAL")</f>
        <v>PERMUTA ENTRE CENTROS  DE ATENCION A PERSONAS CON DISCAPACIDAD INTELECTUAL</v>
      </c>
      <c r="I90" s="3" t="s">
        <v>42</v>
      </c>
      <c r="J90" s="3" t="s">
        <v>41</v>
      </c>
      <c r="K90" s="3" t="s">
        <v>42</v>
      </c>
      <c r="L90" s="3" t="s">
        <v>41</v>
      </c>
    </row>
    <row r="91" spans="1:12" ht="45.95">
      <c r="A91" s="3" t="s">
        <v>6651</v>
      </c>
      <c r="B91" s="3" t="s">
        <v>6652</v>
      </c>
      <c r="C91" s="3" t="s">
        <v>62</v>
      </c>
      <c r="D91" s="3" t="s">
        <v>46</v>
      </c>
      <c r="E91" s="3" t="s">
        <v>38</v>
      </c>
      <c r="F91" s="3" t="s">
        <v>47</v>
      </c>
      <c r="G91" s="3" t="s">
        <v>6653</v>
      </c>
      <c r="H91" s="3" t="str">
        <f>HYPERLINK("http://www.jccm.es/sede/tramite/JX8","ALOJAMIENTO TEMPORAL EN CENTROS DE ATENCION A PERSONAS CON DISCAPACIDAD INTELECTUAL.")</f>
        <v>ALOJAMIENTO TEMPORAL EN CENTROS DE ATENCION A PERSONAS CON DISCAPACIDAD INTELECTUAL.</v>
      </c>
      <c r="I91" s="3" t="s">
        <v>42</v>
      </c>
      <c r="J91" s="3" t="s">
        <v>41</v>
      </c>
      <c r="K91" s="3" t="s">
        <v>42</v>
      </c>
      <c r="L91" s="3" t="s">
        <v>41</v>
      </c>
    </row>
    <row r="92" spans="1:12" ht="80.45">
      <c r="A92" s="3" t="s">
        <v>6654</v>
      </c>
      <c r="B92" s="3" t="s">
        <v>6655</v>
      </c>
      <c r="C92" s="3" t="s">
        <v>6656</v>
      </c>
      <c r="D92" s="3" t="s">
        <v>46</v>
      </c>
      <c r="E92" s="3" t="s">
        <v>38</v>
      </c>
      <c r="F92" s="3" t="s">
        <v>6440</v>
      </c>
      <c r="G92" s="3" t="s">
        <v>6657</v>
      </c>
      <c r="H92" s="3" t="str">
        <f>HYPERLINK("http://www.jccm.es/sede/tramite/K67","REVISION EN EL MARCO DEL SITEMA PARA LA AUTONOMIA Y ATENCION A LA DEPENDENCIA (SAAD)")</f>
        <v>REVISION EN EL MARCO DEL SITEMA PARA LA AUTONOMIA Y ATENCION A LA DEPENDENCIA (SAAD)</v>
      </c>
      <c r="I92" s="3" t="s">
        <v>42</v>
      </c>
      <c r="J92" s="3" t="s">
        <v>41</v>
      </c>
      <c r="K92" s="3" t="s">
        <v>42</v>
      </c>
      <c r="L92" s="3" t="s">
        <v>41</v>
      </c>
    </row>
    <row r="93" spans="1:12" ht="23.1">
      <c r="A93" s="3" t="s">
        <v>6658</v>
      </c>
      <c r="B93" s="3" t="s">
        <v>6659</v>
      </c>
      <c r="C93" s="3" t="s">
        <v>95</v>
      </c>
      <c r="D93" s="3" t="s">
        <v>95</v>
      </c>
      <c r="E93" s="3" t="s">
        <v>38</v>
      </c>
      <c r="F93" s="3" t="s">
        <v>38</v>
      </c>
      <c r="G93" s="3" t="s">
        <v>6660</v>
      </c>
      <c r="H93" s="3" t="str">
        <f>HYPERLINK("http://www.jccm.es/sede/tramite/LOY","ACCESO AL SERVICIO DE ATENCION TEMPRANA.")</f>
        <v>ACCESO AL SERVICIO DE ATENCION TEMPRANA.</v>
      </c>
      <c r="I93" s="3" t="s">
        <v>42</v>
      </c>
      <c r="J93" s="3" t="s">
        <v>41</v>
      </c>
      <c r="K93" s="3" t="s">
        <v>42</v>
      </c>
      <c r="L93" s="3" t="s">
        <v>41</v>
      </c>
    </row>
    <row r="94" spans="1:12" ht="69">
      <c r="A94" s="3" t="s">
        <v>6661</v>
      </c>
      <c r="B94" s="3" t="s">
        <v>6662</v>
      </c>
      <c r="C94" s="3" t="s">
        <v>45</v>
      </c>
      <c r="D94" s="3" t="s">
        <v>46</v>
      </c>
      <c r="E94" s="3" t="s">
        <v>38</v>
      </c>
      <c r="F94" s="3" t="s">
        <v>91</v>
      </c>
      <c r="G94" s="3" t="s">
        <v>6663</v>
      </c>
      <c r="H94" s="3" t="str">
        <f>HYPERLINK("http://www.jccm.es/sede/tramite/LPW","CONVOCATORIA DE CONCIERTO SOCIAL DE PLAZAS RESIDENCIALES, ESTANCIAS TEMPORALES Y PLAZAS EN CENTROS DE DIA PERSONAS MAYORES JCCM 2022-2025")</f>
        <v>CONVOCATORIA DE CONCIERTO SOCIAL DE PLAZAS RESIDENCIALES, ESTANCIAS TEMPORALES Y PLAZAS EN CENTROS DE DIA PERSONAS MAYORES JCCM 2022-2025</v>
      </c>
      <c r="I94" s="3" t="s">
        <v>41</v>
      </c>
      <c r="J94" s="3" t="s">
        <v>41</v>
      </c>
      <c r="K94" s="3" t="s">
        <v>42</v>
      </c>
      <c r="L94" s="3" t="s">
        <v>41</v>
      </c>
    </row>
    <row r="95" spans="1:12" ht="57.6">
      <c r="A95" s="3" t="s">
        <v>6664</v>
      </c>
      <c r="B95" s="3" t="s">
        <v>6665</v>
      </c>
      <c r="C95" s="3" t="s">
        <v>95</v>
      </c>
      <c r="D95" s="3" t="s">
        <v>95</v>
      </c>
      <c r="E95" s="3" t="s">
        <v>38</v>
      </c>
      <c r="F95" s="3" t="s">
        <v>63</v>
      </c>
      <c r="G95" s="3" t="s">
        <v>6666</v>
      </c>
      <c r="H95" s="3" t="str">
        <f>HYPERLINK("http://www.jccm.es/sede/tramite/KOI","SOLICITUD DE CONVENIO UNIFICADO CON LAS ENTIDADES LOCALES  PARA LA PRESTACION DE SERVICIOS SOCIALES DE ATENCION PRIMARIA")</f>
        <v>SOLICITUD DE CONVENIO UNIFICADO CON LAS ENTIDADES LOCALES  PARA LA PRESTACION DE SERVICIOS SOCIALES DE ATENCION PRIMARIA</v>
      </c>
      <c r="I95" s="3" t="s">
        <v>41</v>
      </c>
      <c r="J95" s="3" t="s">
        <v>41</v>
      </c>
      <c r="K95" s="3" t="s">
        <v>42</v>
      </c>
      <c r="L95" s="3" t="s">
        <v>41</v>
      </c>
    </row>
    <row r="96" spans="1:12" ht="57.6">
      <c r="A96" s="3" t="s">
        <v>6667</v>
      </c>
      <c r="B96" s="3" t="s">
        <v>6668</v>
      </c>
      <c r="C96" s="3" t="s">
        <v>442</v>
      </c>
      <c r="D96" s="3" t="s">
        <v>46</v>
      </c>
      <c r="E96" s="3" t="s">
        <v>38</v>
      </c>
      <c r="F96" s="3" t="s">
        <v>39</v>
      </c>
      <c r="G96" s="3" t="s">
        <v>6669</v>
      </c>
      <c r="H96" s="3" t="str">
        <f>HYPERLINK("http://www.jccm.es/sede/tramite/KLJ","CONVOCATORIA PARA LA PROVISION POR EL PROCEDIMIENTO DE LIBRE DESIGNACION (LD BS F1/2022).")</f>
        <v>CONVOCATORIA PARA LA PROVISION POR EL PROCEDIMIENTO DE LIBRE DESIGNACION (LD BS F1/2022).</v>
      </c>
      <c r="I96" s="3" t="s">
        <v>41</v>
      </c>
      <c r="J96" s="3" t="s">
        <v>41</v>
      </c>
      <c r="K96" s="3" t="s">
        <v>42</v>
      </c>
      <c r="L96" s="3" t="s">
        <v>41</v>
      </c>
    </row>
    <row r="97" spans="1:12" ht="69">
      <c r="A97" s="3" t="s">
        <v>6670</v>
      </c>
      <c r="B97" s="3" t="s">
        <v>6671</v>
      </c>
      <c r="C97" s="3" t="s">
        <v>36</v>
      </c>
      <c r="D97" s="3" t="s">
        <v>46</v>
      </c>
      <c r="E97" s="3" t="s">
        <v>38</v>
      </c>
      <c r="F97" s="3" t="s">
        <v>39</v>
      </c>
      <c r="G97" s="3" t="s">
        <v>6672</v>
      </c>
      <c r="H97" s="3" t="str">
        <f>HYPERLINK("http://www.jccm.es/sede/tramite/L7E","CONVOCATORIA DE CONCURSO SINGULARIZADO DE MERITOS PARA LA PROVISION DE PUESTOS DE TRABAJO VACANTES")</f>
        <v>CONVOCATORIA DE CONCURSO SINGULARIZADO DE MERITOS PARA LA PROVISION DE PUESTOS DE TRABAJO VACANTES</v>
      </c>
      <c r="I97" s="3" t="s">
        <v>41</v>
      </c>
      <c r="J97" s="3" t="s">
        <v>41</v>
      </c>
      <c r="K97" s="3" t="s">
        <v>42</v>
      </c>
      <c r="L97" s="3" t="s">
        <v>41</v>
      </c>
    </row>
    <row r="98" spans="1:12" ht="45.95">
      <c r="A98" s="3" t="s">
        <v>6673</v>
      </c>
      <c r="B98" s="3" t="s">
        <v>6674</v>
      </c>
      <c r="C98" s="3" t="s">
        <v>327</v>
      </c>
      <c r="D98" s="3" t="s">
        <v>46</v>
      </c>
      <c r="E98" s="3" t="s">
        <v>38</v>
      </c>
      <c r="F98" s="3" t="s">
        <v>71</v>
      </c>
      <c r="G98" s="3" t="s">
        <v>6675</v>
      </c>
      <c r="H98" s="3" t="str">
        <f>HYPERLINK("http://www.jccm.es/sede/tramite/777","ADOPCION DE NIÑOS Y NIÑAS DE CASTILLA-LA MANCHA")</f>
        <v>ADOPCION DE NIÑOS Y NIÑAS DE CASTILLA-LA MANCHA</v>
      </c>
      <c r="I98" s="3" t="s">
        <v>42</v>
      </c>
      <c r="J98" s="3" t="s">
        <v>41</v>
      </c>
      <c r="K98" s="3" t="s">
        <v>42</v>
      </c>
      <c r="L98" s="3" t="s">
        <v>41</v>
      </c>
    </row>
    <row r="99" spans="1:12" ht="45.95">
      <c r="A99" s="3" t="s">
        <v>6676</v>
      </c>
      <c r="B99" s="3" t="s">
        <v>6677</v>
      </c>
      <c r="C99" s="3" t="s">
        <v>45</v>
      </c>
      <c r="D99" s="3" t="s">
        <v>46</v>
      </c>
      <c r="E99" s="3" t="s">
        <v>38</v>
      </c>
      <c r="F99" s="3" t="s">
        <v>71</v>
      </c>
      <c r="G99" s="3" t="s">
        <v>6678</v>
      </c>
      <c r="H99" s="3" t="str">
        <f>HYPERLINK("http://www.jccm.es/sede/tramite/778","PROGRAMA DE ACOGIMIENTO FAMILIAR DE CASTILLA-LA MANCHA")</f>
        <v>PROGRAMA DE ACOGIMIENTO FAMILIAR DE CASTILLA-LA MANCHA</v>
      </c>
      <c r="I99" s="3" t="s">
        <v>42</v>
      </c>
      <c r="J99" s="3" t="s">
        <v>41</v>
      </c>
      <c r="K99" s="3" t="s">
        <v>42</v>
      </c>
      <c r="L99" s="3" t="s">
        <v>41</v>
      </c>
    </row>
    <row r="100" spans="1:12" ht="45.95">
      <c r="A100" s="3" t="s">
        <v>6679</v>
      </c>
      <c r="B100" s="3" t="s">
        <v>6680</v>
      </c>
      <c r="C100" s="3" t="s">
        <v>45</v>
      </c>
      <c r="D100" s="3" t="s">
        <v>46</v>
      </c>
      <c r="E100" s="3" t="s">
        <v>38</v>
      </c>
      <c r="F100" s="3" t="s">
        <v>71</v>
      </c>
      <c r="G100" s="3" t="s">
        <v>6681</v>
      </c>
      <c r="H100" s="3" t="str">
        <f>HYPERLINK("http://www.jccm.es/sede/tramite/JRK","SOLICITUD DE INFORME PARA DESPLAZAMIENTO TEMPORAL DE MENORES EXTRANJEROS")</f>
        <v>SOLICITUD DE INFORME PARA DESPLAZAMIENTO TEMPORAL DE MENORES EXTRANJEROS</v>
      </c>
      <c r="I100" s="3" t="s">
        <v>42</v>
      </c>
      <c r="J100" s="3" t="s">
        <v>41</v>
      </c>
      <c r="K100" s="3" t="s">
        <v>42</v>
      </c>
      <c r="L100" s="3" t="s">
        <v>41</v>
      </c>
    </row>
    <row r="101" spans="1:12" ht="103.5">
      <c r="A101" s="3" t="s">
        <v>6682</v>
      </c>
      <c r="B101" s="3" t="s">
        <v>6683</v>
      </c>
      <c r="C101" s="3" t="s">
        <v>45</v>
      </c>
      <c r="D101" s="3" t="s">
        <v>46</v>
      </c>
      <c r="E101" s="3" t="s">
        <v>38</v>
      </c>
      <c r="F101" s="3" t="s">
        <v>71</v>
      </c>
      <c r="G101" s="3" t="s">
        <v>6684</v>
      </c>
      <c r="H101" s="3" t="str">
        <f>HYPERLINK("http://www.jccm.es/sede/tramite/LB5","PROCESO SELECTIVO PARA LA DESIGNACION DE LAS PERSONAS QUE OCUPARAN LAS VOCALIAS DEL CONSEJO REGIONAL DE INFANCIA Y FAMILIA DE CASTILLA-LA MANCHA")</f>
        <v>PROCESO SELECTIVO PARA LA DESIGNACION DE LAS PERSONAS QUE OCUPARAN LAS VOCALIAS DEL CONSEJO REGIONAL DE INFANCIA Y FAMILIA DE CASTILLA-LA MANCHA</v>
      </c>
      <c r="I101" s="3" t="s">
        <v>41</v>
      </c>
      <c r="J101" s="3" t="s">
        <v>41</v>
      </c>
      <c r="K101" s="3" t="s">
        <v>42</v>
      </c>
      <c r="L101" s="3" t="s">
        <v>41</v>
      </c>
    </row>
    <row r="102" spans="1:12" ht="45.95">
      <c r="A102" s="3" t="s">
        <v>6685</v>
      </c>
      <c r="B102" s="3" t="s">
        <v>6686</v>
      </c>
      <c r="C102" s="3" t="s">
        <v>327</v>
      </c>
      <c r="D102" s="3" t="s">
        <v>46</v>
      </c>
      <c r="E102" s="3" t="s">
        <v>38</v>
      </c>
      <c r="F102" s="3" t="s">
        <v>71</v>
      </c>
      <c r="G102" s="3" t="s">
        <v>6687</v>
      </c>
      <c r="H102" s="3" t="str">
        <f>HYPERLINK("http://www.jccm.es/sede/tramite/LB4","INFORME DE SEGUIMIENTO POSTADOPTIVO DE ADOPCION INTERNACIONAL DE NIÑOS Y NIÑAS")</f>
        <v>INFORME DE SEGUIMIENTO POSTADOPTIVO DE ADOPCION INTERNACIONAL DE NIÑOS Y NIÑAS</v>
      </c>
      <c r="I102" s="3" t="s">
        <v>41</v>
      </c>
      <c r="J102" s="3" t="s">
        <v>41</v>
      </c>
      <c r="K102" s="3" t="s">
        <v>42</v>
      </c>
      <c r="L102" s="3" t="s">
        <v>41</v>
      </c>
    </row>
    <row r="103" spans="1:12" ht="45.95">
      <c r="A103" s="3" t="s">
        <v>6688</v>
      </c>
      <c r="B103" s="3" t="s">
        <v>6689</v>
      </c>
      <c r="C103" s="3" t="s">
        <v>327</v>
      </c>
      <c r="D103" s="3" t="s">
        <v>46</v>
      </c>
      <c r="E103" s="3" t="s">
        <v>38</v>
      </c>
      <c r="F103" s="3" t="s">
        <v>71</v>
      </c>
      <c r="G103" s="3" t="s">
        <v>6690</v>
      </c>
      <c r="H103" s="3" t="str">
        <f>HYPERLINK("http://www.jccm.es/sede/tramite/C29","ADOPCION INTERNACIONAL DE NIÑOS Y NIÑAS")</f>
        <v>ADOPCION INTERNACIONAL DE NIÑOS Y NIÑAS</v>
      </c>
      <c r="I103" s="3" t="s">
        <v>42</v>
      </c>
      <c r="J103" s="3" t="s">
        <v>41</v>
      </c>
      <c r="K103" s="3" t="s">
        <v>42</v>
      </c>
      <c r="L103" s="3" t="s">
        <v>41</v>
      </c>
    </row>
  </sheetData>
  <phoneticPr fontId="0" type="noConversion"/>
  <printOptions horizontalCentered="1"/>
  <pageMargins left="0.23622047244094491" right="0.23622047244094491" top="0.55118110236220474" bottom="0.43307086614173229" header="0.27559055118110237" footer="0.19685039370078741"/>
  <pageSetup paperSize="9" scale="75" orientation="landscape" r:id="rId1"/>
  <headerFooter alignWithMargins="0">
    <oddHeader>&amp;C&amp;9Consejería de Bienestar Social</oddHeader>
    <oddFooter>&amp;CPágina &amp;P</oddFooter>
  </headerFooter>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682eaa43-193f-4590-a183-cad65ea73a32">
      <Terms xmlns="http://schemas.microsoft.com/office/infopath/2007/PartnerControls"/>
    </lcf76f155ced4ddcb4097134ff3c332f>
    <TaxCatchAll xmlns="37fcb3f5-84e6-4795-808a-4b876ba15e12"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E61E26D7E545D45A990707DF8177483" ma:contentTypeVersion="8" ma:contentTypeDescription="Create a new document." ma:contentTypeScope="" ma:versionID="1fa104f2042b5f6a4083b3fde1b63c37">
  <xsd:schema xmlns:xsd="http://www.w3.org/2001/XMLSchema" xmlns:xs="http://www.w3.org/2001/XMLSchema" xmlns:p="http://schemas.microsoft.com/office/2006/metadata/properties" xmlns:ns2="682eaa43-193f-4590-a183-cad65ea73a32" xmlns:ns3="37fcb3f5-84e6-4795-808a-4b876ba15e12" targetNamespace="http://schemas.microsoft.com/office/2006/metadata/properties" ma:root="true" ma:fieldsID="e0a93a315ea8551a631e4d478105d0a8" ns2:_="" ns3:_="">
    <xsd:import namespace="682eaa43-193f-4590-a183-cad65ea73a32"/>
    <xsd:import namespace="37fcb3f5-84e6-4795-808a-4b876ba15e12"/>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82eaa43-193f-4590-a183-cad65ea73a3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d85e823d-31db-440c-980d-283f89df7c2e"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7fcb3f5-84e6-4795-808a-4b876ba15e12"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3b961ac2-7a5a-4274-87db-aaf95c3a5dd5}" ma:internalName="TaxCatchAll" ma:showField="CatchAllData" ma:web="37fcb3f5-84e6-4795-808a-4b876ba15e1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4A0DECE-01EC-4BF0-A07D-CA6B421D71EF}"/>
</file>

<file path=customXml/itemProps2.xml><?xml version="1.0" encoding="utf-8"?>
<ds:datastoreItem xmlns:ds="http://schemas.openxmlformats.org/officeDocument/2006/customXml" ds:itemID="{B496D4C7-57A8-4921-9F3D-7113F8B23BF5}"/>
</file>

<file path=customXml/itemProps3.xml><?xml version="1.0" encoding="utf-8"?>
<ds:datastoreItem xmlns:ds="http://schemas.openxmlformats.org/officeDocument/2006/customXml" ds:itemID="{A76ADFA3-8F0B-4A39-AC5D-9FDD488F5F43}"/>
</file>

<file path=docMetadata/LabelInfo.xml><?xml version="1.0" encoding="utf-8"?>
<clbl:labelList xmlns:clbl="http://schemas.microsoft.com/office/2020/mipLabelMetadata">
  <clbl:label id="{3048dc87-43f0-4100-9acb-ae1971c79395}" enabled="0" method="" siteId="{3048dc87-43f0-4100-9acb-ae1971c79395}" removed="1"/>
</clbl:labelLis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Inmaculada Ramirez Ruiz</dc:creator>
  <cp:keywords/>
  <dc:description/>
  <cp:lastModifiedBy>Felipe Antonio Duarte Espinoza</cp:lastModifiedBy>
  <cp:revision/>
  <dcterms:created xsi:type="dcterms:W3CDTF">2014-03-28T08:28:53Z</dcterms:created>
  <dcterms:modified xsi:type="dcterms:W3CDTF">2023-01-17T10:43:05Z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0x010100FE61E26D7E545D45A990707DF8177483</vt:lpwstr>
  </property>
  <property fmtid="{D5CDD505-2E9C-101B-9397-08002B2CF9AE}" pid="3" name="MediaServiceImageTags">
    <vt:lpwstr/>
  </property>
</Properties>
</file>